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shboards\"/>
    </mc:Choice>
  </mc:AlternateContent>
  <xr:revisionPtr revIDLastSave="0" documentId="13_ncr:1_{8AECB534-CD8F-4427-A8FA-8AEC2ED2D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2" r:id="rId1"/>
    <sheet name="Investment Data" sheetId="1" r:id="rId2"/>
    <sheet name="Analysis" sheetId="3" r:id="rId3"/>
    <sheet name="Quarterly Analysis" sheetId="5" r:id="rId4"/>
    <sheet name="Definition" sheetId="4" state="hidden" r:id="rId5"/>
  </sheets>
  <definedNames>
    <definedName name="_xlnm._FilterDatabase" localSheetId="1" hidden="1">'Investment Data'!$A$2:$W$129</definedName>
    <definedName name="_xlnm._FilterDatabase" localSheetId="3" hidden="1">'Quarterly Analysis'!#REF!</definedName>
    <definedName name="_xlchart.v1.0" hidden="1">Dashboard!$J$140:$K$152</definedName>
    <definedName name="_xlchart.v1.1" hidden="1">Dashboard!$L$139</definedName>
    <definedName name="_xlchart.v1.2" hidden="1">Dashboard!$L$140:$L$152</definedName>
    <definedName name="_xlchart.v1.3" hidden="1">Analysis!$H$87:$H$99</definedName>
    <definedName name="_xlchart.v1.4" hidden="1">Analysis!$I$86</definedName>
    <definedName name="_xlchart.v1.5" hidden="1">Analysis!$I$87:$I$99</definedName>
    <definedName name="_xlnm.Extract" localSheetId="1">'Investment Data'!$W$3</definedName>
    <definedName name="_xlnm.Extract" localSheetId="3">'Quarterly Analysis'!#REF!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" i="3" l="1"/>
  <c r="M51" i="3"/>
  <c r="AA38" i="3"/>
  <c r="AD38" i="3" s="1"/>
  <c r="AG38" i="3" s="1"/>
  <c r="AJ38" i="3" s="1"/>
  <c r="K52" i="3" l="1"/>
  <c r="K51" i="3"/>
  <c r="S38" i="1" l="1"/>
  <c r="S37" i="1"/>
  <c r="S36" i="1"/>
  <c r="S35" i="1"/>
  <c r="S34" i="1"/>
  <c r="V21" i="1"/>
  <c r="T21" i="1"/>
  <c r="S21" i="1"/>
  <c r="V121" i="1" l="1"/>
  <c r="T121" i="1"/>
  <c r="S121" i="1"/>
  <c r="S102" i="1"/>
  <c r="T75" i="1"/>
  <c r="S76" i="1"/>
  <c r="S75" i="1"/>
  <c r="B20" i="5"/>
  <c r="AE15" i="5"/>
  <c r="AE14" i="5"/>
  <c r="AE13" i="5"/>
  <c r="AE12" i="5"/>
  <c r="AE11" i="5"/>
  <c r="AE10" i="5"/>
  <c r="AE9" i="5"/>
  <c r="AE8" i="5"/>
  <c r="AE7" i="5"/>
  <c r="AE6" i="5"/>
  <c r="AE5" i="5"/>
  <c r="AE4" i="5"/>
  <c r="AB3" i="5"/>
  <c r="AE3" i="5"/>
  <c r="AB14" i="5"/>
  <c r="AB13" i="5"/>
  <c r="AB12" i="5"/>
  <c r="AB11" i="5"/>
  <c r="AB10" i="5"/>
  <c r="AB8" i="5"/>
  <c r="AB6" i="5"/>
  <c r="AB4" i="5"/>
  <c r="Y3" i="5"/>
  <c r="Y15" i="5"/>
  <c r="Y13" i="5"/>
  <c r="Y12" i="5"/>
  <c r="Y9" i="5"/>
  <c r="Y8" i="5"/>
  <c r="Y6" i="5"/>
  <c r="Y4" i="5"/>
  <c r="V3" i="5"/>
  <c r="V15" i="5"/>
  <c r="V14" i="5"/>
  <c r="V13" i="5"/>
  <c r="V12" i="5"/>
  <c r="V11" i="5"/>
  <c r="V9" i="5"/>
  <c r="V8" i="5"/>
  <c r="V7" i="5"/>
  <c r="S3" i="5"/>
  <c r="S15" i="5"/>
  <c r="S14" i="5"/>
  <c r="S12" i="5"/>
  <c r="S11" i="5"/>
  <c r="S9" i="5"/>
  <c r="S8" i="5"/>
  <c r="S6" i="5"/>
  <c r="S4" i="5"/>
  <c r="P3" i="5"/>
  <c r="P15" i="5"/>
  <c r="P14" i="5"/>
  <c r="P13" i="5"/>
  <c r="P12" i="5"/>
  <c r="P4" i="5"/>
  <c r="M15" i="5"/>
  <c r="M14" i="5"/>
  <c r="M13" i="5"/>
  <c r="M12" i="5"/>
  <c r="M10" i="5"/>
  <c r="M8" i="5"/>
  <c r="M6" i="5"/>
  <c r="J3" i="5"/>
  <c r="J15" i="5"/>
  <c r="J14" i="5"/>
  <c r="J12" i="5"/>
  <c r="J11" i="5"/>
  <c r="J10" i="5"/>
  <c r="J9" i="5"/>
  <c r="J8" i="5"/>
  <c r="J4" i="5"/>
  <c r="G3" i="5"/>
  <c r="G15" i="5"/>
  <c r="G14" i="5"/>
  <c r="G13" i="5"/>
  <c r="G12" i="5"/>
  <c r="G11" i="5"/>
  <c r="G4" i="5"/>
  <c r="D3" i="5"/>
  <c r="D15" i="5"/>
  <c r="D14" i="5"/>
  <c r="D12" i="5"/>
  <c r="D10" i="5"/>
  <c r="D8" i="5"/>
  <c r="D7" i="5"/>
  <c r="D5" i="5"/>
  <c r="D4" i="5"/>
  <c r="AD15" i="5"/>
  <c r="AA15" i="5"/>
  <c r="X15" i="5"/>
  <c r="U15" i="5"/>
  <c r="R15" i="5"/>
  <c r="O15" i="5"/>
  <c r="L15" i="5"/>
  <c r="I15" i="5"/>
  <c r="F15" i="5"/>
  <c r="C15" i="5"/>
  <c r="AD14" i="5"/>
  <c r="AA14" i="5"/>
  <c r="X14" i="5"/>
  <c r="U14" i="5"/>
  <c r="R14" i="5"/>
  <c r="O14" i="5"/>
  <c r="L14" i="5"/>
  <c r="I14" i="5"/>
  <c r="F14" i="5"/>
  <c r="C14" i="5"/>
  <c r="AD13" i="5"/>
  <c r="AA13" i="5"/>
  <c r="X13" i="5"/>
  <c r="U13" i="5"/>
  <c r="O13" i="5"/>
  <c r="L13" i="5"/>
  <c r="F13" i="5"/>
  <c r="AD12" i="5"/>
  <c r="AA12" i="5"/>
  <c r="X12" i="5"/>
  <c r="U12" i="5"/>
  <c r="R12" i="5"/>
  <c r="O12" i="5"/>
  <c r="L12" i="5"/>
  <c r="I12" i="5"/>
  <c r="F12" i="5"/>
  <c r="C12" i="5"/>
  <c r="AD11" i="5"/>
  <c r="AA11" i="5"/>
  <c r="X11" i="5"/>
  <c r="U11" i="5"/>
  <c r="R11" i="5"/>
  <c r="I11" i="5"/>
  <c r="F11" i="5"/>
  <c r="C11" i="5"/>
  <c r="AD10" i="5"/>
  <c r="AA10" i="5"/>
  <c r="X10" i="5"/>
  <c r="L10" i="5"/>
  <c r="I10" i="5"/>
  <c r="F10" i="5"/>
  <c r="C10" i="5"/>
  <c r="AD9" i="5"/>
  <c r="AA9" i="5"/>
  <c r="X9" i="5"/>
  <c r="U9" i="5"/>
  <c r="R9" i="5"/>
  <c r="I9" i="5"/>
  <c r="AD8" i="5"/>
  <c r="AA8" i="5"/>
  <c r="X8" i="5"/>
  <c r="U8" i="5"/>
  <c r="R8" i="5"/>
  <c r="L8" i="5"/>
  <c r="I8" i="5"/>
  <c r="C8" i="5"/>
  <c r="AD7" i="5"/>
  <c r="AA7" i="5"/>
  <c r="X7" i="5"/>
  <c r="U7" i="5"/>
  <c r="R7" i="5"/>
  <c r="C7" i="5"/>
  <c r="AD6" i="5"/>
  <c r="AA6" i="5"/>
  <c r="X6" i="5"/>
  <c r="R6" i="5"/>
  <c r="L6" i="5"/>
  <c r="AD5" i="5"/>
  <c r="AA5" i="5"/>
  <c r="X5" i="5"/>
  <c r="C5" i="5"/>
  <c r="AD4" i="5"/>
  <c r="AA4" i="5"/>
  <c r="X4" i="5"/>
  <c r="R4" i="5"/>
  <c r="O4" i="5"/>
  <c r="I4" i="5"/>
  <c r="F4" i="5"/>
  <c r="C4" i="5"/>
  <c r="AD3" i="5"/>
  <c r="AA3" i="5"/>
  <c r="X3" i="5"/>
  <c r="U3" i="5"/>
  <c r="R3" i="5"/>
  <c r="O3" i="5"/>
  <c r="I3" i="5"/>
  <c r="F3" i="5"/>
  <c r="C3" i="5"/>
  <c r="AC13" i="5" l="1"/>
  <c r="AF14" i="5"/>
  <c r="AC14" i="5"/>
  <c r="AF15" i="5"/>
  <c r="AF4" i="5"/>
  <c r="AF6" i="5"/>
  <c r="AF7" i="5"/>
  <c r="AC6" i="5"/>
  <c r="AF11" i="5"/>
  <c r="W15" i="5"/>
  <c r="Z13" i="5"/>
  <c r="Z9" i="5"/>
  <c r="AF8" i="5"/>
  <c r="AF9" i="5"/>
  <c r="AF10" i="5"/>
  <c r="W3" i="5"/>
  <c r="AF12" i="5"/>
  <c r="AF13" i="5"/>
  <c r="L20" i="5" s="1"/>
  <c r="AC4" i="5"/>
  <c r="AF3" i="5"/>
  <c r="AF5" i="5"/>
  <c r="AC3" i="5"/>
  <c r="Z4" i="5"/>
  <c r="Z15" i="5"/>
  <c r="Z12" i="5"/>
  <c r="Z3" i="5"/>
  <c r="AC8" i="5"/>
  <c r="AC10" i="5"/>
  <c r="Z6" i="5"/>
  <c r="W12" i="5"/>
  <c r="AC11" i="5"/>
  <c r="AC12" i="5"/>
  <c r="T9" i="5"/>
  <c r="Z8" i="5"/>
  <c r="W13" i="5"/>
  <c r="I20" i="5" s="1"/>
  <c r="T8" i="5"/>
  <c r="W14" i="5"/>
  <c r="W9" i="5"/>
  <c r="W8" i="5"/>
  <c r="T4" i="5"/>
  <c r="W7" i="5"/>
  <c r="W11" i="5"/>
  <c r="T11" i="5"/>
  <c r="T12" i="5"/>
  <c r="T14" i="5"/>
  <c r="T6" i="5"/>
  <c r="T3" i="5"/>
  <c r="T15" i="5"/>
  <c r="Q3" i="5"/>
  <c r="Q15" i="5"/>
  <c r="Q4" i="5"/>
  <c r="N6" i="5"/>
  <c r="H11" i="5"/>
  <c r="H12" i="5"/>
  <c r="E10" i="5"/>
  <c r="K11" i="5"/>
  <c r="K8" i="5"/>
  <c r="N8" i="5"/>
  <c r="E12" i="5"/>
  <c r="H15" i="5"/>
  <c r="E8" i="5"/>
  <c r="K12" i="5"/>
  <c r="H4" i="5"/>
  <c r="E3" i="5"/>
  <c r="E15" i="5"/>
  <c r="Q12" i="5"/>
  <c r="E7" i="5"/>
  <c r="Q13" i="5"/>
  <c r="Q14" i="5"/>
  <c r="H3" i="5"/>
  <c r="E4" i="5"/>
  <c r="K3" i="5"/>
  <c r="K15" i="5"/>
  <c r="N14" i="5"/>
  <c r="K10" i="5"/>
  <c r="E5" i="5"/>
  <c r="K4" i="5"/>
  <c r="N15" i="5"/>
  <c r="H13" i="5"/>
  <c r="H14" i="5"/>
  <c r="N12" i="5"/>
  <c r="K14" i="5"/>
  <c r="N10" i="5"/>
  <c r="N13" i="5"/>
  <c r="K9" i="5"/>
  <c r="E14" i="5"/>
  <c r="K86" i="3"/>
  <c r="J84" i="3"/>
  <c r="J83" i="3"/>
  <c r="K88" i="3"/>
  <c r="R129" i="1"/>
  <c r="R128" i="1"/>
  <c r="R127" i="1"/>
  <c r="R122" i="1"/>
  <c r="R121" i="1"/>
  <c r="R119" i="1"/>
  <c r="R116" i="1"/>
  <c r="R115" i="1"/>
  <c r="R96" i="1"/>
  <c r="R93" i="1"/>
  <c r="R85" i="1"/>
  <c r="R79" i="1"/>
  <c r="R75" i="1"/>
  <c r="R73" i="1"/>
  <c r="R72" i="1"/>
  <c r="R65" i="1"/>
  <c r="R64" i="1"/>
  <c r="R63" i="1"/>
  <c r="R60" i="1"/>
  <c r="R58" i="1"/>
  <c r="R55" i="1"/>
  <c r="R53" i="1"/>
  <c r="R43" i="1"/>
  <c r="R28" i="1"/>
  <c r="R26" i="1"/>
  <c r="R21" i="1"/>
  <c r="R17" i="1"/>
  <c r="R16" i="1"/>
  <c r="R14" i="1"/>
  <c r="R9" i="1"/>
  <c r="R6" i="1"/>
  <c r="R4" i="1"/>
  <c r="V51" i="3" l="1"/>
  <c r="O51" i="3"/>
  <c r="V52" i="3"/>
  <c r="O52" i="3"/>
  <c r="J20" i="5"/>
  <c r="K89" i="3"/>
  <c r="K90" i="3" l="1"/>
  <c r="I99" i="3"/>
  <c r="I98" i="3"/>
  <c r="E124" i="1"/>
  <c r="R124" i="1" s="1"/>
  <c r="E123" i="1"/>
  <c r="R123" i="1" s="1"/>
  <c r="E113" i="1"/>
  <c r="R113" i="1" s="1"/>
  <c r="E46" i="1"/>
  <c r="R46" i="1" s="1"/>
  <c r="E45" i="1"/>
  <c r="R45" i="1" s="1"/>
  <c r="E44" i="1"/>
  <c r="R44" i="1" s="1"/>
  <c r="E40" i="1"/>
  <c r="R40" i="1" s="1"/>
  <c r="E39" i="1"/>
  <c r="R39" i="1" s="1"/>
  <c r="E38" i="1"/>
  <c r="E32" i="1"/>
  <c r="R32" i="1" s="1"/>
  <c r="E23" i="1"/>
  <c r="R23" i="1" s="1"/>
  <c r="E22" i="1"/>
  <c r="R22" i="1" s="1"/>
  <c r="E15" i="1"/>
  <c r="E12" i="1"/>
  <c r="E11" i="1"/>
  <c r="R11" i="1" s="1"/>
  <c r="E10" i="1"/>
  <c r="R10" i="1" s="1"/>
  <c r="E8" i="1"/>
  <c r="R8" i="1" s="1"/>
  <c r="E5" i="1"/>
  <c r="R5" i="1" s="1"/>
  <c r="E3" i="1"/>
  <c r="K40" i="3" s="1"/>
  <c r="H69" i="3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N75" i="3"/>
  <c r="AG49" i="3" l="1"/>
  <c r="AD49" i="3"/>
  <c r="AH49" i="3"/>
  <c r="AA49" i="3"/>
  <c r="AB49" i="3"/>
  <c r="AE49" i="3"/>
  <c r="AA45" i="3"/>
  <c r="AB45" i="3"/>
  <c r="AB41" i="3"/>
  <c r="AJ41" i="3"/>
  <c r="AA41" i="3"/>
  <c r="AA42" i="3"/>
  <c r="AA50" i="3"/>
  <c r="AB50" i="3"/>
  <c r="AA43" i="3"/>
  <c r="AB43" i="3"/>
  <c r="AA47" i="3"/>
  <c r="AB47" i="3"/>
  <c r="AG47" i="3"/>
  <c r="AK51" i="3"/>
  <c r="AD51" i="3"/>
  <c r="AA51" i="3"/>
  <c r="AB51" i="3"/>
  <c r="AG51" i="3"/>
  <c r="AH51" i="3"/>
  <c r="AJ51" i="3"/>
  <c r="AA48" i="3"/>
  <c r="AB48" i="3"/>
  <c r="AK52" i="3"/>
  <c r="AH52" i="3"/>
  <c r="AJ52" i="3"/>
  <c r="AG52" i="3"/>
  <c r="AE52" i="3"/>
  <c r="AA52" i="3"/>
  <c r="AD52" i="3"/>
  <c r="AG40" i="3"/>
  <c r="AE40" i="3"/>
  <c r="AD40" i="3"/>
  <c r="AA40" i="3"/>
  <c r="AB40" i="3"/>
  <c r="AA44" i="3"/>
  <c r="AA46" i="3"/>
  <c r="R12" i="1"/>
  <c r="R15" i="1"/>
  <c r="R38" i="1"/>
  <c r="V38" i="1"/>
  <c r="R3" i="1"/>
  <c r="I87" i="3"/>
  <c r="Q75" i="3"/>
  <c r="M88" i="3"/>
  <c r="L88" i="3"/>
  <c r="L89" i="3"/>
  <c r="K91" i="3"/>
  <c r="L90" i="3"/>
  <c r="N76" i="3"/>
  <c r="AC49" i="3" l="1"/>
  <c r="AC51" i="3"/>
  <c r="AF49" i="3"/>
  <c r="AL52" i="3"/>
  <c r="AC40" i="3"/>
  <c r="AC43" i="3"/>
  <c r="AC50" i="3"/>
  <c r="AC41" i="3"/>
  <c r="AC48" i="3"/>
  <c r="AI51" i="3"/>
  <c r="AC47" i="3"/>
  <c r="AI52" i="3"/>
  <c r="AF52" i="3"/>
  <c r="AF40" i="3"/>
  <c r="V40" i="3"/>
  <c r="O40" i="3"/>
  <c r="AC45" i="3"/>
  <c r="AI49" i="3"/>
  <c r="AL51" i="3"/>
  <c r="L91" i="3"/>
  <c r="N77" i="3"/>
  <c r="N78" i="3" l="1"/>
  <c r="M56" i="3" l="1"/>
  <c r="Q56" i="3" s="1"/>
  <c r="R56" i="3" s="1"/>
  <c r="A3" i="1"/>
  <c r="S3" i="1"/>
  <c r="I3" i="1"/>
  <c r="L3" i="1"/>
  <c r="V3" i="1"/>
  <c r="P52" i="3"/>
  <c r="I52" i="3" s="1"/>
  <c r="P51" i="3"/>
  <c r="I51" i="3" s="1"/>
  <c r="P50" i="3"/>
  <c r="I50" i="3" s="1"/>
  <c r="P49" i="3"/>
  <c r="I49" i="3" s="1"/>
  <c r="P48" i="3"/>
  <c r="I48" i="3" s="1"/>
  <c r="P47" i="3"/>
  <c r="I47" i="3" s="1"/>
  <c r="P46" i="3"/>
  <c r="I46" i="3" s="1"/>
  <c r="P45" i="3"/>
  <c r="I45" i="3" s="1"/>
  <c r="P44" i="3"/>
  <c r="I44" i="3" s="1"/>
  <c r="P43" i="3"/>
  <c r="I43" i="3" s="1"/>
  <c r="P42" i="3"/>
  <c r="I42" i="3" s="1"/>
  <c r="P41" i="3"/>
  <c r="I41" i="3" s="1"/>
  <c r="P40" i="3"/>
  <c r="T51" i="3"/>
  <c r="J72" i="3" l="1"/>
  <c r="M40" i="3"/>
  <c r="AJ40" i="3"/>
  <c r="J3" i="1"/>
  <c r="I40" i="3"/>
  <c r="P53" i="3"/>
  <c r="T3" i="1"/>
  <c r="G3" i="1"/>
  <c r="AK40" i="3" s="1"/>
  <c r="L15" i="1"/>
  <c r="L16" i="1"/>
  <c r="J122" i="1"/>
  <c r="J121" i="1"/>
  <c r="J119" i="1"/>
  <c r="J96" i="1"/>
  <c r="J93" i="1"/>
  <c r="J79" i="1"/>
  <c r="J75" i="1"/>
  <c r="J72" i="1"/>
  <c r="J65" i="1"/>
  <c r="J64" i="1"/>
  <c r="J60" i="1"/>
  <c r="J58" i="1"/>
  <c r="J43" i="1"/>
  <c r="J28" i="1"/>
  <c r="J26" i="1"/>
  <c r="J21" i="1"/>
  <c r="J17" i="1"/>
  <c r="J16" i="1"/>
  <c r="J14" i="1"/>
  <c r="AL40" i="3" l="1"/>
  <c r="N3" i="1"/>
  <c r="M3" i="1"/>
  <c r="J143" i="2"/>
  <c r="J144" i="2"/>
  <c r="J145" i="2"/>
  <c r="J141" i="2"/>
  <c r="J140" i="2"/>
  <c r="J152" i="2"/>
  <c r="J151" i="2"/>
  <c r="J150" i="2"/>
  <c r="J149" i="2"/>
  <c r="J148" i="2"/>
  <c r="J147" i="2"/>
  <c r="J146" i="2"/>
  <c r="J142" i="2"/>
  <c r="O3" i="1" l="1"/>
  <c r="V129" i="1"/>
  <c r="V128" i="1"/>
  <c r="V127" i="1"/>
  <c r="E126" i="1"/>
  <c r="A126" i="1"/>
  <c r="E125" i="1"/>
  <c r="A125" i="1"/>
  <c r="V124" i="1"/>
  <c r="A124" i="1"/>
  <c r="V123" i="1"/>
  <c r="A123" i="1"/>
  <c r="V122" i="1"/>
  <c r="T122" i="1"/>
  <c r="E120" i="1"/>
  <c r="A120" i="1"/>
  <c r="V119" i="1"/>
  <c r="T119" i="1"/>
  <c r="A119" i="1"/>
  <c r="E118" i="1"/>
  <c r="E117" i="1"/>
  <c r="A117" i="1"/>
  <c r="V116" i="1"/>
  <c r="V115" i="1"/>
  <c r="E114" i="1"/>
  <c r="A114" i="1"/>
  <c r="V113" i="1"/>
  <c r="A113" i="1"/>
  <c r="E112" i="1"/>
  <c r="E111" i="1"/>
  <c r="A111" i="1"/>
  <c r="E110" i="1"/>
  <c r="A110" i="1"/>
  <c r="I109" i="1"/>
  <c r="E109" i="1"/>
  <c r="I108" i="1"/>
  <c r="E108" i="1"/>
  <c r="A108" i="1"/>
  <c r="I107" i="1"/>
  <c r="E107" i="1"/>
  <c r="A107" i="1"/>
  <c r="I106" i="1"/>
  <c r="E106" i="1"/>
  <c r="A106" i="1"/>
  <c r="I105" i="1"/>
  <c r="E105" i="1"/>
  <c r="A105" i="1"/>
  <c r="I104" i="1"/>
  <c r="E104" i="1"/>
  <c r="A104" i="1"/>
  <c r="I103" i="1"/>
  <c r="U5" i="5" s="1"/>
  <c r="E103" i="1"/>
  <c r="I102" i="1"/>
  <c r="T102" i="1" s="1"/>
  <c r="E102" i="1"/>
  <c r="I101" i="1"/>
  <c r="E101" i="1"/>
  <c r="I100" i="1"/>
  <c r="E100" i="1"/>
  <c r="I99" i="1"/>
  <c r="E99" i="1"/>
  <c r="A99" i="1"/>
  <c r="I98" i="1"/>
  <c r="E98" i="1"/>
  <c r="A98" i="1"/>
  <c r="I97" i="1"/>
  <c r="R10" i="5" s="1"/>
  <c r="E97" i="1"/>
  <c r="A97" i="1"/>
  <c r="V96" i="1"/>
  <c r="T96" i="1"/>
  <c r="I95" i="1"/>
  <c r="E95" i="1"/>
  <c r="I94" i="1"/>
  <c r="AD50" i="3" s="1"/>
  <c r="E94" i="1"/>
  <c r="A94" i="1"/>
  <c r="V93" i="1"/>
  <c r="T93" i="1"/>
  <c r="A93" i="1"/>
  <c r="I92" i="1"/>
  <c r="E92" i="1"/>
  <c r="I91" i="1"/>
  <c r="E91" i="1"/>
  <c r="I90" i="1"/>
  <c r="E90" i="1"/>
  <c r="R90" i="1" s="1"/>
  <c r="A90" i="1"/>
  <c r="I89" i="1"/>
  <c r="E89" i="1"/>
  <c r="I88" i="1"/>
  <c r="E88" i="1"/>
  <c r="A88" i="1"/>
  <c r="I87" i="1"/>
  <c r="E87" i="1"/>
  <c r="I86" i="1"/>
  <c r="E86" i="1"/>
  <c r="A86" i="1"/>
  <c r="V85" i="1"/>
  <c r="I85" i="1"/>
  <c r="AD43" i="3" s="1"/>
  <c r="I84" i="1"/>
  <c r="E84" i="1"/>
  <c r="K45" i="3" s="1"/>
  <c r="I83" i="1"/>
  <c r="E83" i="1"/>
  <c r="I82" i="1"/>
  <c r="L9" i="5" s="1"/>
  <c r="E82" i="1"/>
  <c r="I81" i="1"/>
  <c r="E81" i="1"/>
  <c r="A81" i="1"/>
  <c r="I80" i="1"/>
  <c r="AG48" i="3" s="1"/>
  <c r="E80" i="1"/>
  <c r="V79" i="1"/>
  <c r="T79" i="1"/>
  <c r="I78" i="1"/>
  <c r="E78" i="1"/>
  <c r="A78" i="1"/>
  <c r="I77" i="1"/>
  <c r="L7" i="5" s="1"/>
  <c r="E77" i="1"/>
  <c r="A77" i="1"/>
  <c r="I76" i="1"/>
  <c r="E76" i="1"/>
  <c r="A76" i="1"/>
  <c r="V75" i="1"/>
  <c r="L3" i="5"/>
  <c r="I74" i="1"/>
  <c r="E74" i="1"/>
  <c r="V73" i="1"/>
  <c r="I73" i="1"/>
  <c r="V72" i="1"/>
  <c r="T72" i="1"/>
  <c r="I71" i="1"/>
  <c r="E71" i="1"/>
  <c r="I70" i="1"/>
  <c r="I13" i="5" s="1"/>
  <c r="E70" i="1"/>
  <c r="I69" i="1"/>
  <c r="E69" i="1"/>
  <c r="A69" i="1"/>
  <c r="I68" i="1"/>
  <c r="E68" i="1"/>
  <c r="A68" i="1"/>
  <c r="I67" i="1"/>
  <c r="E67" i="1"/>
  <c r="A67" i="1"/>
  <c r="I66" i="1"/>
  <c r="I7" i="5" s="1"/>
  <c r="E66" i="1"/>
  <c r="A66" i="1"/>
  <c r="V65" i="1"/>
  <c r="T65" i="1"/>
  <c r="A65" i="1"/>
  <c r="V64" i="1"/>
  <c r="T64" i="1"/>
  <c r="I63" i="1"/>
  <c r="V63" i="1"/>
  <c r="A63" i="1"/>
  <c r="I62" i="1"/>
  <c r="E62" i="1"/>
  <c r="A62" i="1"/>
  <c r="I61" i="1"/>
  <c r="F9" i="5" s="1"/>
  <c r="E61" i="1"/>
  <c r="A61" i="1"/>
  <c r="V60" i="1"/>
  <c r="T60" i="1"/>
  <c r="A60" i="1"/>
  <c r="I59" i="1"/>
  <c r="E59" i="1"/>
  <c r="A59" i="1"/>
  <c r="V58" i="1"/>
  <c r="T58" i="1"/>
  <c r="I57" i="1"/>
  <c r="E57" i="1"/>
  <c r="I56" i="1"/>
  <c r="E56" i="1"/>
  <c r="A56" i="1"/>
  <c r="V55" i="1"/>
  <c r="I55" i="1"/>
  <c r="I54" i="1"/>
  <c r="E54" i="1"/>
  <c r="A54" i="1"/>
  <c r="V53" i="1"/>
  <c r="I53" i="1"/>
  <c r="AG45" i="3" s="1"/>
  <c r="I52" i="1"/>
  <c r="E52" i="1"/>
  <c r="I51" i="1"/>
  <c r="E51" i="1"/>
  <c r="I50" i="1"/>
  <c r="E50" i="1"/>
  <c r="I49" i="1"/>
  <c r="E49" i="1"/>
  <c r="I48" i="1"/>
  <c r="E48" i="1"/>
  <c r="A48" i="1"/>
  <c r="I47" i="1"/>
  <c r="E47" i="1"/>
  <c r="I46" i="1"/>
  <c r="V46" i="1"/>
  <c r="A46" i="1"/>
  <c r="I45" i="1"/>
  <c r="V45" i="1"/>
  <c r="A45" i="1"/>
  <c r="I44" i="1"/>
  <c r="AG50" i="3" s="1"/>
  <c r="V44" i="1"/>
  <c r="A44" i="1"/>
  <c r="V43" i="1"/>
  <c r="T43" i="1"/>
  <c r="A43" i="1"/>
  <c r="I42" i="1"/>
  <c r="E42" i="1"/>
  <c r="A42" i="1"/>
  <c r="I41" i="1"/>
  <c r="E41" i="1"/>
  <c r="A41" i="1"/>
  <c r="I40" i="1"/>
  <c r="V40" i="1"/>
  <c r="A40" i="1"/>
  <c r="I39" i="1"/>
  <c r="V39" i="1"/>
  <c r="A39" i="1"/>
  <c r="I38" i="1"/>
  <c r="T38" i="1" s="1"/>
  <c r="A38" i="1"/>
  <c r="I37" i="1"/>
  <c r="T37" i="1" s="1"/>
  <c r="E37" i="1"/>
  <c r="V37" i="1" s="1"/>
  <c r="A37" i="1"/>
  <c r="I36" i="1"/>
  <c r="T36" i="1" s="1"/>
  <c r="E36" i="1"/>
  <c r="V36" i="1" s="1"/>
  <c r="A36" i="1"/>
  <c r="I35" i="1"/>
  <c r="T35" i="1" s="1"/>
  <c r="E35" i="1"/>
  <c r="V35" i="1" s="1"/>
  <c r="I34" i="1"/>
  <c r="T34" i="1" s="1"/>
  <c r="E34" i="1"/>
  <c r="V34" i="1" s="1"/>
  <c r="I33" i="1"/>
  <c r="E33" i="1"/>
  <c r="I32" i="1"/>
  <c r="V32" i="1"/>
  <c r="A32" i="1"/>
  <c r="I31" i="1"/>
  <c r="E31" i="1"/>
  <c r="A31" i="1"/>
  <c r="I30" i="1"/>
  <c r="E30" i="1"/>
  <c r="A30" i="1"/>
  <c r="I29" i="1"/>
  <c r="E29" i="1"/>
  <c r="A29" i="1"/>
  <c r="V28" i="1"/>
  <c r="T28" i="1"/>
  <c r="A28" i="1"/>
  <c r="I27" i="1"/>
  <c r="E27" i="1"/>
  <c r="V26" i="1"/>
  <c r="T26" i="1"/>
  <c r="I25" i="1"/>
  <c r="E25" i="1"/>
  <c r="A25" i="1"/>
  <c r="I24" i="1"/>
  <c r="E24" i="1"/>
  <c r="A24" i="1"/>
  <c r="I23" i="1"/>
  <c r="V23" i="1"/>
  <c r="A23" i="1"/>
  <c r="I22" i="1"/>
  <c r="V22" i="1"/>
  <c r="A22" i="1"/>
  <c r="A21" i="1"/>
  <c r="I20" i="1"/>
  <c r="E20" i="1"/>
  <c r="A20" i="1"/>
  <c r="I19" i="1"/>
  <c r="E19" i="1"/>
  <c r="I18" i="1"/>
  <c r="E18" i="1"/>
  <c r="A18" i="1"/>
  <c r="V17" i="1"/>
  <c r="T17" i="1"/>
  <c r="A17" i="1"/>
  <c r="V16" i="1"/>
  <c r="T16" i="1"/>
  <c r="I15" i="1"/>
  <c r="V15" i="1"/>
  <c r="A15" i="1"/>
  <c r="V14" i="1"/>
  <c r="T14" i="1"/>
  <c r="I13" i="1"/>
  <c r="E13" i="1"/>
  <c r="I12" i="1"/>
  <c r="V12" i="1"/>
  <c r="A12" i="1"/>
  <c r="I11" i="1"/>
  <c r="V11" i="1"/>
  <c r="A11" i="1"/>
  <c r="I10" i="1"/>
  <c r="V10" i="1"/>
  <c r="A10" i="1"/>
  <c r="V9" i="1"/>
  <c r="I9" i="1"/>
  <c r="T9" i="1" s="1"/>
  <c r="I8" i="1"/>
  <c r="V8" i="1"/>
  <c r="I7" i="1"/>
  <c r="E7" i="1"/>
  <c r="V6" i="1"/>
  <c r="T6" i="1"/>
  <c r="J6" i="1"/>
  <c r="A6" i="1"/>
  <c r="I5" i="1"/>
  <c r="AJ42" i="3" s="1"/>
  <c r="V5" i="1"/>
  <c r="A5" i="1"/>
  <c r="V4" i="1"/>
  <c r="T4" i="1"/>
  <c r="J4" i="1"/>
  <c r="A4" i="1"/>
  <c r="T40" i="3"/>
  <c r="L123" i="1"/>
  <c r="L124" i="1"/>
  <c r="L121" i="1"/>
  <c r="L75" i="1"/>
  <c r="L38" i="1"/>
  <c r="L28" i="1"/>
  <c r="L39" i="1"/>
  <c r="L32" i="1"/>
  <c r="L12" i="1"/>
  <c r="L6" i="1"/>
  <c r="L10" i="1"/>
  <c r="L4" i="1"/>
  <c r="L8" i="1"/>
  <c r="L22" i="1"/>
  <c r="L20" i="1"/>
  <c r="L11" i="1"/>
  <c r="L9" i="1"/>
  <c r="L7" i="1"/>
  <c r="L5" i="1"/>
  <c r="C6" i="5" l="1"/>
  <c r="AG43" i="3"/>
  <c r="M46" i="3"/>
  <c r="M42" i="3"/>
  <c r="M50" i="3"/>
  <c r="AJ50" i="3"/>
  <c r="J81" i="3"/>
  <c r="M49" i="3"/>
  <c r="AJ49" i="3"/>
  <c r="M41" i="3"/>
  <c r="AG41" i="3"/>
  <c r="O7" i="5"/>
  <c r="AD44" i="3"/>
  <c r="O8" i="5"/>
  <c r="AD45" i="3"/>
  <c r="AJ45" i="3"/>
  <c r="AJ46" i="3"/>
  <c r="O9" i="5"/>
  <c r="AD46" i="3"/>
  <c r="U4" i="5"/>
  <c r="AD41" i="3"/>
  <c r="O5" i="5"/>
  <c r="AD42" i="3"/>
  <c r="AJ47" i="3"/>
  <c r="F5" i="5"/>
  <c r="AG42" i="3"/>
  <c r="F7" i="5"/>
  <c r="AG44" i="3"/>
  <c r="AG46" i="3"/>
  <c r="M43" i="3"/>
  <c r="AJ43" i="3"/>
  <c r="M45" i="3"/>
  <c r="M47" i="3"/>
  <c r="AD47" i="3"/>
  <c r="O11" i="5"/>
  <c r="AD48" i="3"/>
  <c r="M44" i="3"/>
  <c r="AJ44" i="3"/>
  <c r="M48" i="3"/>
  <c r="AJ48" i="3"/>
  <c r="U6" i="5"/>
  <c r="K49" i="3"/>
  <c r="F6" i="5"/>
  <c r="L11" i="5"/>
  <c r="K41" i="3"/>
  <c r="K43" i="3"/>
  <c r="K47" i="3"/>
  <c r="K48" i="3"/>
  <c r="K44" i="3"/>
  <c r="K50" i="3"/>
  <c r="K46" i="3"/>
  <c r="K42" i="3"/>
  <c r="J77" i="3"/>
  <c r="J78" i="3"/>
  <c r="V70" i="1"/>
  <c r="R70" i="1"/>
  <c r="L4" i="5"/>
  <c r="J73" i="3"/>
  <c r="V48" i="1"/>
  <c r="R48" i="1"/>
  <c r="V106" i="1"/>
  <c r="R106" i="1"/>
  <c r="V97" i="1"/>
  <c r="R97" i="1"/>
  <c r="V102" i="1"/>
  <c r="R102" i="1"/>
  <c r="V111" i="1"/>
  <c r="R111" i="1"/>
  <c r="V42" i="1"/>
  <c r="R42" i="1"/>
  <c r="V7" i="1"/>
  <c r="R7" i="1"/>
  <c r="I90" i="3"/>
  <c r="R34" i="1"/>
  <c r="C9" i="5"/>
  <c r="V52" i="1"/>
  <c r="R52" i="1"/>
  <c r="V57" i="1"/>
  <c r="R57" i="1"/>
  <c r="J75" i="3"/>
  <c r="V105" i="1"/>
  <c r="R105" i="1"/>
  <c r="R35" i="1"/>
  <c r="J53" i="1"/>
  <c r="F8" i="5"/>
  <c r="V81" i="1"/>
  <c r="R81" i="1"/>
  <c r="V101" i="1"/>
  <c r="R101" i="1"/>
  <c r="V82" i="1"/>
  <c r="R82" i="1"/>
  <c r="I6" i="5"/>
  <c r="L5" i="5"/>
  <c r="V83" i="1"/>
  <c r="R83" i="1"/>
  <c r="O47" i="3" s="1"/>
  <c r="V88" i="1"/>
  <c r="R88" i="1"/>
  <c r="V112" i="1"/>
  <c r="R112" i="1"/>
  <c r="V126" i="1"/>
  <c r="R126" i="1"/>
  <c r="V118" i="1"/>
  <c r="R118" i="1"/>
  <c r="J80" i="3"/>
  <c r="C13" i="5"/>
  <c r="M90" i="3"/>
  <c r="Q77" i="3"/>
  <c r="V49" i="1"/>
  <c r="R49" i="1"/>
  <c r="I5" i="5"/>
  <c r="J74" i="3"/>
  <c r="Q78" i="3"/>
  <c r="V19" i="1"/>
  <c r="R19" i="1"/>
  <c r="V68" i="1"/>
  <c r="R68" i="1"/>
  <c r="V78" i="1"/>
  <c r="R78" i="1"/>
  <c r="O10" i="5"/>
  <c r="Q76" i="3"/>
  <c r="V103" i="1"/>
  <c r="R103" i="1"/>
  <c r="V107" i="1"/>
  <c r="R107" i="1"/>
  <c r="V29" i="1"/>
  <c r="R29" i="1"/>
  <c r="I89" i="3"/>
  <c r="V95" i="1"/>
  <c r="R95" i="1"/>
  <c r="V109" i="1"/>
  <c r="R109" i="1"/>
  <c r="V25" i="1"/>
  <c r="R25" i="1"/>
  <c r="I94" i="3"/>
  <c r="V47" i="1"/>
  <c r="R47" i="1"/>
  <c r="V66" i="1"/>
  <c r="R66" i="1"/>
  <c r="V76" i="1"/>
  <c r="R76" i="1"/>
  <c r="I88" i="3"/>
  <c r="V86" i="1"/>
  <c r="R86" i="1"/>
  <c r="V100" i="1"/>
  <c r="R100" i="1"/>
  <c r="V62" i="1"/>
  <c r="R62" i="1"/>
  <c r="V91" i="1"/>
  <c r="R91" i="1"/>
  <c r="V117" i="1"/>
  <c r="R117" i="1"/>
  <c r="V13" i="1"/>
  <c r="R13" i="1"/>
  <c r="I92" i="3"/>
  <c r="V77" i="1"/>
  <c r="R77" i="1"/>
  <c r="V92" i="1"/>
  <c r="R92" i="1"/>
  <c r="J79" i="3"/>
  <c r="V27" i="1"/>
  <c r="R27" i="1"/>
  <c r="I95" i="3"/>
  <c r="V31" i="1"/>
  <c r="R31" i="1"/>
  <c r="R36" i="1"/>
  <c r="V54" i="1"/>
  <c r="R54" i="1"/>
  <c r="V59" i="1"/>
  <c r="R59" i="1"/>
  <c r="R37" i="1"/>
  <c r="V41" i="1"/>
  <c r="R41" i="1"/>
  <c r="I97" i="3"/>
  <c r="V50" i="1"/>
  <c r="R50" i="1"/>
  <c r="V74" i="1"/>
  <c r="R74" i="1"/>
  <c r="V84" i="1"/>
  <c r="R84" i="1"/>
  <c r="O45" i="3" s="1"/>
  <c r="V89" i="1"/>
  <c r="R89" i="1"/>
  <c r="V98" i="1"/>
  <c r="R98" i="1"/>
  <c r="U10" i="5"/>
  <c r="V120" i="1"/>
  <c r="R120" i="1"/>
  <c r="V61" i="1"/>
  <c r="R61" i="1"/>
  <c r="V90" i="1"/>
  <c r="V30" i="1"/>
  <c r="R30" i="1"/>
  <c r="V71" i="1"/>
  <c r="R71" i="1"/>
  <c r="T44" i="3"/>
  <c r="J76" i="3"/>
  <c r="R5" i="5"/>
  <c r="V80" i="1"/>
  <c r="R80" i="1"/>
  <c r="R13" i="5"/>
  <c r="M89" i="3"/>
  <c r="V99" i="1"/>
  <c r="R99" i="1"/>
  <c r="V87" i="1"/>
  <c r="R87" i="1"/>
  <c r="V110" i="1"/>
  <c r="R110" i="1"/>
  <c r="V67" i="1"/>
  <c r="R67" i="1"/>
  <c r="V125" i="1"/>
  <c r="P75" i="3" s="1"/>
  <c r="R125" i="1"/>
  <c r="S75" i="3" s="1"/>
  <c r="V18" i="1"/>
  <c r="R18" i="1"/>
  <c r="I91" i="3"/>
  <c r="J82" i="3"/>
  <c r="M91" i="3"/>
  <c r="V20" i="1"/>
  <c r="R20" i="1"/>
  <c r="I93" i="3"/>
  <c r="V24" i="1"/>
  <c r="R24" i="1"/>
  <c r="V33" i="1"/>
  <c r="R33" i="1"/>
  <c r="I96" i="3"/>
  <c r="V51" i="1"/>
  <c r="R51" i="1"/>
  <c r="V56" i="1"/>
  <c r="R56" i="1"/>
  <c r="V69" i="1"/>
  <c r="R69" i="1"/>
  <c r="O6" i="5"/>
  <c r="V94" i="1"/>
  <c r="R94" i="1"/>
  <c r="V104" i="1"/>
  <c r="R104" i="1"/>
  <c r="V108" i="1"/>
  <c r="R108" i="1"/>
  <c r="V114" i="1"/>
  <c r="R114" i="1"/>
  <c r="T52" i="3"/>
  <c r="R51" i="3"/>
  <c r="T47" i="3"/>
  <c r="T49" i="3"/>
  <c r="T41" i="3"/>
  <c r="T42" i="3"/>
  <c r="T46" i="3"/>
  <c r="T50" i="3"/>
  <c r="T48" i="3"/>
  <c r="T43" i="3"/>
  <c r="T45" i="3"/>
  <c r="R41" i="3"/>
  <c r="R43" i="3"/>
  <c r="R45" i="3"/>
  <c r="R47" i="3"/>
  <c r="R44" i="3"/>
  <c r="R46" i="3"/>
  <c r="R52" i="3"/>
  <c r="R48" i="3"/>
  <c r="R49" i="3"/>
  <c r="R42" i="3"/>
  <c r="R50" i="3"/>
  <c r="R40" i="3"/>
  <c r="J110" i="1"/>
  <c r="J7" i="1"/>
  <c r="J50" i="1"/>
  <c r="J47" i="1"/>
  <c r="J101" i="1"/>
  <c r="J40" i="1"/>
  <c r="J92" i="1"/>
  <c r="J99" i="1"/>
  <c r="J30" i="1"/>
  <c r="J71" i="1"/>
  <c r="J46" i="1"/>
  <c r="J34" i="1"/>
  <c r="J32" i="1"/>
  <c r="J39" i="1"/>
  <c r="J42" i="1"/>
  <c r="T53" i="1"/>
  <c r="J100" i="1"/>
  <c r="T55" i="1"/>
  <c r="J55" i="1"/>
  <c r="J76" i="1"/>
  <c r="T87" i="1"/>
  <c r="J87" i="1"/>
  <c r="J18" i="1"/>
  <c r="J51" i="1"/>
  <c r="J41" i="1"/>
  <c r="J59" i="1"/>
  <c r="J35" i="1"/>
  <c r="J84" i="1"/>
  <c r="J91" i="1"/>
  <c r="J102" i="1"/>
  <c r="J108" i="1"/>
  <c r="J126" i="1"/>
  <c r="J15" i="1"/>
  <c r="J19" i="1"/>
  <c r="J22" i="1"/>
  <c r="J48" i="1"/>
  <c r="J52" i="1"/>
  <c r="J77" i="1"/>
  <c r="T85" i="1"/>
  <c r="J85" i="1"/>
  <c r="T88" i="1"/>
  <c r="J88" i="1"/>
  <c r="J95" i="1"/>
  <c r="T112" i="1"/>
  <c r="J112" i="1"/>
  <c r="T116" i="1"/>
  <c r="J116" i="1"/>
  <c r="T127" i="1"/>
  <c r="J127" i="1"/>
  <c r="T25" i="1"/>
  <c r="J25" i="1"/>
  <c r="T29" i="1"/>
  <c r="J29" i="1"/>
  <c r="J45" i="1"/>
  <c r="J56" i="1"/>
  <c r="T63" i="1"/>
  <c r="J63" i="1"/>
  <c r="T74" i="1"/>
  <c r="J74" i="1"/>
  <c r="J81" i="1"/>
  <c r="T109" i="1"/>
  <c r="J109" i="1"/>
  <c r="J80" i="1"/>
  <c r="J94" i="1"/>
  <c r="T105" i="1"/>
  <c r="J105" i="1"/>
  <c r="J123" i="1"/>
  <c r="T106" i="1"/>
  <c r="J106" i="1"/>
  <c r="J70" i="1"/>
  <c r="J89" i="1"/>
  <c r="J20" i="1"/>
  <c r="J23" i="1"/>
  <c r="J57" i="1"/>
  <c r="J78" i="1"/>
  <c r="J82" i="1"/>
  <c r="T113" i="1"/>
  <c r="J113" i="1"/>
  <c r="T129" i="1"/>
  <c r="J129" i="1"/>
  <c r="T118" i="1"/>
  <c r="J118" i="1"/>
  <c r="J24" i="1"/>
  <c r="J44" i="1"/>
  <c r="T62" i="1"/>
  <c r="J62" i="1"/>
  <c r="J38" i="1"/>
  <c r="J69" i="1"/>
  <c r="T49" i="1"/>
  <c r="J49" i="1"/>
  <c r="J120" i="1"/>
  <c r="T20" i="1"/>
  <c r="T23" i="1"/>
  <c r="T33" i="1"/>
  <c r="J33" i="1"/>
  <c r="J61" i="1"/>
  <c r="J86" i="1"/>
  <c r="J117" i="1"/>
  <c r="T83" i="1"/>
  <c r="J83" i="1"/>
  <c r="T114" i="1"/>
  <c r="J114" i="1"/>
  <c r="T73" i="1"/>
  <c r="J73" i="1"/>
  <c r="T111" i="1"/>
  <c r="J111" i="1"/>
  <c r="J115" i="1"/>
  <c r="T67" i="1"/>
  <c r="J67" i="1"/>
  <c r="T103" i="1"/>
  <c r="J103" i="1"/>
  <c r="J36" i="1"/>
  <c r="T13" i="1"/>
  <c r="J13" i="1"/>
  <c r="T27" i="1"/>
  <c r="J27" i="1"/>
  <c r="J97" i="1"/>
  <c r="J104" i="1"/>
  <c r="J107" i="1"/>
  <c r="J31" i="1"/>
  <c r="T66" i="1"/>
  <c r="J66" i="1"/>
  <c r="J98" i="1"/>
  <c r="T128" i="1"/>
  <c r="J128" i="1"/>
  <c r="J124" i="1"/>
  <c r="J37" i="1"/>
  <c r="J54" i="1"/>
  <c r="J68" i="1"/>
  <c r="J90" i="1"/>
  <c r="T125" i="1"/>
  <c r="J125" i="1"/>
  <c r="J11" i="1"/>
  <c r="T18" i="1"/>
  <c r="T40" i="1"/>
  <c r="T61" i="1"/>
  <c r="T126" i="1"/>
  <c r="T8" i="1"/>
  <c r="T47" i="1"/>
  <c r="T54" i="1"/>
  <c r="T78" i="1"/>
  <c r="T5" i="1"/>
  <c r="T31" i="1"/>
  <c r="T44" i="1"/>
  <c r="T71" i="1"/>
  <c r="T86" i="1"/>
  <c r="J5" i="1"/>
  <c r="J12" i="1"/>
  <c r="T22" i="1"/>
  <c r="T97" i="1"/>
  <c r="T100" i="1"/>
  <c r="T45" i="1"/>
  <c r="T80" i="1"/>
  <c r="T94" i="1"/>
  <c r="T81" i="1"/>
  <c r="J10" i="1"/>
  <c r="T56" i="1"/>
  <c r="T98" i="1"/>
  <c r="T19" i="1"/>
  <c r="T24" i="1"/>
  <c r="T30" i="1"/>
  <c r="T51" i="1"/>
  <c r="T77" i="1"/>
  <c r="T104" i="1"/>
  <c r="T10" i="1"/>
  <c r="T48" i="1"/>
  <c r="T59" i="1"/>
  <c r="T84" i="1"/>
  <c r="T91" i="1"/>
  <c r="T101" i="1"/>
  <c r="T123" i="1"/>
  <c r="T7" i="1"/>
  <c r="T39" i="1"/>
  <c r="T42" i="1"/>
  <c r="T52" i="1"/>
  <c r="T68" i="1"/>
  <c r="T107" i="1"/>
  <c r="T110" i="1"/>
  <c r="T117" i="1"/>
  <c r="T120" i="1"/>
  <c r="T92" i="1"/>
  <c r="T124" i="1"/>
  <c r="T46" i="1"/>
  <c r="T82" i="1"/>
  <c r="T99" i="1"/>
  <c r="T50" i="1"/>
  <c r="T57" i="1"/>
  <c r="T69" i="1"/>
  <c r="T76" i="1"/>
  <c r="T108" i="1"/>
  <c r="T115" i="1"/>
  <c r="J9" i="1"/>
  <c r="T12" i="1"/>
  <c r="T32" i="1"/>
  <c r="T41" i="1"/>
  <c r="S6" i="1"/>
  <c r="G6" i="1"/>
  <c r="G8" i="1"/>
  <c r="S8" i="1"/>
  <c r="S9" i="1"/>
  <c r="G9" i="1"/>
  <c r="S18" i="1"/>
  <c r="G18" i="1"/>
  <c r="G10" i="1"/>
  <c r="S10" i="1"/>
  <c r="S12" i="1"/>
  <c r="G12" i="1"/>
  <c r="G14" i="1"/>
  <c r="S14" i="1"/>
  <c r="S19" i="1"/>
  <c r="G19" i="1"/>
  <c r="G17" i="1"/>
  <c r="S17" i="1"/>
  <c r="S4" i="1"/>
  <c r="G4" i="1"/>
  <c r="AK41" i="3" s="1"/>
  <c r="AL41" i="3" s="1"/>
  <c r="S5" i="1"/>
  <c r="G5" i="1"/>
  <c r="S7" i="1"/>
  <c r="G7" i="1"/>
  <c r="S11" i="1"/>
  <c r="G11" i="1"/>
  <c r="S13" i="1"/>
  <c r="G13" i="1"/>
  <c r="S15" i="1"/>
  <c r="G15" i="1"/>
  <c r="S16" i="1"/>
  <c r="G16" i="1"/>
  <c r="S20" i="1"/>
  <c r="G20" i="1"/>
  <c r="S27" i="1"/>
  <c r="G27" i="1"/>
  <c r="AK48" i="3" s="1"/>
  <c r="S33" i="1"/>
  <c r="G33" i="1"/>
  <c r="G43" i="1"/>
  <c r="S43" i="1"/>
  <c r="S49" i="1"/>
  <c r="G49" i="1"/>
  <c r="G55" i="1"/>
  <c r="S55" i="1"/>
  <c r="G64" i="1"/>
  <c r="S64" i="1"/>
  <c r="G21" i="1"/>
  <c r="S23" i="1"/>
  <c r="G23" i="1"/>
  <c r="S24" i="1"/>
  <c r="G24" i="1"/>
  <c r="S25" i="1"/>
  <c r="G25" i="1"/>
  <c r="S40" i="1"/>
  <c r="G40" i="1"/>
  <c r="S41" i="1"/>
  <c r="G41" i="1"/>
  <c r="AK50" i="3" s="1"/>
  <c r="AL50" i="3" s="1"/>
  <c r="S42" i="1"/>
  <c r="G42" i="1"/>
  <c r="S47" i="1"/>
  <c r="G47" i="1"/>
  <c r="S48" i="1"/>
  <c r="G48" i="1"/>
  <c r="S52" i="1"/>
  <c r="G52" i="1"/>
  <c r="S66" i="1"/>
  <c r="G66" i="1"/>
  <c r="G35" i="1"/>
  <c r="G36" i="1"/>
  <c r="G37" i="1"/>
  <c r="G38" i="1"/>
  <c r="G44" i="1"/>
  <c r="AH50" i="3" s="1"/>
  <c r="AI50" i="3" s="1"/>
  <c r="S44" i="1"/>
  <c r="G45" i="1"/>
  <c r="S45" i="1"/>
  <c r="G46" i="1"/>
  <c r="S46" i="1"/>
  <c r="G51" i="1"/>
  <c r="S51" i="1"/>
  <c r="G76" i="1"/>
  <c r="AH41" i="3" s="1"/>
  <c r="S22" i="1"/>
  <c r="G22" i="1"/>
  <c r="S26" i="1"/>
  <c r="G26" i="1"/>
  <c r="S28" i="1"/>
  <c r="G28" i="1"/>
  <c r="S29" i="1"/>
  <c r="G29" i="1"/>
  <c r="S30" i="1"/>
  <c r="G30" i="1"/>
  <c r="S31" i="1"/>
  <c r="G31" i="1"/>
  <c r="S32" i="1"/>
  <c r="G32" i="1"/>
  <c r="G34" i="1"/>
  <c r="S39" i="1"/>
  <c r="G39" i="1"/>
  <c r="S50" i="1"/>
  <c r="G50" i="1"/>
  <c r="S58" i="1"/>
  <c r="G58" i="1"/>
  <c r="G60" i="1"/>
  <c r="AH47" i="3" s="1"/>
  <c r="AI47" i="3" s="1"/>
  <c r="S60" i="1"/>
  <c r="S53" i="1"/>
  <c r="G53" i="1"/>
  <c r="AH45" i="3" s="1"/>
  <c r="AI45" i="3" s="1"/>
  <c r="S56" i="1"/>
  <c r="G56" i="1"/>
  <c r="S61" i="1"/>
  <c r="G61" i="1"/>
  <c r="S62" i="1"/>
  <c r="G62" i="1"/>
  <c r="S63" i="1"/>
  <c r="G63" i="1"/>
  <c r="G70" i="1"/>
  <c r="S70" i="1"/>
  <c r="G79" i="1"/>
  <c r="S79" i="1"/>
  <c r="S82" i="1"/>
  <c r="G82" i="1"/>
  <c r="S85" i="1"/>
  <c r="G85" i="1"/>
  <c r="S90" i="1"/>
  <c r="G90" i="1"/>
  <c r="S67" i="1"/>
  <c r="G67" i="1"/>
  <c r="S68" i="1"/>
  <c r="G68" i="1"/>
  <c r="S69" i="1"/>
  <c r="G69" i="1"/>
  <c r="S72" i="1"/>
  <c r="G72" i="1"/>
  <c r="S73" i="1"/>
  <c r="G73" i="1"/>
  <c r="G75" i="1"/>
  <c r="S80" i="1"/>
  <c r="G80" i="1"/>
  <c r="S81" i="1"/>
  <c r="G81" i="1"/>
  <c r="S89" i="1"/>
  <c r="G89" i="1"/>
  <c r="G95" i="1"/>
  <c r="S95" i="1"/>
  <c r="S103" i="1"/>
  <c r="G103" i="1"/>
  <c r="G77" i="1"/>
  <c r="S77" i="1"/>
  <c r="G78" i="1"/>
  <c r="S78" i="1"/>
  <c r="G84" i="1"/>
  <c r="AE45" i="3" s="1"/>
  <c r="AF45" i="3" s="1"/>
  <c r="S84" i="1"/>
  <c r="G87" i="1"/>
  <c r="S87" i="1"/>
  <c r="G88" i="1"/>
  <c r="S88" i="1"/>
  <c r="G92" i="1"/>
  <c r="AE46" i="3" s="1"/>
  <c r="AF46" i="3" s="1"/>
  <c r="S92" i="1"/>
  <c r="G93" i="1"/>
  <c r="S93" i="1"/>
  <c r="G54" i="1"/>
  <c r="S54" i="1"/>
  <c r="G57" i="1"/>
  <c r="S57" i="1"/>
  <c r="G59" i="1"/>
  <c r="S59" i="1"/>
  <c r="S65" i="1"/>
  <c r="G65" i="1"/>
  <c r="S71" i="1"/>
  <c r="G71" i="1"/>
  <c r="S74" i="1"/>
  <c r="G74" i="1"/>
  <c r="S83" i="1"/>
  <c r="G83" i="1"/>
  <c r="S86" i="1"/>
  <c r="G86" i="1"/>
  <c r="G96" i="1"/>
  <c r="S96" i="1"/>
  <c r="G97" i="1"/>
  <c r="S97" i="1"/>
  <c r="G98" i="1"/>
  <c r="S98" i="1"/>
  <c r="G99" i="1"/>
  <c r="S99" i="1"/>
  <c r="S104" i="1"/>
  <c r="G104" i="1"/>
  <c r="S105" i="1"/>
  <c r="G105" i="1"/>
  <c r="S106" i="1"/>
  <c r="G106" i="1"/>
  <c r="AE41" i="3" s="1"/>
  <c r="S107" i="1"/>
  <c r="G107" i="1"/>
  <c r="S108" i="1"/>
  <c r="G108" i="1"/>
  <c r="S117" i="1"/>
  <c r="G117" i="1"/>
  <c r="S120" i="1"/>
  <c r="G120" i="1"/>
  <c r="G122" i="1"/>
  <c r="S122" i="1"/>
  <c r="G124" i="1"/>
  <c r="S124" i="1"/>
  <c r="S127" i="1"/>
  <c r="G127" i="1"/>
  <c r="AB52" i="3" s="1"/>
  <c r="AC52" i="3" s="1"/>
  <c r="S91" i="1"/>
  <c r="G91" i="1"/>
  <c r="S94" i="1"/>
  <c r="G94" i="1"/>
  <c r="AE50" i="3" s="1"/>
  <c r="AF50" i="3" s="1"/>
  <c r="G102" i="1"/>
  <c r="S112" i="1"/>
  <c r="G112" i="1"/>
  <c r="S113" i="1"/>
  <c r="G113" i="1"/>
  <c r="S114" i="1"/>
  <c r="G114" i="1"/>
  <c r="S116" i="1"/>
  <c r="G116" i="1"/>
  <c r="S128" i="1"/>
  <c r="G128" i="1"/>
  <c r="G101" i="1"/>
  <c r="S101" i="1"/>
  <c r="G110" i="1"/>
  <c r="S110" i="1"/>
  <c r="G111" i="1"/>
  <c r="S111" i="1"/>
  <c r="G119" i="1"/>
  <c r="S119" i="1"/>
  <c r="G121" i="1"/>
  <c r="AE51" i="3" s="1"/>
  <c r="AF51" i="3" s="1"/>
  <c r="G123" i="1"/>
  <c r="AB44" i="3" s="1"/>
  <c r="AC44" i="3" s="1"/>
  <c r="S123" i="1"/>
  <c r="G125" i="1"/>
  <c r="AB46" i="3" s="1"/>
  <c r="AC46" i="3" s="1"/>
  <c r="S125" i="1"/>
  <c r="G126" i="1"/>
  <c r="S126" i="1"/>
  <c r="S129" i="1"/>
  <c r="G129" i="1"/>
  <c r="S100" i="1"/>
  <c r="G100" i="1"/>
  <c r="S109" i="1"/>
  <c r="G109" i="1"/>
  <c r="S115" i="1"/>
  <c r="G115" i="1"/>
  <c r="S118" i="1"/>
  <c r="G118" i="1"/>
  <c r="J8" i="1"/>
  <c r="T11" i="1"/>
  <c r="T15" i="1"/>
  <c r="T70" i="1"/>
  <c r="T89" i="1"/>
  <c r="T90" i="1"/>
  <c r="T95" i="1"/>
  <c r="AL48" i="3" l="1"/>
  <c r="AF41" i="3"/>
  <c r="AK47" i="3"/>
  <c r="AL47" i="3" s="1"/>
  <c r="AK46" i="3"/>
  <c r="AL46" i="3" s="1"/>
  <c r="AK42" i="3"/>
  <c r="AL42" i="3" s="1"/>
  <c r="V45" i="3"/>
  <c r="AI41" i="3"/>
  <c r="V44" i="3"/>
  <c r="O44" i="3"/>
  <c r="O41" i="3"/>
  <c r="V41" i="3"/>
  <c r="AE48" i="3"/>
  <c r="AF48" i="3" s="1"/>
  <c r="AH44" i="3"/>
  <c r="AI44" i="3" s="1"/>
  <c r="AE44" i="3"/>
  <c r="AF44" i="3" s="1"/>
  <c r="V49" i="3"/>
  <c r="O49" i="3"/>
  <c r="O42" i="3"/>
  <c r="V42" i="3"/>
  <c r="V43" i="3"/>
  <c r="O43" i="3"/>
  <c r="AE42" i="3"/>
  <c r="AF42" i="3" s="1"/>
  <c r="AB42" i="3"/>
  <c r="AC42" i="3" s="1"/>
  <c r="V48" i="3"/>
  <c r="O48" i="3"/>
  <c r="AE47" i="3"/>
  <c r="AF47" i="3" s="1"/>
  <c r="O46" i="3"/>
  <c r="V50" i="3"/>
  <c r="O50" i="3"/>
  <c r="AH46" i="3"/>
  <c r="AI46" i="3" s="1"/>
  <c r="AH42" i="3"/>
  <c r="AI42" i="3" s="1"/>
  <c r="AH48" i="3"/>
  <c r="AI48" i="3" s="1"/>
  <c r="AK44" i="3"/>
  <c r="AL44" i="3" s="1"/>
  <c r="AH43" i="3"/>
  <c r="AI43" i="3" s="1"/>
  <c r="AK45" i="3"/>
  <c r="AL45" i="3" s="1"/>
  <c r="L40" i="3"/>
  <c r="AH40" i="3"/>
  <c r="AI40" i="3" s="1"/>
  <c r="AK49" i="3"/>
  <c r="AL49" i="3" s="1"/>
  <c r="AK43" i="3"/>
  <c r="AL43" i="3" s="1"/>
  <c r="AE43" i="3"/>
  <c r="AF43" i="3" s="1"/>
  <c r="V46" i="3"/>
  <c r="V47" i="3"/>
  <c r="P77" i="3"/>
  <c r="U71" i="1"/>
  <c r="P76" i="3"/>
  <c r="U38" i="1"/>
  <c r="U36" i="1"/>
  <c r="P78" i="3"/>
  <c r="U37" i="1"/>
  <c r="U35" i="1"/>
  <c r="U21" i="1"/>
  <c r="U34" i="1"/>
  <c r="U116" i="1"/>
  <c r="U98" i="1"/>
  <c r="M9" i="5"/>
  <c r="N9" i="5" s="1"/>
  <c r="F20" i="5" s="1"/>
  <c r="U82" i="1"/>
  <c r="U127" i="1"/>
  <c r="U13" i="1"/>
  <c r="P11" i="5"/>
  <c r="Q11" i="5" s="1"/>
  <c r="U88" i="1"/>
  <c r="G8" i="5"/>
  <c r="H8" i="5" s="1"/>
  <c r="U53" i="1"/>
  <c r="U11" i="1"/>
  <c r="S76" i="3"/>
  <c r="U113" i="1"/>
  <c r="U124" i="1"/>
  <c r="U96" i="1"/>
  <c r="G7" i="5"/>
  <c r="H7" i="5" s="1"/>
  <c r="U59" i="1"/>
  <c r="U87" i="1"/>
  <c r="U68" i="1"/>
  <c r="U31" i="1"/>
  <c r="M4" i="5"/>
  <c r="N4" i="5" s="1"/>
  <c r="U76" i="1"/>
  <c r="U14" i="1"/>
  <c r="S78" i="3"/>
  <c r="AB7" i="5"/>
  <c r="AC7" i="5" s="1"/>
  <c r="U123" i="1"/>
  <c r="U72" i="1"/>
  <c r="U26" i="1"/>
  <c r="U17" i="1"/>
  <c r="U114" i="1"/>
  <c r="U42" i="1"/>
  <c r="U52" i="1"/>
  <c r="Y14" i="5"/>
  <c r="Z14" i="5" s="1"/>
  <c r="U121" i="1"/>
  <c r="U65" i="1"/>
  <c r="U48" i="1"/>
  <c r="U19" i="1"/>
  <c r="U119" i="1"/>
  <c r="Y7" i="5"/>
  <c r="Z7" i="5" s="1"/>
  <c r="U122" i="1"/>
  <c r="U57" i="1"/>
  <c r="U63" i="1"/>
  <c r="U30" i="1"/>
  <c r="U91" i="1"/>
  <c r="U103" i="1"/>
  <c r="U25" i="1"/>
  <c r="U49" i="1"/>
  <c r="U9" i="1"/>
  <c r="U107" i="1"/>
  <c r="U112" i="1"/>
  <c r="P8" i="5"/>
  <c r="Q8" i="5" s="1"/>
  <c r="U84" i="1"/>
  <c r="U67" i="1"/>
  <c r="U58" i="1"/>
  <c r="U51" i="1"/>
  <c r="U110" i="1"/>
  <c r="U120" i="1"/>
  <c r="U104" i="1"/>
  <c r="P10" i="5"/>
  <c r="Q10" i="5" s="1"/>
  <c r="U83" i="1"/>
  <c r="U80" i="1"/>
  <c r="U41" i="1"/>
  <c r="U20" i="1"/>
  <c r="U5" i="1"/>
  <c r="U115" i="1"/>
  <c r="U108" i="1"/>
  <c r="U15" i="1"/>
  <c r="P9" i="5"/>
  <c r="Q9" i="5" s="1"/>
  <c r="G20" i="5" s="1"/>
  <c r="U92" i="1"/>
  <c r="U56" i="1"/>
  <c r="D13" i="5"/>
  <c r="E13" i="5" s="1"/>
  <c r="U44" i="1"/>
  <c r="U95" i="1"/>
  <c r="U32" i="1"/>
  <c r="V4" i="5"/>
  <c r="W4" i="5" s="1"/>
  <c r="U106" i="1"/>
  <c r="U79" i="1"/>
  <c r="U23" i="1"/>
  <c r="U105" i="1"/>
  <c r="U109" i="1"/>
  <c r="U24" i="1"/>
  <c r="S10" i="5"/>
  <c r="T10" i="5" s="1"/>
  <c r="U97" i="1"/>
  <c r="U69" i="1"/>
  <c r="U22" i="1"/>
  <c r="D11" i="5"/>
  <c r="E11" i="5" s="1"/>
  <c r="U43" i="1"/>
  <c r="U8" i="1"/>
  <c r="U111" i="1"/>
  <c r="U86" i="1"/>
  <c r="J13" i="5"/>
  <c r="K13" i="5" s="1"/>
  <c r="E20" i="5" s="1"/>
  <c r="U70" i="1"/>
  <c r="G10" i="5"/>
  <c r="H10" i="5" s="1"/>
  <c r="U60" i="1"/>
  <c r="U7" i="1"/>
  <c r="U126" i="1"/>
  <c r="U102" i="1"/>
  <c r="U78" i="1"/>
  <c r="U90" i="1"/>
  <c r="U50" i="1"/>
  <c r="U64" i="1"/>
  <c r="U10" i="1"/>
  <c r="U118" i="1"/>
  <c r="U101" i="1"/>
  <c r="U94" i="1"/>
  <c r="U117" i="1"/>
  <c r="M3" i="5"/>
  <c r="N3" i="5" s="1"/>
  <c r="U75" i="1"/>
  <c r="U40" i="1"/>
  <c r="U16" i="1"/>
  <c r="U4" i="1"/>
  <c r="U3" i="1"/>
  <c r="U18" i="1"/>
  <c r="U100" i="1"/>
  <c r="P5" i="5"/>
  <c r="Q5" i="5" s="1"/>
  <c r="U89" i="1"/>
  <c r="U47" i="1"/>
  <c r="U33" i="1"/>
  <c r="U6" i="1"/>
  <c r="U129" i="1"/>
  <c r="U81" i="1"/>
  <c r="U27" i="1"/>
  <c r="U12" i="1"/>
  <c r="U54" i="1"/>
  <c r="U62" i="1"/>
  <c r="U29" i="1"/>
  <c r="U46" i="1"/>
  <c r="U74" i="1"/>
  <c r="U66" i="1"/>
  <c r="AB9" i="5"/>
  <c r="AC9" i="5" s="1"/>
  <c r="K20" i="5" s="1"/>
  <c r="U125" i="1"/>
  <c r="U128" i="1"/>
  <c r="U99" i="1"/>
  <c r="S7" i="5"/>
  <c r="T7" i="5" s="1"/>
  <c r="U93" i="1"/>
  <c r="U77" i="1"/>
  <c r="U73" i="1"/>
  <c r="U85" i="1"/>
  <c r="G9" i="5"/>
  <c r="H9" i="5" s="1"/>
  <c r="D20" i="5" s="1"/>
  <c r="U61" i="1"/>
  <c r="U39" i="1"/>
  <c r="U28" i="1"/>
  <c r="D6" i="5"/>
  <c r="E6" i="5" s="1"/>
  <c r="U45" i="1"/>
  <c r="U55" i="1"/>
  <c r="S77" i="3"/>
  <c r="J7" i="5"/>
  <c r="K7" i="5" s="1"/>
  <c r="G5" i="5"/>
  <c r="H5" i="5" s="1"/>
  <c r="AB5" i="5"/>
  <c r="AC5" i="5" s="1"/>
  <c r="M11" i="5"/>
  <c r="N11" i="5" s="1"/>
  <c r="M5" i="5"/>
  <c r="N5" i="5" s="1"/>
  <c r="M7" i="5"/>
  <c r="N7" i="5" s="1"/>
  <c r="Y5" i="5"/>
  <c r="Z5" i="5" s="1"/>
  <c r="P7" i="5"/>
  <c r="Q7" i="5" s="1"/>
  <c r="J6" i="5"/>
  <c r="K6" i="5" s="1"/>
  <c r="J5" i="5"/>
  <c r="K5" i="5" s="1"/>
  <c r="V6" i="5"/>
  <c r="W6" i="5" s="1"/>
  <c r="Y10" i="5"/>
  <c r="Z10" i="5" s="1"/>
  <c r="S13" i="5"/>
  <c r="T13" i="5" s="1"/>
  <c r="H20" i="5" s="1"/>
  <c r="Y11" i="5"/>
  <c r="Z11" i="5" s="1"/>
  <c r="V5" i="5"/>
  <c r="W5" i="5" s="1"/>
  <c r="P6" i="5"/>
  <c r="Q6" i="5" s="1"/>
  <c r="S5" i="5"/>
  <c r="T5" i="5" s="1"/>
  <c r="D9" i="5"/>
  <c r="E9" i="5" s="1"/>
  <c r="AB15" i="5"/>
  <c r="AC15" i="5" s="1"/>
  <c r="V10" i="5"/>
  <c r="W10" i="5" s="1"/>
  <c r="G6" i="5"/>
  <c r="H6" i="5" s="1"/>
  <c r="N88" i="3"/>
  <c r="O88" i="3" s="1"/>
  <c r="S56" i="3"/>
  <c r="I72" i="3"/>
  <c r="K72" i="3" s="1"/>
  <c r="N89" i="3"/>
  <c r="O89" i="3" s="1"/>
  <c r="N90" i="3"/>
  <c r="O90" i="3" s="1"/>
  <c r="N91" i="3"/>
  <c r="O91" i="3" s="1"/>
  <c r="O77" i="3"/>
  <c r="R77" i="3" s="1"/>
  <c r="O76" i="3"/>
  <c r="R76" i="3" s="1"/>
  <c r="O78" i="3"/>
  <c r="R78" i="3" s="1"/>
  <c r="O75" i="3"/>
  <c r="R75" i="3" s="1"/>
  <c r="I73" i="3"/>
  <c r="K73" i="3" s="1"/>
  <c r="I82" i="3"/>
  <c r="K82" i="3" s="1"/>
  <c r="I76" i="3"/>
  <c r="K76" i="3" s="1"/>
  <c r="I81" i="3"/>
  <c r="K81" i="3" s="1"/>
  <c r="L151" i="2"/>
  <c r="I83" i="3"/>
  <c r="K83" i="3" s="1"/>
  <c r="I74" i="3"/>
  <c r="K74" i="3" s="1"/>
  <c r="I79" i="3"/>
  <c r="K79" i="3" s="1"/>
  <c r="I77" i="3"/>
  <c r="K77" i="3" s="1"/>
  <c r="I80" i="3"/>
  <c r="K80" i="3" s="1"/>
  <c r="I78" i="3"/>
  <c r="K78" i="3" s="1"/>
  <c r="I84" i="3"/>
  <c r="K84" i="3" s="1"/>
  <c r="I75" i="3"/>
  <c r="K75" i="3" s="1"/>
  <c r="J41" i="3"/>
  <c r="L145" i="2"/>
  <c r="J49" i="3"/>
  <c r="L149" i="2"/>
  <c r="L144" i="2"/>
  <c r="L148" i="2"/>
  <c r="L146" i="2"/>
  <c r="L143" i="2"/>
  <c r="L141" i="2"/>
  <c r="L150" i="2"/>
  <c r="L142" i="2"/>
  <c r="L152" i="2"/>
  <c r="L147" i="2"/>
  <c r="L140" i="2"/>
  <c r="J46" i="3"/>
  <c r="J45" i="3"/>
  <c r="J48" i="3"/>
  <c r="J43" i="3"/>
  <c r="J50" i="3"/>
  <c r="J44" i="3"/>
  <c r="L51" i="3"/>
  <c r="J51" i="3"/>
  <c r="J52" i="3"/>
  <c r="J47" i="3"/>
  <c r="J42" i="3"/>
  <c r="J40" i="3"/>
  <c r="L48" i="3"/>
  <c r="L45" i="3"/>
  <c r="L43" i="3"/>
  <c r="L46" i="3"/>
  <c r="L47" i="3"/>
  <c r="L42" i="3"/>
  <c r="L50" i="3"/>
  <c r="L41" i="3"/>
  <c r="L44" i="3"/>
  <c r="L52" i="3"/>
  <c r="L49" i="3"/>
  <c r="S49" i="3"/>
  <c r="S45" i="3"/>
  <c r="S44" i="3"/>
  <c r="Q51" i="3"/>
  <c r="S51" i="3"/>
  <c r="S52" i="3"/>
  <c r="S43" i="3"/>
  <c r="S42" i="3"/>
  <c r="S47" i="3"/>
  <c r="S48" i="3"/>
  <c r="S50" i="3"/>
  <c r="S46" i="3"/>
  <c r="S41" i="3"/>
  <c r="S40" i="3"/>
  <c r="Q50" i="3"/>
  <c r="Q46" i="3"/>
  <c r="Q47" i="3"/>
  <c r="Q42" i="3"/>
  <c r="Q41" i="3"/>
  <c r="Q52" i="3"/>
  <c r="Q45" i="3"/>
  <c r="Q49" i="3"/>
  <c r="Q44" i="3"/>
  <c r="Q43" i="3"/>
  <c r="Q48" i="3"/>
  <c r="Q40" i="3"/>
  <c r="E48" i="3"/>
  <c r="M115" i="1"/>
  <c r="N115" i="1"/>
  <c r="O115" i="1" s="1"/>
  <c r="M100" i="1"/>
  <c r="N100" i="1"/>
  <c r="O100" i="1" s="1"/>
  <c r="N128" i="1"/>
  <c r="O128" i="1" s="1"/>
  <c r="M128" i="1"/>
  <c r="N114" i="1"/>
  <c r="O114" i="1" s="1"/>
  <c r="M114" i="1"/>
  <c r="N112" i="1"/>
  <c r="O112" i="1" s="1"/>
  <c r="M112" i="1"/>
  <c r="M94" i="1"/>
  <c r="N94" i="1"/>
  <c r="O94" i="1" s="1"/>
  <c r="M127" i="1"/>
  <c r="N127" i="1"/>
  <c r="O127" i="1" s="1"/>
  <c r="N117" i="1"/>
  <c r="O117" i="1" s="1"/>
  <c r="M117" i="1"/>
  <c r="N107" i="1"/>
  <c r="O107" i="1" s="1"/>
  <c r="M107" i="1"/>
  <c r="N105" i="1"/>
  <c r="O105" i="1" s="1"/>
  <c r="M105" i="1"/>
  <c r="M86" i="1"/>
  <c r="N86" i="1"/>
  <c r="O86" i="1" s="1"/>
  <c r="M74" i="1"/>
  <c r="N74" i="1"/>
  <c r="O74" i="1" s="1"/>
  <c r="N65" i="1"/>
  <c r="O65" i="1" s="1"/>
  <c r="M65" i="1"/>
  <c r="N81" i="1"/>
  <c r="O81" i="1" s="1"/>
  <c r="M81" i="1"/>
  <c r="N75" i="1"/>
  <c r="O75" i="1" s="1"/>
  <c r="M75" i="1"/>
  <c r="M72" i="1"/>
  <c r="N72" i="1"/>
  <c r="O72" i="1" s="1"/>
  <c r="M68" i="1"/>
  <c r="N68" i="1"/>
  <c r="O68" i="1" s="1"/>
  <c r="N90" i="1"/>
  <c r="O90" i="1" s="1"/>
  <c r="M90" i="1"/>
  <c r="N82" i="1"/>
  <c r="O82" i="1" s="1"/>
  <c r="M82" i="1"/>
  <c r="M62" i="1"/>
  <c r="N62" i="1"/>
  <c r="O62" i="1" s="1"/>
  <c r="M56" i="1"/>
  <c r="N56" i="1"/>
  <c r="O56" i="1" s="1"/>
  <c r="M50" i="1"/>
  <c r="N50" i="1"/>
  <c r="O50" i="1" s="1"/>
  <c r="M34" i="1"/>
  <c r="N34" i="1"/>
  <c r="O34" i="1" s="1"/>
  <c r="M31" i="1"/>
  <c r="N31" i="1"/>
  <c r="O31" i="1" s="1"/>
  <c r="M29" i="1"/>
  <c r="N29" i="1"/>
  <c r="O29" i="1" s="1"/>
  <c r="N26" i="1"/>
  <c r="O26" i="1" s="1"/>
  <c r="M26" i="1"/>
  <c r="N52" i="1"/>
  <c r="O52" i="1" s="1"/>
  <c r="M52" i="1"/>
  <c r="N47" i="1"/>
  <c r="O47" i="1" s="1"/>
  <c r="M47" i="1"/>
  <c r="N41" i="1"/>
  <c r="O41" i="1" s="1"/>
  <c r="M41" i="1"/>
  <c r="N25" i="1"/>
  <c r="O25" i="1" s="1"/>
  <c r="M25" i="1"/>
  <c r="N23" i="1"/>
  <c r="O23" i="1" s="1"/>
  <c r="M23" i="1"/>
  <c r="N49" i="1"/>
  <c r="O49" i="1" s="1"/>
  <c r="M49" i="1"/>
  <c r="N33" i="1"/>
  <c r="O33" i="1" s="1"/>
  <c r="M33" i="1"/>
  <c r="N20" i="1"/>
  <c r="O20" i="1" s="1"/>
  <c r="M20" i="1"/>
  <c r="N15" i="1"/>
  <c r="O15" i="1" s="1"/>
  <c r="M15" i="1"/>
  <c r="N11" i="1"/>
  <c r="O11" i="1" s="1"/>
  <c r="M11" i="1"/>
  <c r="N5" i="1"/>
  <c r="O5" i="1" s="1"/>
  <c r="M5" i="1"/>
  <c r="N18" i="1"/>
  <c r="O18" i="1" s="1"/>
  <c r="M18" i="1"/>
  <c r="N126" i="1"/>
  <c r="O126" i="1" s="1"/>
  <c r="M126" i="1"/>
  <c r="N123" i="1"/>
  <c r="M123" i="1"/>
  <c r="N119" i="1"/>
  <c r="O119" i="1" s="1"/>
  <c r="M119" i="1"/>
  <c r="N110" i="1"/>
  <c r="O110" i="1" s="1"/>
  <c r="M110" i="1"/>
  <c r="N122" i="1"/>
  <c r="O122" i="1" s="1"/>
  <c r="M122" i="1"/>
  <c r="N99" i="1"/>
  <c r="O99" i="1" s="1"/>
  <c r="M99" i="1"/>
  <c r="N97" i="1"/>
  <c r="O97" i="1" s="1"/>
  <c r="M97" i="1"/>
  <c r="M57" i="1"/>
  <c r="N57" i="1"/>
  <c r="O57" i="1" s="1"/>
  <c r="M93" i="1"/>
  <c r="N93" i="1"/>
  <c r="O93" i="1" s="1"/>
  <c r="N88" i="1"/>
  <c r="O88" i="1" s="1"/>
  <c r="M88" i="1"/>
  <c r="N84" i="1"/>
  <c r="O84" i="1" s="1"/>
  <c r="M84" i="1"/>
  <c r="N77" i="1"/>
  <c r="O77" i="1" s="1"/>
  <c r="M77" i="1"/>
  <c r="N95" i="1"/>
  <c r="O95" i="1" s="1"/>
  <c r="M95" i="1"/>
  <c r="N70" i="1"/>
  <c r="O70" i="1" s="1"/>
  <c r="M70" i="1"/>
  <c r="M60" i="1"/>
  <c r="N60" i="1"/>
  <c r="O60" i="1" s="1"/>
  <c r="N76" i="1"/>
  <c r="O76" i="1" s="1"/>
  <c r="M76" i="1"/>
  <c r="N46" i="1"/>
  <c r="O46" i="1" s="1"/>
  <c r="M46" i="1"/>
  <c r="N44" i="1"/>
  <c r="O44" i="1" s="1"/>
  <c r="M44" i="1"/>
  <c r="N37" i="1"/>
  <c r="O37" i="1" s="1"/>
  <c r="M37" i="1"/>
  <c r="N35" i="1"/>
  <c r="O35" i="1" s="1"/>
  <c r="M35" i="1"/>
  <c r="M64" i="1"/>
  <c r="N64" i="1"/>
  <c r="O64" i="1" s="1"/>
  <c r="N17" i="1"/>
  <c r="O17" i="1" s="1"/>
  <c r="M17" i="1"/>
  <c r="M14" i="1"/>
  <c r="N14" i="1"/>
  <c r="O14" i="1" s="1"/>
  <c r="M10" i="1"/>
  <c r="N10" i="1"/>
  <c r="O10" i="1" s="1"/>
  <c r="N8" i="1"/>
  <c r="O8" i="1" s="1"/>
  <c r="M8" i="1"/>
  <c r="M118" i="1"/>
  <c r="N118" i="1"/>
  <c r="O118" i="1" s="1"/>
  <c r="N109" i="1"/>
  <c r="O109" i="1" s="1"/>
  <c r="M109" i="1"/>
  <c r="N129" i="1"/>
  <c r="O129" i="1" s="1"/>
  <c r="M129" i="1"/>
  <c r="N116" i="1"/>
  <c r="O116" i="1" s="1"/>
  <c r="M116" i="1"/>
  <c r="N113" i="1"/>
  <c r="O113" i="1" s="1"/>
  <c r="M113" i="1"/>
  <c r="N102" i="1"/>
  <c r="O102" i="1" s="1"/>
  <c r="M102" i="1"/>
  <c r="M91" i="1"/>
  <c r="N91" i="1"/>
  <c r="O91" i="1" s="1"/>
  <c r="N120" i="1"/>
  <c r="O120" i="1" s="1"/>
  <c r="M120" i="1"/>
  <c r="N108" i="1"/>
  <c r="O108" i="1" s="1"/>
  <c r="M108" i="1"/>
  <c r="N106" i="1"/>
  <c r="O106" i="1" s="1"/>
  <c r="M106" i="1"/>
  <c r="N104" i="1"/>
  <c r="O104" i="1" s="1"/>
  <c r="M104" i="1"/>
  <c r="M83" i="1"/>
  <c r="N83" i="1"/>
  <c r="M71" i="1"/>
  <c r="N71" i="1"/>
  <c r="O71" i="1" s="1"/>
  <c r="N103" i="1"/>
  <c r="O103" i="1" s="1"/>
  <c r="M103" i="1"/>
  <c r="N89" i="1"/>
  <c r="O89" i="1" s="1"/>
  <c r="M89" i="1"/>
  <c r="N80" i="1"/>
  <c r="O80" i="1" s="1"/>
  <c r="M80" i="1"/>
  <c r="N73" i="1"/>
  <c r="O73" i="1" s="1"/>
  <c r="M73" i="1"/>
  <c r="M69" i="1"/>
  <c r="N69" i="1"/>
  <c r="O69" i="1" s="1"/>
  <c r="M67" i="1"/>
  <c r="N67" i="1"/>
  <c r="O67" i="1" s="1"/>
  <c r="M85" i="1"/>
  <c r="N85" i="1"/>
  <c r="O85" i="1" s="1"/>
  <c r="M63" i="1"/>
  <c r="N63" i="1"/>
  <c r="O63" i="1" s="1"/>
  <c r="M61" i="1"/>
  <c r="N61" i="1"/>
  <c r="O61" i="1" s="1"/>
  <c r="M53" i="1"/>
  <c r="N53" i="1"/>
  <c r="O53" i="1" s="1"/>
  <c r="M58" i="1"/>
  <c r="N58" i="1"/>
  <c r="O58" i="1" s="1"/>
  <c r="N39" i="1"/>
  <c r="O39" i="1" s="1"/>
  <c r="M39" i="1"/>
  <c r="N32" i="1"/>
  <c r="O32" i="1" s="1"/>
  <c r="M32" i="1"/>
  <c r="M30" i="1"/>
  <c r="N30" i="1"/>
  <c r="O30" i="1" s="1"/>
  <c r="M28" i="1"/>
  <c r="N28" i="1"/>
  <c r="O28" i="1" s="1"/>
  <c r="N22" i="1"/>
  <c r="O22" i="1" s="1"/>
  <c r="M22" i="1"/>
  <c r="N66" i="1"/>
  <c r="O66" i="1" s="1"/>
  <c r="M66" i="1"/>
  <c r="N48" i="1"/>
  <c r="O48" i="1" s="1"/>
  <c r="M48" i="1"/>
  <c r="N42" i="1"/>
  <c r="O42" i="1" s="1"/>
  <c r="M42" i="1"/>
  <c r="N40" i="1"/>
  <c r="O40" i="1" s="1"/>
  <c r="M40" i="1"/>
  <c r="N24" i="1"/>
  <c r="O24" i="1" s="1"/>
  <c r="M24" i="1"/>
  <c r="N27" i="1"/>
  <c r="O27" i="1" s="1"/>
  <c r="M27" i="1"/>
  <c r="M16" i="1"/>
  <c r="N16" i="1"/>
  <c r="O16" i="1" s="1"/>
  <c r="M13" i="1"/>
  <c r="N13" i="1"/>
  <c r="O13" i="1" s="1"/>
  <c r="N7" i="1"/>
  <c r="O7" i="1" s="1"/>
  <c r="M7" i="1"/>
  <c r="M4" i="1"/>
  <c r="N4" i="1"/>
  <c r="N19" i="1"/>
  <c r="O19" i="1" s="1"/>
  <c r="M19" i="1"/>
  <c r="N12" i="1"/>
  <c r="O12" i="1" s="1"/>
  <c r="M12" i="1"/>
  <c r="N9" i="1"/>
  <c r="O9" i="1" s="1"/>
  <c r="M9" i="1"/>
  <c r="N6" i="1"/>
  <c r="O6" i="1" s="1"/>
  <c r="M6" i="1"/>
  <c r="N125" i="1"/>
  <c r="O125" i="1" s="1"/>
  <c r="M125" i="1"/>
  <c r="N121" i="1"/>
  <c r="O121" i="1" s="1"/>
  <c r="M121" i="1"/>
  <c r="N51" i="3" s="1"/>
  <c r="N111" i="1"/>
  <c r="O111" i="1" s="1"/>
  <c r="M111" i="1"/>
  <c r="N101" i="1"/>
  <c r="O101" i="1" s="1"/>
  <c r="M101" i="1"/>
  <c r="N124" i="1"/>
  <c r="O124" i="1" s="1"/>
  <c r="M124" i="1"/>
  <c r="N98" i="1"/>
  <c r="O98" i="1" s="1"/>
  <c r="M98" i="1"/>
  <c r="N96" i="1"/>
  <c r="O96" i="1" s="1"/>
  <c r="M96" i="1"/>
  <c r="M59" i="1"/>
  <c r="N59" i="1"/>
  <c r="O59" i="1" s="1"/>
  <c r="M54" i="1"/>
  <c r="N54" i="1"/>
  <c r="O54" i="1" s="1"/>
  <c r="N92" i="1"/>
  <c r="O92" i="1" s="1"/>
  <c r="M92" i="1"/>
  <c r="N87" i="1"/>
  <c r="O87" i="1" s="1"/>
  <c r="M87" i="1"/>
  <c r="N78" i="1"/>
  <c r="O78" i="1" s="1"/>
  <c r="M78" i="1"/>
  <c r="N79" i="1"/>
  <c r="O79" i="1" s="1"/>
  <c r="M79" i="1"/>
  <c r="N51" i="1"/>
  <c r="O51" i="1" s="1"/>
  <c r="M51" i="1"/>
  <c r="N45" i="1"/>
  <c r="O45" i="1" s="1"/>
  <c r="M45" i="1"/>
  <c r="M38" i="1"/>
  <c r="N38" i="1"/>
  <c r="O38" i="1" s="1"/>
  <c r="N36" i="1"/>
  <c r="O36" i="1" s="1"/>
  <c r="M36" i="1"/>
  <c r="M21" i="1"/>
  <c r="N21" i="1"/>
  <c r="O21" i="1" s="1"/>
  <c r="M55" i="1"/>
  <c r="N55" i="1"/>
  <c r="O55" i="1" s="1"/>
  <c r="N43" i="1"/>
  <c r="M43" i="1"/>
  <c r="T67" i="3" l="1"/>
  <c r="C20" i="5"/>
  <c r="P74" i="3"/>
  <c r="P81" i="3" s="1"/>
  <c r="S74" i="3"/>
  <c r="S81" i="3" s="1"/>
  <c r="O74" i="3"/>
  <c r="L53" i="3"/>
  <c r="O83" i="1"/>
  <c r="O43" i="1"/>
  <c r="O123" i="1"/>
  <c r="O4" i="1"/>
  <c r="S53" i="3"/>
  <c r="W40" i="3" s="1"/>
  <c r="N40" i="3"/>
  <c r="N52" i="3"/>
  <c r="N45" i="3"/>
  <c r="N48" i="3"/>
  <c r="N42" i="3"/>
  <c r="N41" i="3"/>
  <c r="N44" i="3"/>
  <c r="N50" i="3"/>
  <c r="N47" i="3"/>
  <c r="N43" i="3"/>
  <c r="N46" i="3"/>
  <c r="N49" i="3"/>
  <c r="U51" i="3"/>
  <c r="U48" i="3"/>
  <c r="U46" i="3"/>
  <c r="U43" i="3"/>
  <c r="U44" i="3"/>
  <c r="U49" i="3"/>
  <c r="U47" i="3"/>
  <c r="U52" i="3"/>
  <c r="U45" i="3"/>
  <c r="U42" i="3"/>
  <c r="U41" i="3"/>
  <c r="U50" i="3"/>
  <c r="U40" i="3"/>
  <c r="V70" i="3" l="1" a="1"/>
  <c r="V70" i="3" s="1"/>
  <c r="W70" i="3" s="1"/>
  <c r="V71" i="3" a="1"/>
  <c r="V71" i="3" s="1"/>
  <c r="W71" i="3" s="1"/>
  <c r="V69" i="3" a="1"/>
  <c r="V69" i="3" s="1"/>
  <c r="W69" i="3" s="1"/>
  <c r="V67" i="3" a="1"/>
  <c r="V67" i="3" s="1"/>
  <c r="W67" i="3" s="1"/>
  <c r="V68" i="3" a="1"/>
  <c r="V68" i="3" s="1"/>
  <c r="W68" i="3" s="1"/>
  <c r="P60" i="3" a="1"/>
  <c r="P60" i="3" s="1"/>
  <c r="Q60" i="3" s="1"/>
  <c r="N63" i="3" a="1"/>
  <c r="N63" i="3" s="1"/>
  <c r="O63" i="3" s="1"/>
  <c r="N61" i="3" a="1"/>
  <c r="N61" i="3" s="1"/>
  <c r="O61" i="3" s="1"/>
  <c r="N60" i="3" a="1"/>
  <c r="N60" i="3" s="1"/>
  <c r="O60" i="3" s="1"/>
  <c r="N62" i="3" a="1"/>
  <c r="N62" i="3" s="1"/>
  <c r="O62" i="3" s="1"/>
  <c r="N64" i="3" a="1"/>
  <c r="N64" i="3" s="1"/>
  <c r="O64" i="3" s="1"/>
  <c r="O81" i="3"/>
  <c r="T68" i="3" a="1"/>
  <c r="T68" i="3" s="1"/>
  <c r="U68" i="3" s="1"/>
  <c r="T70" i="3" a="1"/>
  <c r="T70" i="3" s="1"/>
  <c r="U70" i="3" s="1"/>
  <c r="T69" i="3" a="1"/>
  <c r="T69" i="3" s="1"/>
  <c r="U69" i="3" s="1"/>
  <c r="T71" i="3" a="1"/>
  <c r="T71" i="3" s="1"/>
  <c r="U71" i="3" s="1"/>
  <c r="U67" i="3"/>
  <c r="Q74" i="3"/>
  <c r="Q81" i="3" s="1"/>
  <c r="K56" i="3"/>
  <c r="I59" i="3"/>
  <c r="J64" i="3"/>
  <c r="K65" i="3"/>
  <c r="J60" i="3"/>
  <c r="K66" i="3"/>
  <c r="I62" i="3"/>
  <c r="I58" i="3"/>
  <c r="I65" i="3"/>
  <c r="I67" i="3"/>
  <c r="J61" i="3"/>
  <c r="I64" i="3"/>
  <c r="I63" i="3"/>
  <c r="K63" i="3"/>
  <c r="J58" i="3"/>
  <c r="K60" i="3"/>
  <c r="J67" i="3"/>
  <c r="I66" i="3"/>
  <c r="J62" i="3"/>
  <c r="K62" i="3"/>
  <c r="X71" i="3" a="1"/>
  <c r="X71" i="3" s="1"/>
  <c r="Y71" i="3" s="1"/>
  <c r="X67" i="3" a="1"/>
  <c r="X67" i="3" s="1"/>
  <c r="Y67" i="3" s="1"/>
  <c r="X69" i="3" a="1"/>
  <c r="X69" i="3" s="1"/>
  <c r="Y69" i="3" s="1"/>
  <c r="X70" i="3" a="1"/>
  <c r="X70" i="3" s="1"/>
  <c r="Y70" i="3" s="1"/>
  <c r="X68" i="3" a="1"/>
  <c r="X68" i="3" s="1"/>
  <c r="Y68" i="3" s="1"/>
  <c r="J68" i="3"/>
  <c r="R60" i="3" a="1"/>
  <c r="R60" i="3" s="1"/>
  <c r="S60" i="3" s="1"/>
  <c r="R62" i="3" a="1"/>
  <c r="R62" i="3" s="1"/>
  <c r="S62" i="3" s="1"/>
  <c r="R63" i="3" a="1"/>
  <c r="R63" i="3" s="1"/>
  <c r="S63" i="3" s="1"/>
  <c r="R64" i="3" a="1"/>
  <c r="R64" i="3" s="1"/>
  <c r="S64" i="3" s="1"/>
  <c r="R61" i="3" a="1"/>
  <c r="R61" i="3" s="1"/>
  <c r="S61" i="3" s="1"/>
  <c r="P61" i="3" a="1"/>
  <c r="P61" i="3" s="1"/>
  <c r="Q61" i="3" s="1"/>
  <c r="P63" i="3" a="1"/>
  <c r="P63" i="3" s="1"/>
  <c r="Q63" i="3" s="1"/>
  <c r="P62" i="3" a="1"/>
  <c r="P62" i="3" s="1"/>
  <c r="Q62" i="3" s="1"/>
  <c r="P64" i="3" a="1"/>
  <c r="P64" i="3" s="1"/>
  <c r="Q64" i="3" s="1"/>
  <c r="J66" i="3"/>
  <c r="J57" i="3"/>
  <c r="I56" i="3"/>
  <c r="I68" i="3"/>
  <c r="K58" i="3"/>
  <c r="K61" i="3"/>
  <c r="I57" i="3"/>
  <c r="K57" i="3"/>
  <c r="K64" i="3"/>
  <c r="K67" i="3"/>
  <c r="I60" i="3"/>
  <c r="J63" i="3"/>
  <c r="J59" i="3"/>
  <c r="K68" i="3"/>
  <c r="I61" i="3"/>
  <c r="J56" i="3"/>
  <c r="J65" i="3"/>
  <c r="K59" i="3"/>
  <c r="W47" i="3"/>
  <c r="W46" i="3"/>
  <c r="W44" i="3"/>
  <c r="W49" i="3"/>
  <c r="W48" i="3"/>
  <c r="W50" i="3"/>
  <c r="W45" i="3"/>
  <c r="W41" i="3"/>
  <c r="W51" i="3"/>
  <c r="W52" i="3"/>
  <c r="W43" i="3"/>
  <c r="W42" i="3"/>
  <c r="M149" i="2"/>
  <c r="M150" i="2"/>
  <c r="M141" i="2"/>
  <c r="M148" i="2"/>
  <c r="M152" i="2"/>
  <c r="M147" i="2"/>
  <c r="M145" i="2"/>
  <c r="M143" i="2"/>
  <c r="M140" i="2"/>
  <c r="M151" i="2"/>
  <c r="M146" i="2"/>
  <c r="M142" i="2"/>
  <c r="M144" i="2"/>
  <c r="R74" i="3" l="1"/>
  <c r="R81" i="3" s="1"/>
  <c r="R83" i="3" s="1"/>
  <c r="P56" i="3"/>
  <c r="O56" i="3"/>
  <c r="N56" i="3"/>
</calcChain>
</file>

<file path=xl/sharedStrings.xml><?xml version="1.0" encoding="utf-8"?>
<sst xmlns="http://schemas.openxmlformats.org/spreadsheetml/2006/main" count="586" uniqueCount="226">
  <si>
    <t>Click on the Ticker Symbol for Dividend Yield Data - Charts and Graphs</t>
  </si>
  <si>
    <t>Symbol</t>
  </si>
  <si>
    <t>Total Shares</t>
  </si>
  <si>
    <t>Current Price</t>
  </si>
  <si>
    <t>Market Value</t>
  </si>
  <si>
    <t>Initial Shares</t>
  </si>
  <si>
    <t>Purchase Price</t>
  </si>
  <si>
    <t>Commission</t>
  </si>
  <si>
    <t>Day Change</t>
  </si>
  <si>
    <t>Total Return</t>
  </si>
  <si>
    <t>% Return</t>
  </si>
  <si>
    <t>Sector</t>
  </si>
  <si>
    <t>Current Yield</t>
  </si>
  <si>
    <t>Yield ON Cost</t>
  </si>
  <si>
    <t>Portfolio Weighting</t>
  </si>
  <si>
    <t>Estimated Annual Income</t>
  </si>
  <si>
    <t>Telecommunication Services</t>
  </si>
  <si>
    <t>Utilities</t>
  </si>
  <si>
    <t>Consumer Staples</t>
  </si>
  <si>
    <t>Industrials</t>
  </si>
  <si>
    <t>DAL</t>
  </si>
  <si>
    <t>F</t>
  </si>
  <si>
    <t>Consumer Discretionary</t>
  </si>
  <si>
    <t>HOG</t>
  </si>
  <si>
    <t>Energy</t>
  </si>
  <si>
    <t>TOT</t>
  </si>
  <si>
    <t>BP</t>
  </si>
  <si>
    <t>NYSE:BBL</t>
  </si>
  <si>
    <t>IP</t>
  </si>
  <si>
    <t>Financials</t>
  </si>
  <si>
    <t>Real Estate</t>
  </si>
  <si>
    <t>STOR</t>
  </si>
  <si>
    <t>AAPL</t>
  </si>
  <si>
    <t>Information Technology</t>
  </si>
  <si>
    <t>DWDP</t>
  </si>
  <si>
    <t>Materials</t>
  </si>
  <si>
    <t>BASFY</t>
  </si>
  <si>
    <t>EMN</t>
  </si>
  <si>
    <t>Health Care</t>
  </si>
  <si>
    <t>BK</t>
  </si>
  <si>
    <t>TD</t>
  </si>
  <si>
    <t>RY</t>
  </si>
  <si>
    <t>BMO</t>
  </si>
  <si>
    <t>PRU</t>
  </si>
  <si>
    <t>KMI</t>
  </si>
  <si>
    <t>UL</t>
  </si>
  <si>
    <t>ITW</t>
  </si>
  <si>
    <t>SWK</t>
  </si>
  <si>
    <t>TSCO</t>
  </si>
  <si>
    <t>RHHBY</t>
  </si>
  <si>
    <t>NSRGY</t>
  </si>
  <si>
    <t>BRDCY</t>
  </si>
  <si>
    <t>DEO</t>
  </si>
  <si>
    <t>BTI</t>
  </si>
  <si>
    <t>VOD</t>
  </si>
  <si>
    <t>INTC</t>
  </si>
  <si>
    <t>AVGO</t>
  </si>
  <si>
    <t>BEN</t>
  </si>
  <si>
    <t>PSA</t>
  </si>
  <si>
    <t>PSX</t>
  </si>
  <si>
    <t>NTR</t>
  </si>
  <si>
    <t>GT</t>
  </si>
  <si>
    <t>KHC</t>
  </si>
  <si>
    <t>FDX</t>
  </si>
  <si>
    <t>AXP</t>
  </si>
  <si>
    <t>ABBV</t>
  </si>
  <si>
    <t>MRK</t>
  </si>
  <si>
    <t>TAP</t>
  </si>
  <si>
    <t>STZ</t>
  </si>
  <si>
    <t>BUD</t>
  </si>
  <si>
    <t>MDLZ</t>
  </si>
  <si>
    <t>WRI</t>
  </si>
  <si>
    <t>VTR</t>
  </si>
  <si>
    <t>WPC</t>
  </si>
  <si>
    <t>CCI</t>
  </si>
  <si>
    <t>TXN</t>
  </si>
  <si>
    <t>PGX</t>
  </si>
  <si>
    <t>Other</t>
  </si>
  <si>
    <t>CBRL</t>
  </si>
  <si>
    <t>QQQ</t>
  </si>
  <si>
    <t>ETF</t>
  </si>
  <si>
    <t>SCHD</t>
  </si>
  <si>
    <t>SWPPX</t>
  </si>
  <si>
    <t>Total</t>
  </si>
  <si>
    <t>DIS</t>
  </si>
  <si>
    <t>MAR</t>
  </si>
  <si>
    <t>SBUX</t>
  </si>
  <si>
    <t>NKE</t>
  </si>
  <si>
    <t>TGT</t>
  </si>
  <si>
    <t>LOW</t>
  </si>
  <si>
    <t>HD</t>
  </si>
  <si>
    <t>GPC</t>
  </si>
  <si>
    <t>VFC</t>
  </si>
  <si>
    <t>MCD</t>
  </si>
  <si>
    <t>KO</t>
  </si>
  <si>
    <t>GIS</t>
  </si>
  <si>
    <t>CL</t>
  </si>
  <si>
    <t>CLX</t>
  </si>
  <si>
    <t>PG</t>
  </si>
  <si>
    <t>KMB</t>
  </si>
  <si>
    <t>WMT</t>
  </si>
  <si>
    <t>PEP</t>
  </si>
  <si>
    <t>COST</t>
  </si>
  <si>
    <t>SJM</t>
  </si>
  <si>
    <t>HRL</t>
  </si>
  <si>
    <t>K</t>
  </si>
  <si>
    <t>HSY</t>
  </si>
  <si>
    <t>CVS</t>
  </si>
  <si>
    <t>WBA</t>
  </si>
  <si>
    <t>PM</t>
  </si>
  <si>
    <t>KR</t>
  </si>
  <si>
    <t>CVX</t>
  </si>
  <si>
    <t>XOM</t>
  </si>
  <si>
    <t>IVZ</t>
  </si>
  <si>
    <t>STWD</t>
  </si>
  <si>
    <t>MAIN</t>
  </si>
  <si>
    <t>TRV</t>
  </si>
  <si>
    <t>WFC</t>
  </si>
  <si>
    <t>JPM</t>
  </si>
  <si>
    <t>TROW</t>
  </si>
  <si>
    <t>DFS</t>
  </si>
  <si>
    <t>UNH</t>
  </si>
  <si>
    <t>JNJ</t>
  </si>
  <si>
    <t>PFE</t>
  </si>
  <si>
    <t>GE</t>
  </si>
  <si>
    <t>CAT</t>
  </si>
  <si>
    <t>GWW</t>
  </si>
  <si>
    <t>UNP</t>
  </si>
  <si>
    <t>BA</t>
  </si>
  <si>
    <t>MMM</t>
  </si>
  <si>
    <t>CMI</t>
  </si>
  <si>
    <t>FAST</t>
  </si>
  <si>
    <t>EMR</t>
  </si>
  <si>
    <t>HON</t>
  </si>
  <si>
    <t>JCI</t>
  </si>
  <si>
    <t>UPS</t>
  </si>
  <si>
    <t>UTX</t>
  </si>
  <si>
    <t>DE</t>
  </si>
  <si>
    <t>LMT</t>
  </si>
  <si>
    <t>MSFT</t>
  </si>
  <si>
    <t>PAYX</t>
  </si>
  <si>
    <t>MA</t>
  </si>
  <si>
    <t>V</t>
  </si>
  <si>
    <t>QCOM</t>
  </si>
  <si>
    <t>CSCO</t>
  </si>
  <si>
    <t>IBM</t>
  </si>
  <si>
    <t>OHI</t>
  </si>
  <si>
    <t>O</t>
  </si>
  <si>
    <t>STAG</t>
  </si>
  <si>
    <t>WY</t>
  </si>
  <si>
    <t>IRM</t>
  </si>
  <si>
    <t>DLR</t>
  </si>
  <si>
    <t>NNN</t>
  </si>
  <si>
    <t>T</t>
  </si>
  <si>
    <t>DUK</t>
  </si>
  <si>
    <t>SO</t>
  </si>
  <si>
    <t>D</t>
  </si>
  <si>
    <t>Select Sector</t>
  </si>
  <si>
    <t>Return Percentage</t>
  </si>
  <si>
    <t>Overall Market Value</t>
  </si>
  <si>
    <t>Sector Weight</t>
  </si>
  <si>
    <r>
      <t>Current yield is </t>
    </r>
    <r>
      <rPr>
        <sz val="10"/>
        <color rgb="FF040C28"/>
        <rFont val="Arial"/>
        <family val="2"/>
      </rPr>
      <t>an investment's annual income (interest or dividends) divided by the current price of the security</t>
    </r>
  </si>
  <si>
    <t>Market value is the price an asset would fetch in the market, based on the price that buyers are willing to pay and sellers are willing to accept</t>
  </si>
  <si>
    <t>It is the price an investor pays for an investment</t>
  </si>
  <si>
    <t>Total return is a performance measure that reflects the actual rate of return of an investment or a pool of investments over a given evaluation period.</t>
  </si>
  <si>
    <t>Purchase Price (Per share)</t>
  </si>
  <si>
    <t>The rate of return is the gain (or loss) compared to the cost of an initial investment (in %age)</t>
  </si>
  <si>
    <t>Start Date</t>
  </si>
  <si>
    <t>Risk Category</t>
  </si>
  <si>
    <t>Total No of Companies</t>
  </si>
  <si>
    <t>No of Active Companies</t>
  </si>
  <si>
    <t>Maturity Date</t>
  </si>
  <si>
    <t>Active</t>
  </si>
  <si>
    <t xml:space="preserve"> </t>
  </si>
  <si>
    <t>High Risk</t>
  </si>
  <si>
    <t>Medium Risk</t>
  </si>
  <si>
    <t>Low Risk</t>
  </si>
  <si>
    <t>Holding Market Value by Industry</t>
  </si>
  <si>
    <t>Return %</t>
  </si>
  <si>
    <t>Rank</t>
  </si>
  <si>
    <t>Highly Risky Companies</t>
  </si>
  <si>
    <t>Low Risk Companies</t>
  </si>
  <si>
    <t>PORTFOLIO BY SECTOR</t>
  </si>
  <si>
    <t>SECTOR OVERVIEW</t>
  </si>
  <si>
    <t>Annual Dividend</t>
  </si>
  <si>
    <t>INVESTMENT DASHBOARD</t>
  </si>
  <si>
    <t>Year</t>
  </si>
  <si>
    <t>All</t>
  </si>
  <si>
    <t>Overall Return %age</t>
  </si>
  <si>
    <t>m</t>
  </si>
  <si>
    <t>p</t>
  </si>
  <si>
    <t>q</t>
  </si>
  <si>
    <t>Up Arrow</t>
  </si>
  <si>
    <t>Down Arrow</t>
  </si>
  <si>
    <t>Sideways Arrow</t>
  </si>
  <si>
    <t>Share Count</t>
  </si>
  <si>
    <t>WATCHLISTED COMPANIES</t>
  </si>
  <si>
    <t>Quarterly Dividend (Per Share)</t>
  </si>
  <si>
    <t>No. Of Investment</t>
  </si>
  <si>
    <t>ROI</t>
  </si>
  <si>
    <t>Invested Amount</t>
  </si>
  <si>
    <t>Invested Value</t>
  </si>
  <si>
    <t>ROI (%)</t>
  </si>
  <si>
    <t>Return Value</t>
  </si>
  <si>
    <t>Current Value</t>
  </si>
  <si>
    <t>Invested</t>
  </si>
  <si>
    <t>Return</t>
  </si>
  <si>
    <t>Conversion %</t>
  </si>
  <si>
    <t>Q1'22</t>
  </si>
  <si>
    <t>Q2'22</t>
  </si>
  <si>
    <t>Q3'22</t>
  </si>
  <si>
    <t>Q4'22</t>
  </si>
  <si>
    <t>Q1'23</t>
  </si>
  <si>
    <t>Q2'23</t>
  </si>
  <si>
    <t>Q3'23</t>
  </si>
  <si>
    <t>Q4'23</t>
  </si>
  <si>
    <t>Q1'24</t>
  </si>
  <si>
    <t>Q2'24</t>
  </si>
  <si>
    <t>Current Amount</t>
  </si>
  <si>
    <t>Medium Risk Companies</t>
  </si>
  <si>
    <t>Overview on Current Value</t>
  </si>
  <si>
    <t>Total Current Value</t>
  </si>
  <si>
    <t>Return Amount</t>
  </si>
  <si>
    <t>Active Shares</t>
  </si>
  <si>
    <t>Estimated Annual Dividend</t>
  </si>
  <si>
    <t>Sector Wise Yearly Invested Amount, Return Amount &amp;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</si>
</sst>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  <numFmt numFmtId="167" formatCode="#,##0.00;\(#,##0.00\)"/>
    <numFmt numFmtId="168" formatCode="0.0%"/>
    <numFmt numFmtId="169" formatCode="_(* #,##0_);_(* \(#,##0\);_(* &quot;-&quot;??_);_(@_)"/>
    <numFmt numFmtId="170" formatCode="[$-409]d\-mmm\-yy;@"/>
    <numFmt numFmtId="171" formatCode="[$-409]d/mmm/yy;@"/>
  </numFmts>
  <fonts count="45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Inconsolata"/>
    </font>
    <font>
      <b/>
      <sz val="10"/>
      <name val="Arial"/>
      <family val="2"/>
    </font>
    <font>
      <sz val="10"/>
      <color rgb="FF000000"/>
      <name val="Calibri Light"/>
      <family val="2"/>
      <scheme val="major"/>
    </font>
    <font>
      <sz val="9"/>
      <color rgb="FF000000"/>
      <name val="Calibri "/>
    </font>
    <font>
      <sz val="10"/>
      <color rgb="FF000000"/>
      <name val="Arial"/>
      <family val="2"/>
    </font>
    <font>
      <b/>
      <sz val="10"/>
      <color theme="0"/>
      <name val="Calibri Light"/>
      <family val="2"/>
      <scheme val="major"/>
    </font>
    <font>
      <b/>
      <sz val="11"/>
      <name val="Arial"/>
      <family val="2"/>
    </font>
    <font>
      <sz val="10"/>
      <color rgb="FF202124"/>
      <name val="Arial"/>
      <family val="2"/>
    </font>
    <font>
      <sz val="10"/>
      <color rgb="FF040C28"/>
      <name val="Arial"/>
      <family val="2"/>
    </font>
    <font>
      <b/>
      <sz val="12"/>
      <color rgb="FF000000"/>
      <name val="Arial"/>
      <family val="2"/>
    </font>
    <font>
      <sz val="11"/>
      <name val="Arial"/>
      <family val="2"/>
    </font>
    <font>
      <b/>
      <sz val="10"/>
      <color rgb="FF274E13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name val="Calibri"/>
      <family val="2"/>
      <scheme val="minor"/>
    </font>
    <font>
      <b/>
      <u/>
      <sz val="10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theme="0" tint="-0.14999847407452621"/>
      <name val="Arial"/>
      <family val="2"/>
    </font>
    <font>
      <b/>
      <sz val="12"/>
      <color rgb="FF00000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sz val="10"/>
      <color theme="0"/>
      <name val="Arial"/>
      <family val="2"/>
    </font>
    <font>
      <sz val="10"/>
      <color theme="0"/>
      <name val="Wingdings 3"/>
      <family val="1"/>
      <charset val="2"/>
    </font>
    <font>
      <b/>
      <sz val="11"/>
      <color theme="0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28"/>
      <color theme="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7" tint="-0.499984740745262"/>
      <name val="Arial"/>
      <family val="2"/>
    </font>
    <font>
      <b/>
      <sz val="11"/>
      <color theme="7" tint="-0.499984740745262"/>
      <name val="Calibri"/>
      <family val="2"/>
      <scheme val="minor"/>
    </font>
    <font>
      <b/>
      <sz val="10"/>
      <color rgb="FF000000"/>
      <name val="Calibri Light"/>
      <family val="2"/>
      <scheme val="major"/>
    </font>
  </fonts>
  <fills count="2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gradientFill degree="90">
        <stop position="0">
          <color theme="0"/>
        </stop>
        <stop position="1">
          <color theme="7" tint="0.80001220740379042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1719C"/>
        <bgColor indexed="64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theme="2" tint="-0.499984740745262"/>
      </left>
      <right/>
      <top style="double">
        <color theme="2" tint="-0.499984740745262"/>
      </top>
      <bottom/>
      <diagonal/>
    </border>
    <border>
      <left/>
      <right style="double">
        <color theme="2" tint="-0.499984740745262"/>
      </right>
      <top style="double">
        <color theme="2" tint="-0.499984740745262"/>
      </top>
      <bottom/>
      <diagonal/>
    </border>
    <border>
      <left style="double">
        <color theme="2" tint="-0.499984740745262"/>
      </left>
      <right/>
      <top/>
      <bottom/>
      <diagonal/>
    </border>
    <border>
      <left/>
      <right style="double">
        <color theme="2" tint="-0.499984740745262"/>
      </right>
      <top/>
      <bottom/>
      <diagonal/>
    </border>
    <border>
      <left style="double">
        <color theme="2" tint="-0.499984740745262"/>
      </left>
      <right/>
      <top/>
      <bottom style="double">
        <color theme="2" tint="-0.499984740745262"/>
      </bottom>
      <diagonal/>
    </border>
    <border>
      <left/>
      <right/>
      <top/>
      <bottom style="double">
        <color theme="2" tint="-0.499984740745262"/>
      </bottom>
      <diagonal/>
    </border>
    <border>
      <left/>
      <right style="double">
        <color theme="2" tint="-0.499984740745262"/>
      </right>
      <top/>
      <bottom style="double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double">
        <color indexed="64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double">
        <color indexed="64"/>
      </bottom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theme="9" tint="-0.499984740745262"/>
      </right>
      <top style="double">
        <color indexed="64"/>
      </top>
      <bottom/>
      <diagonal/>
    </border>
    <border>
      <left/>
      <right/>
      <top style="medium">
        <color theme="9" tint="-0.499984740745262"/>
      </top>
      <bottom style="double">
        <color indexed="64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9" fillId="0" borderId="0" applyFont="0" applyFill="0" applyBorder="0" applyAlignment="0" applyProtection="0"/>
  </cellStyleXfs>
  <cellXfs count="261">
    <xf numFmtId="0" fontId="0" fillId="0" borderId="0" xfId="0"/>
    <xf numFmtId="166" fontId="4" fillId="6" borderId="5" xfId="0" applyNumberFormat="1" applyFont="1" applyFill="1" applyBorder="1"/>
    <xf numFmtId="166" fontId="5" fillId="7" borderId="5" xfId="0" applyNumberFormat="1" applyFont="1" applyFill="1" applyBorder="1" applyAlignment="1">
      <alignment horizontal="center"/>
    </xf>
    <xf numFmtId="0" fontId="6" fillId="0" borderId="0" xfId="0" applyFont="1"/>
    <xf numFmtId="0" fontId="7" fillId="0" borderId="6" xfId="0" applyFont="1" applyBorder="1" applyAlignment="1">
      <alignment horizontal="center"/>
    </xf>
    <xf numFmtId="0" fontId="8" fillId="0" borderId="6" xfId="0" applyFont="1" applyBorder="1"/>
    <xf numFmtId="169" fontId="0" fillId="0" borderId="6" xfId="2" applyNumberFormat="1" applyFont="1" applyBorder="1" applyAlignment="1"/>
    <xf numFmtId="0" fontId="9" fillId="8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wrapText="1"/>
    </xf>
    <xf numFmtId="2" fontId="0" fillId="0" borderId="0" xfId="0" applyNumberFormat="1"/>
    <xf numFmtId="0" fontId="4" fillId="6" borderId="8" xfId="0" applyFont="1" applyFill="1" applyBorder="1" applyAlignment="1">
      <alignment horizontal="left" wrapText="1"/>
    </xf>
    <xf numFmtId="0" fontId="10" fillId="7" borderId="8" xfId="0" applyFont="1" applyFill="1" applyBorder="1" applyAlignment="1">
      <alignment horizontal="left" wrapText="1"/>
    </xf>
    <xf numFmtId="0" fontId="3" fillId="0" borderId="20" xfId="1" applyNumberFormat="1" applyFont="1" applyBorder="1" applyAlignment="1">
      <alignment horizontal="center"/>
    </xf>
    <xf numFmtId="0" fontId="19" fillId="4" borderId="3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 wrapText="1"/>
    </xf>
    <xf numFmtId="166" fontId="19" fillId="4" borderId="4" xfId="0" applyNumberFormat="1" applyFont="1" applyFill="1" applyBorder="1" applyAlignment="1">
      <alignment horizontal="left" vertical="center" wrapText="1"/>
    </xf>
    <xf numFmtId="167" fontId="20" fillId="4" borderId="4" xfId="0" applyNumberFormat="1" applyFont="1" applyFill="1" applyBorder="1" applyAlignment="1">
      <alignment horizontal="left" vertical="center" wrapText="1"/>
    </xf>
    <xf numFmtId="167" fontId="19" fillId="4" borderId="4" xfId="0" applyNumberFormat="1" applyFont="1" applyFill="1" applyBorder="1" applyAlignment="1">
      <alignment horizontal="left" vertical="center" wrapText="1"/>
    </xf>
    <xf numFmtId="166" fontId="19" fillId="4" borderId="5" xfId="0" applyNumberFormat="1" applyFont="1" applyFill="1" applyBorder="1" applyAlignment="1">
      <alignment horizontal="left" vertical="center"/>
    </xf>
    <xf numFmtId="10" fontId="19" fillId="4" borderId="4" xfId="0" applyNumberFormat="1" applyFont="1" applyFill="1" applyBorder="1" applyAlignment="1">
      <alignment horizontal="left" vertical="center" wrapText="1"/>
    </xf>
    <xf numFmtId="166" fontId="21" fillId="4" borderId="4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166" fontId="16" fillId="0" borderId="2" xfId="0" applyNumberFormat="1" applyFont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166" fontId="16" fillId="3" borderId="2" xfId="0" applyNumberFormat="1" applyFont="1" applyFill="1" applyBorder="1" applyAlignment="1">
      <alignment horizontal="left" vertical="center"/>
    </xf>
    <xf numFmtId="167" fontId="16" fillId="0" borderId="2" xfId="0" applyNumberFormat="1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10" fontId="16" fillId="0" borderId="2" xfId="0" applyNumberFormat="1" applyFont="1" applyBorder="1" applyAlignment="1">
      <alignment horizontal="left" vertical="center"/>
    </xf>
    <xf numFmtId="166" fontId="17" fillId="0" borderId="2" xfId="0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66" fontId="16" fillId="0" borderId="5" xfId="0" applyNumberFormat="1" applyFont="1" applyBorder="1" applyAlignment="1">
      <alignment horizontal="left" vertical="center"/>
    </xf>
    <xf numFmtId="0" fontId="3" fillId="0" borderId="23" xfId="1" applyNumberFormat="1" applyFont="1" applyBorder="1" applyAlignment="1">
      <alignment horizontal="center"/>
    </xf>
    <xf numFmtId="0" fontId="13" fillId="11" borderId="6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wrapText="1"/>
    </xf>
    <xf numFmtId="0" fontId="3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6" xfId="0" applyFont="1" applyBorder="1"/>
    <xf numFmtId="9" fontId="0" fillId="0" borderId="0" xfId="1" applyFont="1" applyAlignment="1"/>
    <xf numFmtId="9" fontId="0" fillId="0" borderId="33" xfId="1" applyFont="1" applyBorder="1" applyAlignment="1"/>
    <xf numFmtId="9" fontId="0" fillId="0" borderId="34" xfId="1" applyFont="1" applyBorder="1" applyAlignment="1"/>
    <xf numFmtId="9" fontId="0" fillId="0" borderId="35" xfId="1" applyFont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0" borderId="40" xfId="0" applyFont="1" applyBorder="1" applyAlignment="1">
      <alignment horizontal="center" vertical="center"/>
    </xf>
    <xf numFmtId="0" fontId="27" fillId="0" borderId="41" xfId="0" applyFont="1" applyBorder="1"/>
    <xf numFmtId="165" fontId="0" fillId="0" borderId="0" xfId="2" applyFont="1" applyAlignment="1"/>
    <xf numFmtId="165" fontId="0" fillId="0" borderId="0" xfId="0" applyNumberFormat="1"/>
    <xf numFmtId="164" fontId="0" fillId="0" borderId="0" xfId="2" applyNumberFormat="1" applyFont="1" applyAlignment="1"/>
    <xf numFmtId="0" fontId="0" fillId="0" borderId="38" xfId="0" applyBorder="1"/>
    <xf numFmtId="0" fontId="0" fillId="0" borderId="39" xfId="0" applyBorder="1"/>
    <xf numFmtId="0" fontId="3" fillId="0" borderId="47" xfId="0" applyFont="1" applyBorder="1"/>
    <xf numFmtId="0" fontId="3" fillId="0" borderId="48" xfId="0" applyFont="1" applyBorder="1"/>
    <xf numFmtId="0" fontId="3" fillId="0" borderId="49" xfId="0" applyFont="1" applyBorder="1"/>
    <xf numFmtId="9" fontId="18" fillId="0" borderId="46" xfId="1" applyFont="1" applyBorder="1" applyAlignment="1"/>
    <xf numFmtId="9" fontId="30" fillId="14" borderId="46" xfId="1" applyFont="1" applyFill="1" applyBorder="1" applyAlignment="1"/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2" fillId="11" borderId="36" xfId="0" applyFont="1" applyFill="1" applyBorder="1" applyAlignment="1">
      <alignment horizontal="center" vertical="center" wrapText="1"/>
    </xf>
    <xf numFmtId="0" fontId="32" fillId="15" borderId="6" xfId="0" applyFont="1" applyFill="1" applyBorder="1" applyAlignment="1">
      <alignment horizontal="center" vertical="center"/>
    </xf>
    <xf numFmtId="0" fontId="9" fillId="15" borderId="17" xfId="0" applyFont="1" applyFill="1" applyBorder="1" applyAlignment="1">
      <alignment horizontal="center" vertical="center" wrapText="1"/>
    </xf>
    <xf numFmtId="0" fontId="3" fillId="7" borderId="20" xfId="1" applyNumberFormat="1" applyFont="1" applyFill="1" applyBorder="1" applyAlignment="1">
      <alignment horizontal="center"/>
    </xf>
    <xf numFmtId="9" fontId="0" fillId="7" borderId="20" xfId="1" applyFont="1" applyFill="1" applyBorder="1" applyAlignment="1"/>
    <xf numFmtId="9" fontId="0" fillId="7" borderId="21" xfId="1" applyFont="1" applyFill="1" applyBorder="1" applyAlignment="1"/>
    <xf numFmtId="0" fontId="14" fillId="7" borderId="12" xfId="0" applyFont="1" applyFill="1" applyBorder="1" applyAlignment="1">
      <alignment horizontal="center" wrapText="1"/>
    </xf>
    <xf numFmtId="9" fontId="0" fillId="7" borderId="12" xfId="1" applyFont="1" applyFill="1" applyBorder="1" applyAlignment="1"/>
    <xf numFmtId="9" fontId="0" fillId="7" borderId="11" xfId="1" applyFont="1" applyFill="1" applyBorder="1" applyAlignment="1"/>
    <xf numFmtId="0" fontId="14" fillId="7" borderId="14" xfId="0" applyFont="1" applyFill="1" applyBorder="1" applyAlignment="1">
      <alignment horizontal="center" wrapText="1"/>
    </xf>
    <xf numFmtId="9" fontId="0" fillId="7" borderId="14" xfId="1" applyFont="1" applyFill="1" applyBorder="1" applyAlignment="1"/>
    <xf numFmtId="9" fontId="0" fillId="7" borderId="15" xfId="1" applyFont="1" applyFill="1" applyBorder="1" applyAlignment="1"/>
    <xf numFmtId="165" fontId="20" fillId="9" borderId="6" xfId="2" applyFont="1" applyFill="1" applyBorder="1" applyAlignment="1">
      <alignment vertical="center"/>
    </xf>
    <xf numFmtId="0" fontId="27" fillId="0" borderId="41" xfId="0" applyFont="1" applyBorder="1" applyAlignment="1">
      <alignment horizontal="center" vertical="center"/>
    </xf>
    <xf numFmtId="0" fontId="27" fillId="0" borderId="52" xfId="0" applyFont="1" applyBorder="1" applyAlignment="1">
      <alignment horizontal="center" vertical="center"/>
    </xf>
    <xf numFmtId="165" fontId="36" fillId="0" borderId="0" xfId="2" applyFont="1" applyBorder="1" applyAlignment="1"/>
    <xf numFmtId="165" fontId="36" fillId="0" borderId="50" xfId="2" applyFont="1" applyBorder="1" applyAlignment="1"/>
    <xf numFmtId="9" fontId="36" fillId="0" borderId="51" xfId="1" applyFont="1" applyBorder="1" applyAlignment="1"/>
    <xf numFmtId="9" fontId="36" fillId="0" borderId="43" xfId="1" applyFont="1" applyBorder="1" applyAlignment="1"/>
    <xf numFmtId="165" fontId="36" fillId="0" borderId="46" xfId="2" applyFont="1" applyBorder="1" applyAlignment="1"/>
    <xf numFmtId="9" fontId="36" fillId="0" borderId="45" xfId="1" applyFont="1" applyBorder="1" applyAlignment="1"/>
    <xf numFmtId="0" fontId="33" fillId="0" borderId="42" xfId="0" applyFont="1" applyBorder="1" applyAlignment="1">
      <alignment horizontal="left" wrapText="1"/>
    </xf>
    <xf numFmtId="0" fontId="34" fillId="0" borderId="42" xfId="0" applyFont="1" applyBorder="1" applyAlignment="1">
      <alignment horizontal="left" wrapText="1"/>
    </xf>
    <xf numFmtId="0" fontId="34" fillId="0" borderId="44" xfId="0" applyFont="1" applyBorder="1" applyAlignment="1">
      <alignment horizontal="left" wrapText="1"/>
    </xf>
    <xf numFmtId="9" fontId="36" fillId="0" borderId="0" xfId="1" applyFont="1" applyFill="1" applyBorder="1" applyAlignment="1"/>
    <xf numFmtId="9" fontId="0" fillId="0" borderId="22" xfId="1" applyFont="1" applyBorder="1" applyAlignment="1"/>
    <xf numFmtId="0" fontId="31" fillId="12" borderId="37" xfId="0" applyFont="1" applyFill="1" applyBorder="1"/>
    <xf numFmtId="0" fontId="38" fillId="0" borderId="53" xfId="0" applyFont="1" applyBorder="1"/>
    <xf numFmtId="0" fontId="37" fillId="0" borderId="0" xfId="0" applyFont="1" applyAlignment="1">
      <alignment horizontal="center"/>
    </xf>
    <xf numFmtId="9" fontId="37" fillId="0" borderId="0" xfId="1" applyFont="1" applyAlignment="1">
      <alignment horizontal="center"/>
    </xf>
    <xf numFmtId="0" fontId="38" fillId="0" borderId="0" xfId="0" applyFont="1" applyAlignment="1">
      <alignment horizontal="center"/>
    </xf>
    <xf numFmtId="9" fontId="38" fillId="0" borderId="0" xfId="1" applyFont="1" applyAlignment="1">
      <alignment horizontal="center"/>
    </xf>
    <xf numFmtId="0" fontId="40" fillId="0" borderId="42" xfId="0" applyFont="1" applyBorder="1" applyAlignment="1">
      <alignment horizontal="left" wrapText="1"/>
    </xf>
    <xf numFmtId="0" fontId="41" fillId="0" borderId="42" xfId="0" applyFont="1" applyBorder="1" applyAlignment="1">
      <alignment horizontal="left" wrapText="1"/>
    </xf>
    <xf numFmtId="0" fontId="41" fillId="0" borderId="44" xfId="0" applyFont="1" applyBorder="1" applyAlignment="1">
      <alignment horizontal="left" wrapText="1"/>
    </xf>
    <xf numFmtId="0" fontId="27" fillId="0" borderId="55" xfId="0" applyFont="1" applyBorder="1" applyAlignment="1">
      <alignment horizontal="center" vertical="center"/>
    </xf>
    <xf numFmtId="0" fontId="0" fillId="0" borderId="59" xfId="0" applyBorder="1"/>
    <xf numFmtId="169" fontId="23" fillId="0" borderId="56" xfId="2" applyNumberFormat="1" applyFont="1" applyFill="1" applyBorder="1" applyAlignment="1">
      <alignment horizontal="left" wrapText="1"/>
    </xf>
    <xf numFmtId="169" fontId="23" fillId="0" borderId="64" xfId="2" applyNumberFormat="1" applyFont="1" applyFill="1" applyBorder="1" applyAlignment="1">
      <alignment horizontal="left" wrapText="1"/>
    </xf>
    <xf numFmtId="169" fontId="23" fillId="0" borderId="67" xfId="2" applyNumberFormat="1" applyFont="1" applyFill="1" applyBorder="1" applyAlignment="1">
      <alignment horizontal="left" wrapText="1"/>
    </xf>
    <xf numFmtId="169" fontId="23" fillId="0" borderId="65" xfId="2" applyNumberFormat="1" applyFont="1" applyFill="1" applyBorder="1" applyAlignment="1">
      <alignment horizontal="left" wrapText="1"/>
    </xf>
    <xf numFmtId="169" fontId="23" fillId="0" borderId="12" xfId="2" applyNumberFormat="1" applyFont="1" applyFill="1" applyBorder="1" applyAlignment="1">
      <alignment horizontal="left" wrapText="1"/>
    </xf>
    <xf numFmtId="169" fontId="23" fillId="0" borderId="24" xfId="2" applyNumberFormat="1" applyFont="1" applyFill="1" applyBorder="1" applyAlignment="1">
      <alignment horizontal="left" wrapText="1"/>
    </xf>
    <xf numFmtId="169" fontId="23" fillId="0" borderId="18" xfId="2" applyNumberFormat="1" applyFont="1" applyFill="1" applyBorder="1" applyAlignment="1">
      <alignment horizontal="left" wrapText="1"/>
    </xf>
    <xf numFmtId="169" fontId="23" fillId="0" borderId="14" xfId="2" applyNumberFormat="1" applyFont="1" applyFill="1" applyBorder="1" applyAlignment="1">
      <alignment horizontal="left" wrapText="1"/>
    </xf>
    <xf numFmtId="169" fontId="23" fillId="0" borderId="25" xfId="2" applyNumberFormat="1" applyFont="1" applyFill="1" applyBorder="1" applyAlignment="1">
      <alignment horizontal="left" wrapText="1"/>
    </xf>
    <xf numFmtId="169" fontId="23" fillId="0" borderId="19" xfId="2" applyNumberFormat="1" applyFont="1" applyFill="1" applyBorder="1" applyAlignment="1">
      <alignment horizontal="left" wrapText="1"/>
    </xf>
    <xf numFmtId="169" fontId="23" fillId="0" borderId="73" xfId="2" applyNumberFormat="1" applyFont="1" applyFill="1" applyBorder="1" applyAlignment="1">
      <alignment horizontal="left" wrapText="1"/>
    </xf>
    <xf numFmtId="169" fontId="23" fillId="0" borderId="74" xfId="2" applyNumberFormat="1" applyFont="1" applyFill="1" applyBorder="1" applyAlignment="1">
      <alignment horizontal="left" wrapText="1"/>
    </xf>
    <xf numFmtId="169" fontId="23" fillId="0" borderId="75" xfId="2" applyNumberFormat="1" applyFont="1" applyFill="1" applyBorder="1" applyAlignment="1">
      <alignment horizontal="left" wrapText="1"/>
    </xf>
    <xf numFmtId="9" fontId="23" fillId="0" borderId="72" xfId="1" applyFont="1" applyFill="1" applyBorder="1" applyAlignment="1">
      <alignment horizontal="center" wrapText="1"/>
    </xf>
    <xf numFmtId="9" fontId="23" fillId="0" borderId="73" xfId="1" applyFont="1" applyFill="1" applyBorder="1" applyAlignment="1">
      <alignment horizontal="center" wrapText="1"/>
    </xf>
    <xf numFmtId="9" fontId="23" fillId="0" borderId="74" xfId="1" applyFont="1" applyFill="1" applyBorder="1" applyAlignment="1">
      <alignment horizontal="center" wrapText="1"/>
    </xf>
    <xf numFmtId="9" fontId="23" fillId="0" borderId="76" xfId="1" applyFont="1" applyFill="1" applyBorder="1" applyAlignment="1">
      <alignment horizontal="center" wrapText="1"/>
    </xf>
    <xf numFmtId="9" fontId="23" fillId="0" borderId="77" xfId="1" applyFont="1" applyFill="1" applyBorder="1" applyAlignment="1">
      <alignment horizontal="center" wrapText="1"/>
    </xf>
    <xf numFmtId="9" fontId="23" fillId="0" borderId="78" xfId="1" applyFont="1" applyFill="1" applyBorder="1" applyAlignment="1">
      <alignment horizontal="center" wrapText="1"/>
    </xf>
    <xf numFmtId="9" fontId="23" fillId="0" borderId="69" xfId="1" applyFont="1" applyFill="1" applyBorder="1" applyAlignment="1">
      <alignment horizontal="center" wrapText="1"/>
    </xf>
    <xf numFmtId="9" fontId="23" fillId="0" borderId="13" xfId="1" applyFont="1" applyFill="1" applyBorder="1" applyAlignment="1">
      <alignment horizontal="center" wrapText="1"/>
    </xf>
    <xf numFmtId="9" fontId="23" fillId="0" borderId="16" xfId="1" applyFont="1" applyFill="1" applyBorder="1" applyAlignment="1">
      <alignment horizontal="center" wrapText="1"/>
    </xf>
    <xf numFmtId="169" fontId="23" fillId="0" borderId="68" xfId="2" applyNumberFormat="1" applyFont="1" applyFill="1" applyBorder="1" applyAlignment="1">
      <alignment horizontal="left" wrapText="1"/>
    </xf>
    <xf numFmtId="169" fontId="23" fillId="0" borderId="11" xfId="2" applyNumberFormat="1" applyFont="1" applyFill="1" applyBorder="1" applyAlignment="1">
      <alignment horizontal="left" wrapText="1"/>
    </xf>
    <xf numFmtId="169" fontId="23" fillId="0" borderId="15" xfId="2" applyNumberFormat="1" applyFont="1" applyFill="1" applyBorder="1" applyAlignment="1">
      <alignment horizontal="left" wrapText="1"/>
    </xf>
    <xf numFmtId="171" fontId="3" fillId="0" borderId="0" xfId="0" applyNumberFormat="1" applyFont="1"/>
    <xf numFmtId="169" fontId="23" fillId="0" borderId="0" xfId="2" applyNumberFormat="1" applyFont="1" applyFill="1" applyBorder="1" applyAlignment="1">
      <alignment horizontal="left" wrapText="1"/>
    </xf>
    <xf numFmtId="9" fontId="23" fillId="0" borderId="66" xfId="1" applyFont="1" applyFill="1" applyBorder="1" applyAlignment="1">
      <alignment horizontal="center" wrapText="1"/>
    </xf>
    <xf numFmtId="9" fontId="23" fillId="0" borderId="79" xfId="1" applyFont="1" applyFill="1" applyBorder="1" applyAlignment="1">
      <alignment horizontal="center" wrapText="1"/>
    </xf>
    <xf numFmtId="9" fontId="0" fillId="0" borderId="79" xfId="1" applyFont="1" applyBorder="1" applyAlignment="1"/>
    <xf numFmtId="9" fontId="0" fillId="0" borderId="70" xfId="1" applyFont="1" applyBorder="1" applyAlignment="1"/>
    <xf numFmtId="0" fontId="2" fillId="0" borderId="82" xfId="0" applyFont="1" applyBorder="1"/>
    <xf numFmtId="0" fontId="2" fillId="0" borderId="83" xfId="0" applyFont="1" applyBorder="1"/>
    <xf numFmtId="0" fontId="2" fillId="0" borderId="84" xfId="0" applyFont="1" applyBorder="1"/>
    <xf numFmtId="171" fontId="2" fillId="0" borderId="85" xfId="0" applyNumberFormat="1" applyFont="1" applyBorder="1"/>
    <xf numFmtId="171" fontId="2" fillId="0" borderId="86" xfId="0" applyNumberFormat="1" applyFont="1" applyBorder="1"/>
    <xf numFmtId="171" fontId="2" fillId="0" borderId="87" xfId="0" applyNumberFormat="1" applyFont="1" applyBorder="1"/>
    <xf numFmtId="0" fontId="2" fillId="0" borderId="54" xfId="0" applyFont="1" applyBorder="1"/>
    <xf numFmtId="0" fontId="0" fillId="0" borderId="57" xfId="0" applyBorder="1"/>
    <xf numFmtId="0" fontId="0" fillId="0" borderId="58" xfId="0" applyBorder="1"/>
    <xf numFmtId="0" fontId="0" fillId="0" borderId="88" xfId="0" applyBorder="1"/>
    <xf numFmtId="0" fontId="0" fillId="0" borderId="89" xfId="0" applyBorder="1"/>
    <xf numFmtId="168" fontId="1" fillId="0" borderId="0" xfId="1" applyNumberFormat="1" applyFont="1" applyBorder="1" applyAlignment="1"/>
    <xf numFmtId="168" fontId="0" fillId="0" borderId="0" xfId="1" applyNumberFormat="1" applyFont="1" applyBorder="1" applyAlignment="1"/>
    <xf numFmtId="0" fontId="0" fillId="0" borderId="90" xfId="0" applyBorder="1"/>
    <xf numFmtId="0" fontId="0" fillId="0" borderId="91" xfId="0" applyBorder="1"/>
    <xf numFmtId="0" fontId="0" fillId="0" borderId="92" xfId="0" applyBorder="1"/>
    <xf numFmtId="171" fontId="2" fillId="0" borderId="57" xfId="0" applyNumberFormat="1" applyFont="1" applyBorder="1"/>
    <xf numFmtId="171" fontId="2" fillId="0" borderId="58" xfId="0" applyNumberFormat="1" applyFont="1" applyBorder="1"/>
    <xf numFmtId="171" fontId="2" fillId="0" borderId="59" xfId="0" applyNumberFormat="1" applyFont="1" applyBorder="1"/>
    <xf numFmtId="171" fontId="2" fillId="0" borderId="81" xfId="0" applyNumberFormat="1" applyFont="1" applyBorder="1"/>
    <xf numFmtId="0" fontId="2" fillId="0" borderId="59" xfId="0" applyFont="1" applyBorder="1"/>
    <xf numFmtId="171" fontId="2" fillId="0" borderId="60" xfId="0" applyNumberFormat="1" applyFont="1" applyBorder="1"/>
    <xf numFmtId="171" fontId="2" fillId="0" borderId="71" xfId="0" applyNumberFormat="1" applyFont="1" applyBorder="1"/>
    <xf numFmtId="171" fontId="2" fillId="0" borderId="62" xfId="0" applyNumberFormat="1" applyFont="1" applyBorder="1"/>
    <xf numFmtId="171" fontId="2" fillId="0" borderId="61" xfId="0" applyNumberFormat="1" applyFont="1" applyBorder="1"/>
    <xf numFmtId="171" fontId="2" fillId="0" borderId="80" xfId="0" applyNumberFormat="1" applyFont="1" applyBorder="1"/>
    <xf numFmtId="171" fontId="2" fillId="0" borderId="63" xfId="0" applyNumberFormat="1" applyFont="1" applyBorder="1"/>
    <xf numFmtId="0" fontId="22" fillId="0" borderId="36" xfId="0" applyFont="1" applyBorder="1" applyAlignment="1">
      <alignment horizontal="left" vertical="center"/>
    </xf>
    <xf numFmtId="170" fontId="16" fillId="0" borderId="36" xfId="0" applyNumberFormat="1" applyFont="1" applyBorder="1" applyAlignment="1">
      <alignment horizontal="left" vertical="center"/>
    </xf>
    <xf numFmtId="1" fontId="16" fillId="0" borderId="36" xfId="0" applyNumberFormat="1" applyFont="1" applyBorder="1" applyAlignment="1">
      <alignment horizontal="left" vertical="center"/>
    </xf>
    <xf numFmtId="166" fontId="16" fillId="0" borderId="36" xfId="0" applyNumberFormat="1" applyFont="1" applyBorder="1" applyAlignment="1">
      <alignment horizontal="left" vertical="center"/>
    </xf>
    <xf numFmtId="0" fontId="16" fillId="0" borderId="36" xfId="0" applyFont="1" applyBorder="1" applyAlignment="1">
      <alignment horizontal="left" vertical="center"/>
    </xf>
    <xf numFmtId="167" fontId="16" fillId="0" borderId="36" xfId="0" applyNumberFormat="1" applyFont="1" applyBorder="1" applyAlignment="1">
      <alignment horizontal="left" vertical="center"/>
    </xf>
    <xf numFmtId="10" fontId="19" fillId="0" borderId="36" xfId="0" applyNumberFormat="1" applyFont="1" applyBorder="1" applyAlignment="1">
      <alignment horizontal="left" vertical="center"/>
    </xf>
    <xf numFmtId="10" fontId="16" fillId="0" borderId="94" xfId="0" applyNumberFormat="1" applyFont="1" applyBorder="1" applyAlignment="1">
      <alignment horizontal="left" vertical="center"/>
    </xf>
    <xf numFmtId="166" fontId="16" fillId="0" borderId="95" xfId="0" applyNumberFormat="1" applyFont="1" applyBorder="1" applyAlignment="1">
      <alignment horizontal="left" vertical="center"/>
    </xf>
    <xf numFmtId="10" fontId="16" fillId="0" borderId="36" xfId="0" applyNumberFormat="1" applyFont="1" applyBorder="1" applyAlignment="1">
      <alignment horizontal="left" vertical="center"/>
    </xf>
    <xf numFmtId="166" fontId="16" fillId="0" borderId="96" xfId="0" applyNumberFormat="1" applyFont="1" applyBorder="1" applyAlignment="1">
      <alignment horizontal="left" vertical="center"/>
    </xf>
    <xf numFmtId="0" fontId="19" fillId="0" borderId="36" xfId="0" applyFont="1" applyBorder="1" applyAlignment="1">
      <alignment horizontal="left" vertical="center"/>
    </xf>
    <xf numFmtId="0" fontId="24" fillId="0" borderId="36" xfId="0" applyFont="1" applyBorder="1" applyAlignment="1">
      <alignment horizontal="left" vertical="center"/>
    </xf>
    <xf numFmtId="0" fontId="19" fillId="0" borderId="54" xfId="0" applyFont="1" applyBorder="1" applyAlignment="1">
      <alignment horizontal="left" vertical="center"/>
    </xf>
    <xf numFmtId="170" fontId="16" fillId="0" borderId="54" xfId="0" applyNumberFormat="1" applyFont="1" applyBorder="1" applyAlignment="1">
      <alignment horizontal="left" vertical="center"/>
    </xf>
    <xf numFmtId="1" fontId="16" fillId="0" borderId="54" xfId="0" applyNumberFormat="1" applyFont="1" applyBorder="1" applyAlignment="1">
      <alignment horizontal="left" vertical="center"/>
    </xf>
    <xf numFmtId="0" fontId="16" fillId="0" borderId="54" xfId="0" applyFont="1" applyBorder="1" applyAlignment="1">
      <alignment horizontal="left" vertical="center"/>
    </xf>
    <xf numFmtId="166" fontId="16" fillId="0" borderId="54" xfId="0" applyNumberFormat="1" applyFont="1" applyBorder="1" applyAlignment="1">
      <alignment horizontal="left" vertical="center"/>
    </xf>
    <xf numFmtId="167" fontId="16" fillId="0" borderId="54" xfId="0" applyNumberFormat="1" applyFont="1" applyBorder="1" applyAlignment="1">
      <alignment horizontal="left" vertical="center"/>
    </xf>
    <xf numFmtId="10" fontId="19" fillId="0" borderId="54" xfId="0" applyNumberFormat="1" applyFont="1" applyBorder="1" applyAlignment="1">
      <alignment horizontal="left" vertical="center"/>
    </xf>
    <xf numFmtId="10" fontId="16" fillId="0" borderId="54" xfId="0" applyNumberFormat="1" applyFont="1" applyBorder="1" applyAlignment="1">
      <alignment horizontal="left" vertical="center"/>
    </xf>
    <xf numFmtId="166" fontId="16" fillId="0" borderId="93" xfId="0" applyNumberFormat="1" applyFont="1" applyBorder="1" applyAlignment="1">
      <alignment horizontal="left" vertical="center"/>
    </xf>
    <xf numFmtId="0" fontId="37" fillId="0" borderId="98" xfId="0" applyFont="1" applyBorder="1"/>
    <xf numFmtId="0" fontId="31" fillId="13" borderId="53" xfId="0" applyFont="1" applyFill="1" applyBorder="1"/>
    <xf numFmtId="0" fontId="29" fillId="18" borderId="97" xfId="0" applyFont="1" applyFill="1" applyBorder="1"/>
    <xf numFmtId="0" fontId="42" fillId="0" borderId="97" xfId="0" applyFont="1" applyBorder="1"/>
    <xf numFmtId="0" fontId="3" fillId="7" borderId="99" xfId="1" applyNumberFormat="1" applyFont="1" applyFill="1" applyBorder="1" applyAlignment="1">
      <alignment horizontal="center"/>
    </xf>
    <xf numFmtId="0" fontId="1" fillId="7" borderId="73" xfId="0" applyFont="1" applyFill="1" applyBorder="1" applyAlignment="1">
      <alignment horizontal="center" wrapText="1"/>
    </xf>
    <xf numFmtId="0" fontId="1" fillId="7" borderId="74" xfId="0" applyFont="1" applyFill="1" applyBorder="1" applyAlignment="1">
      <alignment horizontal="center" wrapText="1"/>
    </xf>
    <xf numFmtId="0" fontId="33" fillId="16" borderId="6" xfId="0" applyFont="1" applyFill="1" applyBorder="1" applyAlignment="1">
      <alignment horizontal="left" wrapText="1"/>
    </xf>
    <xf numFmtId="0" fontId="34" fillId="17" borderId="6" xfId="0" applyFont="1" applyFill="1" applyBorder="1" applyAlignment="1">
      <alignment horizontal="left" wrapText="1"/>
    </xf>
    <xf numFmtId="1" fontId="0" fillId="7" borderId="11" xfId="1" applyNumberFormat="1" applyFont="1" applyFill="1" applyBorder="1" applyAlignment="1">
      <alignment horizontal="center" vertical="center"/>
    </xf>
    <xf numFmtId="1" fontId="0" fillId="7" borderId="15" xfId="1" applyNumberFormat="1" applyFont="1" applyFill="1" applyBorder="1" applyAlignment="1">
      <alignment horizontal="center" vertical="center"/>
    </xf>
    <xf numFmtId="9" fontId="43" fillId="0" borderId="0" xfId="1" applyFont="1" applyAlignment="1">
      <alignment horizontal="center"/>
    </xf>
    <xf numFmtId="0" fontId="43" fillId="0" borderId="0" xfId="0" applyFont="1" applyAlignment="1">
      <alignment horizontal="center" vertical="center"/>
    </xf>
    <xf numFmtId="165" fontId="0" fillId="7" borderId="21" xfId="3" applyNumberFormat="1" applyFont="1" applyFill="1" applyBorder="1" applyAlignment="1"/>
    <xf numFmtId="165" fontId="0" fillId="7" borderId="11" xfId="3" applyNumberFormat="1" applyFont="1" applyFill="1" applyBorder="1" applyAlignment="1"/>
    <xf numFmtId="165" fontId="0" fillId="7" borderId="15" xfId="3" applyNumberFormat="1" applyFont="1" applyFill="1" applyBorder="1" applyAlignment="1"/>
    <xf numFmtId="165" fontId="0" fillId="7" borderId="22" xfId="3" applyNumberFormat="1" applyFont="1" applyFill="1" applyBorder="1" applyAlignment="1"/>
    <xf numFmtId="165" fontId="0" fillId="7" borderId="13" xfId="3" applyNumberFormat="1" applyFont="1" applyFill="1" applyBorder="1" applyAlignment="1"/>
    <xf numFmtId="165" fontId="0" fillId="7" borderId="16" xfId="3" applyNumberFormat="1" applyFont="1" applyFill="1" applyBorder="1" applyAlignment="1"/>
    <xf numFmtId="165" fontId="0" fillId="0" borderId="46" xfId="2" applyFont="1" applyBorder="1" applyAlignment="1"/>
    <xf numFmtId="165" fontId="0" fillId="0" borderId="45" xfId="1" applyNumberFormat="1" applyFont="1" applyBorder="1" applyAlignment="1"/>
    <xf numFmtId="165" fontId="16" fillId="0" borderId="36" xfId="0" applyNumberFormat="1" applyFont="1" applyBorder="1" applyAlignment="1">
      <alignment horizontal="left" vertical="center"/>
    </xf>
    <xf numFmtId="165" fontId="16" fillId="0" borderId="54" xfId="0" applyNumberFormat="1" applyFont="1" applyBorder="1" applyAlignment="1">
      <alignment horizontal="left" vertical="center"/>
    </xf>
    <xf numFmtId="165" fontId="0" fillId="0" borderId="0" xfId="3" applyNumberFormat="1" applyFont="1" applyAlignment="1"/>
    <xf numFmtId="1" fontId="0" fillId="7" borderId="21" xfId="1" applyNumberFormat="1" applyFont="1" applyFill="1" applyBorder="1" applyAlignment="1">
      <alignment horizontal="center"/>
    </xf>
    <xf numFmtId="165" fontId="18" fillId="0" borderId="103" xfId="2" applyFont="1" applyBorder="1" applyAlignment="1"/>
    <xf numFmtId="165" fontId="18" fillId="0" borderId="107" xfId="2" applyFont="1" applyBorder="1" applyAlignment="1"/>
    <xf numFmtId="165" fontId="18" fillId="0" borderId="12" xfId="2" applyFont="1" applyBorder="1" applyAlignment="1"/>
    <xf numFmtId="165" fontId="18" fillId="0" borderId="108" xfId="2" applyFont="1" applyBorder="1" applyAlignment="1"/>
    <xf numFmtId="165" fontId="18" fillId="0" borderId="18" xfId="2" applyFont="1" applyBorder="1" applyAlignment="1"/>
    <xf numFmtId="165" fontId="18" fillId="0" borderId="104" xfId="2" applyFont="1" applyBorder="1" applyAlignment="1"/>
    <xf numFmtId="0" fontId="34" fillId="10" borderId="110" xfId="0" applyFont="1" applyFill="1" applyBorder="1" applyAlignment="1">
      <alignment horizontal="center" vertical="center" wrapText="1"/>
    </xf>
    <xf numFmtId="0" fontId="9" fillId="15" borderId="111" xfId="0" applyFont="1" applyFill="1" applyBorder="1" applyAlignment="1">
      <alignment horizontal="center" vertical="center" wrapText="1"/>
    </xf>
    <xf numFmtId="0" fontId="9" fillId="15" borderId="112" xfId="0" applyFont="1" applyFill="1" applyBorder="1" applyAlignment="1">
      <alignment horizontal="center" vertical="center" wrapText="1"/>
    </xf>
    <xf numFmtId="9" fontId="18" fillId="0" borderId="105" xfId="1" applyFont="1" applyBorder="1" applyAlignment="1">
      <alignment horizontal="center"/>
    </xf>
    <xf numFmtId="9" fontId="18" fillId="0" borderId="13" xfId="1" applyFont="1" applyBorder="1" applyAlignment="1">
      <alignment horizontal="center"/>
    </xf>
    <xf numFmtId="9" fontId="18" fillId="0" borderId="106" xfId="1" applyFont="1" applyBorder="1" applyAlignment="1">
      <alignment horizontal="center"/>
    </xf>
    <xf numFmtId="9" fontId="18" fillId="0" borderId="100" xfId="1" applyFont="1" applyBorder="1" applyAlignment="1">
      <alignment horizontal="center"/>
    </xf>
    <xf numFmtId="9" fontId="18" fillId="0" borderId="101" xfId="1" applyFont="1" applyBorder="1" applyAlignment="1">
      <alignment horizontal="center"/>
    </xf>
    <xf numFmtId="9" fontId="18" fillId="0" borderId="102" xfId="1" applyFont="1" applyBorder="1" applyAlignment="1">
      <alignment horizontal="center"/>
    </xf>
    <xf numFmtId="0" fontId="32" fillId="15" borderId="110" xfId="0" applyFont="1" applyFill="1" applyBorder="1" applyAlignment="1">
      <alignment horizontal="center" vertical="center"/>
    </xf>
    <xf numFmtId="0" fontId="40" fillId="0" borderId="113" xfId="0" applyFont="1" applyBorder="1" applyAlignment="1">
      <alignment horizontal="left" wrapText="1"/>
    </xf>
    <xf numFmtId="0" fontId="41" fillId="0" borderId="114" xfId="0" applyFont="1" applyBorder="1" applyAlignment="1">
      <alignment horizontal="left" wrapText="1"/>
    </xf>
    <xf numFmtId="0" fontId="41" fillId="0" borderId="115" xfId="0" applyFont="1" applyBorder="1" applyAlignment="1">
      <alignment horizontal="left" wrapText="1"/>
    </xf>
    <xf numFmtId="0" fontId="35" fillId="5" borderId="0" xfId="0" applyFont="1" applyFill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20" fillId="9" borderId="8" xfId="0" applyFont="1" applyFill="1" applyBorder="1" applyAlignment="1">
      <alignment horizontal="center" vertical="center" wrapText="1"/>
    </xf>
    <xf numFmtId="0" fontId="20" fillId="9" borderId="7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8" fontId="20" fillId="9" borderId="8" xfId="1" applyNumberFormat="1" applyFont="1" applyFill="1" applyBorder="1" applyAlignment="1">
      <alignment horizontal="right" vertical="center"/>
    </xf>
    <xf numFmtId="168" fontId="20" fillId="9" borderId="7" xfId="1" applyNumberFormat="1" applyFont="1" applyFill="1" applyBorder="1" applyAlignment="1">
      <alignment horizontal="right" vertical="center"/>
    </xf>
    <xf numFmtId="0" fontId="26" fillId="12" borderId="0" xfId="0" applyFont="1" applyFill="1" applyAlignment="1">
      <alignment horizontal="center" vertical="center"/>
    </xf>
    <xf numFmtId="0" fontId="26" fillId="12" borderId="31" xfId="0" applyFont="1" applyFill="1" applyBorder="1" applyAlignment="1">
      <alignment horizontal="center" vertical="center"/>
    </xf>
    <xf numFmtId="0" fontId="25" fillId="0" borderId="26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44" fillId="19" borderId="85" xfId="0" applyFont="1" applyFill="1" applyBorder="1" applyAlignment="1">
      <alignment horizontal="center"/>
    </xf>
    <xf numFmtId="0" fontId="44" fillId="19" borderId="86" xfId="0" applyFont="1" applyFill="1" applyBorder="1" applyAlignment="1">
      <alignment horizontal="center"/>
    </xf>
    <xf numFmtId="0" fontId="44" fillId="10" borderId="86" xfId="0" applyFont="1" applyFill="1" applyBorder="1" applyAlignment="1">
      <alignment horizontal="center"/>
    </xf>
    <xf numFmtId="0" fontId="44" fillId="10" borderId="87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10" borderId="8" xfId="0" applyFont="1" applyFill="1" applyBorder="1" applyAlignment="1">
      <alignment horizontal="center"/>
    </xf>
    <xf numFmtId="0" fontId="2" fillId="10" borderId="109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6" xfId="0" applyFont="1" applyBorder="1" applyAlignment="1">
      <alignment horizontal="left" wrapText="1"/>
    </xf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12">
    <dxf>
      <font>
        <color rgb="FFC00000"/>
      </font>
      <fill>
        <patternFill patternType="none">
          <bgColor auto="1"/>
        </patternFill>
      </fill>
    </dxf>
    <dxf>
      <font>
        <color theme="7" tint="-0.24994659260841701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C0000"/>
          <bgColor rgb="FFCC0000"/>
        </patternFill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333F50"/>
      <color rgb="FF164460"/>
      <color rgb="FF1F6189"/>
      <color rgb="FF1C7F8C"/>
      <color rgb="FF41719C"/>
      <color rgb="FFBE5273"/>
      <color rgb="FFD6A300"/>
      <color rgb="FF60963C"/>
      <color rgb="FFB74D4D"/>
      <color rgb="FFD75E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tx2">
                    <a:lumMod val="75000"/>
                  </a:schemeClr>
                </a:solidFill>
              </a:rPr>
              <a:t>Sector wise weight</a:t>
            </a:r>
          </a:p>
        </c:rich>
      </c:tx>
      <c:layout>
        <c:manualLayout>
          <c:xMode val="edge"/>
          <c:yMode val="edge"/>
          <c:x val="0.28815966754155731"/>
          <c:y val="1.2213738500332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Dashboard!$K$139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Dashboard!$J$140:$J$152</c:f>
              <c:strCache>
                <c:ptCount val="13"/>
                <c:pt idx="0">
                  <c:v>Telecommunication Services</c:v>
                </c:pt>
                <c:pt idx="1">
                  <c:v>Utilities</c:v>
                </c:pt>
                <c:pt idx="2">
                  <c:v>Consumer Staples</c:v>
                </c:pt>
                <c:pt idx="3">
                  <c:v>Industrials</c:v>
                </c:pt>
                <c:pt idx="4">
                  <c:v>Consumer Discretionary</c:v>
                </c:pt>
                <c:pt idx="5">
                  <c:v>Energy</c:v>
                </c:pt>
                <c:pt idx="6">
                  <c:v>Financials</c:v>
                </c:pt>
                <c:pt idx="7">
                  <c:v>Real Estate</c:v>
                </c:pt>
                <c:pt idx="8">
                  <c:v>Information Technology</c:v>
                </c:pt>
                <c:pt idx="9">
                  <c:v>Materials</c:v>
                </c:pt>
                <c:pt idx="10">
                  <c:v>Health Care</c:v>
                </c:pt>
                <c:pt idx="11">
                  <c:v>Other</c:v>
                </c:pt>
                <c:pt idx="12">
                  <c:v>ETF</c:v>
                </c:pt>
              </c:strCache>
            </c:strRef>
          </c:cat>
          <c:val>
            <c:numRef>
              <c:f>Dashboard!$K$140:$K$152</c:f>
              <c:numCache>
                <c:formatCode>General</c:formatCode>
                <c:ptCount val="13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88D-49C8-B722-E15DC6E62862}"/>
            </c:ext>
          </c:extLst>
        </c:ser>
        <c:ser>
          <c:idx val="1"/>
          <c:order val="1"/>
          <c:tx>
            <c:strRef>
              <c:f>Dashboard!$M$139</c:f>
              <c:strCache>
                <c:ptCount val="1"/>
                <c:pt idx="0">
                  <c:v>Sector 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/>
              </a:solidFill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Dashboard!$J$140:$J$152</c:f>
              <c:strCache>
                <c:ptCount val="13"/>
                <c:pt idx="0">
                  <c:v>Telecommunication Services</c:v>
                </c:pt>
                <c:pt idx="1">
                  <c:v>Utilities</c:v>
                </c:pt>
                <c:pt idx="2">
                  <c:v>Consumer Staples</c:v>
                </c:pt>
                <c:pt idx="3">
                  <c:v>Industrials</c:v>
                </c:pt>
                <c:pt idx="4">
                  <c:v>Consumer Discretionary</c:v>
                </c:pt>
                <c:pt idx="5">
                  <c:v>Energy</c:v>
                </c:pt>
                <c:pt idx="6">
                  <c:v>Financials</c:v>
                </c:pt>
                <c:pt idx="7">
                  <c:v>Real Estate</c:v>
                </c:pt>
                <c:pt idx="8">
                  <c:v>Information Technology</c:v>
                </c:pt>
                <c:pt idx="9">
                  <c:v>Materials</c:v>
                </c:pt>
                <c:pt idx="10">
                  <c:v>Health Care</c:v>
                </c:pt>
                <c:pt idx="11">
                  <c:v>Other</c:v>
                </c:pt>
                <c:pt idx="12">
                  <c:v>ETF</c:v>
                </c:pt>
              </c:strCache>
            </c:strRef>
          </c:cat>
          <c:val>
            <c:numRef>
              <c:f>Dashboard!$M$140:$M$152</c:f>
              <c:numCache>
                <c:formatCode>0.0%</c:formatCode>
                <c:ptCount val="13"/>
                <c:pt idx="0">
                  <c:v>4.2706694750313273E-2</c:v>
                </c:pt>
                <c:pt idx="1">
                  <c:v>2.7422436700704756E-2</c:v>
                </c:pt>
                <c:pt idx="2">
                  <c:v>0.2009562659414687</c:v>
                </c:pt>
                <c:pt idx="3">
                  <c:v>0.1172225628993699</c:v>
                </c:pt>
                <c:pt idx="4">
                  <c:v>0.1848703797513353</c:v>
                </c:pt>
                <c:pt idx="5">
                  <c:v>5.2688831418135282E-2</c:v>
                </c:pt>
                <c:pt idx="6">
                  <c:v>5.2992774682059346E-2</c:v>
                </c:pt>
                <c:pt idx="7">
                  <c:v>0.12170705912674079</c:v>
                </c:pt>
                <c:pt idx="8">
                  <c:v>7.9700678095644364E-2</c:v>
                </c:pt>
                <c:pt idx="9">
                  <c:v>8.0180588512366573E-3</c:v>
                </c:pt>
                <c:pt idx="10">
                  <c:v>4.7128980368109065E-2</c:v>
                </c:pt>
                <c:pt idx="11">
                  <c:v>1.173114351987629E-3</c:v>
                </c:pt>
                <c:pt idx="12">
                  <c:v>6.3412163062894933E-2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D-4719-B715-B7C56119BA70}"/>
            </c:ext>
          </c:extLst>
        </c:ser>
        <c:ser>
          <c:idx val="2"/>
          <c:order val="2"/>
          <c:tx>
            <c:strRef>
              <c:f>Dashboard!$N$139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Dashboard!$J$140:$J$152</c:f>
              <c:strCache>
                <c:ptCount val="13"/>
                <c:pt idx="0">
                  <c:v>Telecommunication Services</c:v>
                </c:pt>
                <c:pt idx="1">
                  <c:v>Utilities</c:v>
                </c:pt>
                <c:pt idx="2">
                  <c:v>Consumer Staples</c:v>
                </c:pt>
                <c:pt idx="3">
                  <c:v>Industrials</c:v>
                </c:pt>
                <c:pt idx="4">
                  <c:v>Consumer Discretionary</c:v>
                </c:pt>
                <c:pt idx="5">
                  <c:v>Energy</c:v>
                </c:pt>
                <c:pt idx="6">
                  <c:v>Financials</c:v>
                </c:pt>
                <c:pt idx="7">
                  <c:v>Real Estate</c:v>
                </c:pt>
                <c:pt idx="8">
                  <c:v>Information Technology</c:v>
                </c:pt>
                <c:pt idx="9">
                  <c:v>Materials</c:v>
                </c:pt>
                <c:pt idx="10">
                  <c:v>Health Care</c:v>
                </c:pt>
                <c:pt idx="11">
                  <c:v>Other</c:v>
                </c:pt>
                <c:pt idx="12">
                  <c:v>ETF</c:v>
                </c:pt>
              </c:strCache>
            </c:strRef>
          </c:cat>
          <c:val>
            <c:numRef>
              <c:f>Dashboard!$N$140:$N$152</c:f>
              <c:numCache>
                <c:formatCode>0.0%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A55D-4719-B715-B7C56119BA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44"/>
        <c:overlap val="64"/>
        <c:axId val="1505225152"/>
        <c:axId val="1500942144"/>
        <c:extLst/>
      </c:barChart>
      <c:catAx>
        <c:axId val="150522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942144"/>
        <c:crosses val="autoZero"/>
        <c:auto val="1"/>
        <c:lblAlgn val="ctr"/>
        <c:lblOffset val="100"/>
        <c:noMultiLvlLbl val="0"/>
      </c:catAx>
      <c:valAx>
        <c:axId val="1500942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0522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Sector</a:t>
            </a:r>
            <a:r>
              <a:rPr lang="en-US" sz="12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Wise Current Value --&gt; Purchase Price --&gt; Return % of Active Companies </a:t>
            </a:r>
            <a:endParaRPr lang="en-US" sz="1200" b="1"/>
          </a:p>
        </c:rich>
      </c:tx>
      <c:layout>
        <c:manualLayout>
          <c:xMode val="edge"/>
          <c:yMode val="edge"/>
          <c:x val="2.0104927152499275E-2"/>
          <c:y val="2.5468161288996451E-2"/>
        </c:manualLayout>
      </c:layout>
      <c:overlay val="0"/>
      <c:spPr>
        <a:solidFill>
          <a:schemeClr val="bg2">
            <a:lumMod val="90000"/>
          </a:schemeClr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89665094478351"/>
          <c:y val="0.15743568370147973"/>
          <c:w val="0.76260574198572739"/>
          <c:h val="0.5084895542102513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Analysis!$L$39</c:f>
              <c:strCache>
                <c:ptCount val="1"/>
                <c:pt idx="0">
                  <c:v>Current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Analysis!$H$40:$H$52</c:f>
              <c:strCache>
                <c:ptCount val="13"/>
                <c:pt idx="0">
                  <c:v>Telecommunication Services</c:v>
                </c:pt>
                <c:pt idx="1">
                  <c:v>Utilities</c:v>
                </c:pt>
                <c:pt idx="2">
                  <c:v>Consumer Staples</c:v>
                </c:pt>
                <c:pt idx="3">
                  <c:v>Industrials</c:v>
                </c:pt>
                <c:pt idx="4">
                  <c:v>Consumer Discretionary</c:v>
                </c:pt>
                <c:pt idx="5">
                  <c:v>Energy</c:v>
                </c:pt>
                <c:pt idx="6">
                  <c:v>Financials</c:v>
                </c:pt>
                <c:pt idx="7">
                  <c:v>Real Estate</c:v>
                </c:pt>
                <c:pt idx="8">
                  <c:v>Information Technology</c:v>
                </c:pt>
                <c:pt idx="9">
                  <c:v>Materials</c:v>
                </c:pt>
                <c:pt idx="10">
                  <c:v>Health Care</c:v>
                </c:pt>
                <c:pt idx="11">
                  <c:v>Other</c:v>
                </c:pt>
                <c:pt idx="12">
                  <c:v>ETF</c:v>
                </c:pt>
              </c:strCache>
            </c:strRef>
          </c:cat>
          <c:val>
            <c:numRef>
              <c:f>Analysis!$L$40:$L$52</c:f>
              <c:numCache>
                <c:formatCode>_(* #,##0.00_);_(* \(#,##0.00\);_(* "-"??_);_(@_)</c:formatCode>
                <c:ptCount val="13"/>
                <c:pt idx="0">
                  <c:v>24027</c:v>
                </c:pt>
                <c:pt idx="1">
                  <c:v>13916</c:v>
                </c:pt>
                <c:pt idx="2">
                  <c:v>89687</c:v>
                </c:pt>
                <c:pt idx="3">
                  <c:v>63822</c:v>
                </c:pt>
                <c:pt idx="4">
                  <c:v>93006</c:v>
                </c:pt>
                <c:pt idx="5">
                  <c:v>18670</c:v>
                </c:pt>
                <c:pt idx="6">
                  <c:v>28314</c:v>
                </c:pt>
                <c:pt idx="7">
                  <c:v>33969</c:v>
                </c:pt>
                <c:pt idx="8">
                  <c:v>44840</c:v>
                </c:pt>
                <c:pt idx="9">
                  <c:v>4511</c:v>
                </c:pt>
                <c:pt idx="10">
                  <c:v>26515</c:v>
                </c:pt>
                <c:pt idx="11">
                  <c:v>660</c:v>
                </c:pt>
                <c:pt idx="12">
                  <c:v>35676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6-4F7D-A087-850FF4C9932D}"/>
            </c:ext>
          </c:extLst>
        </c:ser>
        <c:ser>
          <c:idx val="2"/>
          <c:order val="2"/>
          <c:tx>
            <c:strRef>
              <c:f>Analysis!$M$39</c:f>
              <c:strCache>
                <c:ptCount val="1"/>
                <c:pt idx="0">
                  <c:v>Invested Amount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Analysis!$H$40:$H$52</c:f>
              <c:strCache>
                <c:ptCount val="13"/>
                <c:pt idx="0">
                  <c:v>Telecommunication Services</c:v>
                </c:pt>
                <c:pt idx="1">
                  <c:v>Utilities</c:v>
                </c:pt>
                <c:pt idx="2">
                  <c:v>Consumer Staples</c:v>
                </c:pt>
                <c:pt idx="3">
                  <c:v>Industrials</c:v>
                </c:pt>
                <c:pt idx="4">
                  <c:v>Consumer Discretionary</c:v>
                </c:pt>
                <c:pt idx="5">
                  <c:v>Energy</c:v>
                </c:pt>
                <c:pt idx="6">
                  <c:v>Financials</c:v>
                </c:pt>
                <c:pt idx="7">
                  <c:v>Real Estate</c:v>
                </c:pt>
                <c:pt idx="8">
                  <c:v>Information Technology</c:v>
                </c:pt>
                <c:pt idx="9">
                  <c:v>Materials</c:v>
                </c:pt>
                <c:pt idx="10">
                  <c:v>Health Care</c:v>
                </c:pt>
                <c:pt idx="11">
                  <c:v>Other</c:v>
                </c:pt>
                <c:pt idx="12">
                  <c:v>ETF</c:v>
                </c:pt>
              </c:strCache>
            </c:strRef>
          </c:cat>
          <c:val>
            <c:numRef>
              <c:f>Analysis!$M$40:$M$52</c:f>
              <c:numCache>
                <c:formatCode>_(* #,##0.00_);_(* \(#,##0.00\);_(* "-"??_);_(@_)</c:formatCode>
                <c:ptCount val="13"/>
                <c:pt idx="0">
                  <c:v>13213.91</c:v>
                </c:pt>
                <c:pt idx="1">
                  <c:v>10267.650000000001</c:v>
                </c:pt>
                <c:pt idx="2">
                  <c:v>81372.690000000017</c:v>
                </c:pt>
                <c:pt idx="3">
                  <c:v>55913.660000000011</c:v>
                </c:pt>
                <c:pt idx="4">
                  <c:v>85422.609999999986</c:v>
                </c:pt>
                <c:pt idx="5">
                  <c:v>16084.229999999998</c:v>
                </c:pt>
                <c:pt idx="6">
                  <c:v>26246.669999999995</c:v>
                </c:pt>
                <c:pt idx="7">
                  <c:v>15292.91</c:v>
                </c:pt>
                <c:pt idx="8">
                  <c:v>39391</c:v>
                </c:pt>
                <c:pt idx="9">
                  <c:v>3302.96</c:v>
                </c:pt>
                <c:pt idx="10">
                  <c:v>20001.649999999998</c:v>
                </c:pt>
                <c:pt idx="11">
                  <c:v>508.9</c:v>
                </c:pt>
                <c:pt idx="12">
                  <c:v>21991.38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A6-4F7D-A087-850FF4C99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27349135"/>
        <c:axId val="1732192111"/>
      </c:barChart>
      <c:lineChart>
        <c:grouping val="standard"/>
        <c:varyColors val="0"/>
        <c:ser>
          <c:idx val="0"/>
          <c:order val="0"/>
          <c:tx>
            <c:strRef>
              <c:f>Analysis!$J$39</c:f>
              <c:strCache>
                <c:ptCount val="1"/>
                <c:pt idx="0">
                  <c:v>Return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C3-4048-A5D8-E1F2B173BD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Analysis!$H$40:$H$52</c:f>
              <c:strCache>
                <c:ptCount val="13"/>
                <c:pt idx="0">
                  <c:v>Telecommunication Services</c:v>
                </c:pt>
                <c:pt idx="1">
                  <c:v>Utilities</c:v>
                </c:pt>
                <c:pt idx="2">
                  <c:v>Consumer Staples</c:v>
                </c:pt>
                <c:pt idx="3">
                  <c:v>Industrials</c:v>
                </c:pt>
                <c:pt idx="4">
                  <c:v>Consumer Discretionary</c:v>
                </c:pt>
                <c:pt idx="5">
                  <c:v>Energy</c:v>
                </c:pt>
                <c:pt idx="6">
                  <c:v>Financials</c:v>
                </c:pt>
                <c:pt idx="7">
                  <c:v>Real Estate</c:v>
                </c:pt>
                <c:pt idx="8">
                  <c:v>Information Technology</c:v>
                </c:pt>
                <c:pt idx="9">
                  <c:v>Materials</c:v>
                </c:pt>
                <c:pt idx="10">
                  <c:v>Health Care</c:v>
                </c:pt>
                <c:pt idx="11">
                  <c:v>Other</c:v>
                </c:pt>
                <c:pt idx="12">
                  <c:v>ETF</c:v>
                </c:pt>
              </c:strCache>
            </c:strRef>
          </c:cat>
          <c:val>
            <c:numRef>
              <c:f>Analysis!$J$40:$J$52</c:f>
              <c:numCache>
                <c:formatCode>0%</c:formatCode>
                <c:ptCount val="13"/>
                <c:pt idx="0">
                  <c:v>0.82435833869269115</c:v>
                </c:pt>
                <c:pt idx="1">
                  <c:v>0.35532473350766708</c:v>
                </c:pt>
                <c:pt idx="2">
                  <c:v>0.1025394783556232</c:v>
                </c:pt>
                <c:pt idx="3">
                  <c:v>0.14198681227287774</c:v>
                </c:pt>
                <c:pt idx="4">
                  <c:v>8.900317090240116E-2</c:v>
                </c:pt>
                <c:pt idx="5">
                  <c:v>0.16205754518922505</c:v>
                </c:pt>
                <c:pt idx="6">
                  <c:v>7.8765420527632871E-2</c:v>
                </c:pt>
                <c:pt idx="7">
                  <c:v>1.2212253913741729</c:v>
                </c:pt>
                <c:pt idx="8">
                  <c:v>0.13858978900285782</c:v>
                </c:pt>
                <c:pt idx="9">
                  <c:v>0.36574466539104317</c:v>
                </c:pt>
                <c:pt idx="10">
                  <c:v>0.3256406346476417</c:v>
                </c:pt>
                <c:pt idx="11">
                  <c:v>0.29691491452151708</c:v>
                </c:pt>
                <c:pt idx="12">
                  <c:v>0.62227199930154442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A6-4F7D-A087-850FF4C99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723887"/>
        <c:axId val="1732188367"/>
      </c:lineChart>
      <c:catAx>
        <c:axId val="172734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92111"/>
        <c:crosses val="autoZero"/>
        <c:auto val="1"/>
        <c:lblAlgn val="ctr"/>
        <c:lblOffset val="100"/>
        <c:noMultiLvlLbl val="0"/>
      </c:catAx>
      <c:valAx>
        <c:axId val="1732192111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9135"/>
        <c:crosses val="autoZero"/>
        <c:crossBetween val="between"/>
      </c:valAx>
      <c:valAx>
        <c:axId val="173218836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23887"/>
        <c:crosses val="max"/>
        <c:crossBetween val="between"/>
      </c:valAx>
      <c:catAx>
        <c:axId val="19217238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32188367"/>
        <c:crosses val="autoZero"/>
        <c:auto val="1"/>
        <c:lblAlgn val="ctr"/>
        <c:lblOffset val="100"/>
        <c:noMultiLvlLbl val="0"/>
      </c:catAx>
      <c:spPr>
        <a:solidFill>
          <a:schemeClr val="bg1">
            <a:lumMod val="85000"/>
          </a:schemeClr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7532697071797585"/>
          <c:y val="0.83498703697328613"/>
          <c:w val="0.24304672287975157"/>
          <c:h val="0.15652357593038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solidFill>
        <a:srgbClr val="1F618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Dashboard!$C$156</c:f>
          <c:strCache>
            <c:ptCount val="1"/>
            <c:pt idx="0">
              <c:v>Financials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57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4088526434195725"/>
          <c:w val="0.9923114239050993"/>
          <c:h val="0.79089013873265845"/>
        </c:manualLayout>
      </c:layout>
      <c:pie3DChart>
        <c:varyColors val="1"/>
        <c:ser>
          <c:idx val="0"/>
          <c:order val="0"/>
          <c:tx>
            <c:strRef>
              <c:f>Analysis!$M$56</c:f>
              <c:strCache>
                <c:ptCount val="1"/>
                <c:pt idx="0">
                  <c:v>Financials</c:v>
                </c:pt>
              </c:strCache>
            </c:strRef>
          </c:tx>
          <c:spPr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explosion val="15"/>
            <c:spPr>
              <a:solidFill>
                <a:srgbClr val="B74D4D"/>
              </a:solidFill>
              <a:ln>
                <a:solidFill>
                  <a:schemeClr val="bg1">
                    <a:lumMod val="95000"/>
                  </a:schemeClr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bg1">
                    <a:lumMod val="9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56C-4889-83FD-00D5DA57CFFD}"/>
              </c:ext>
            </c:extLst>
          </c:dPt>
          <c:dPt>
            <c:idx val="1"/>
            <c:bubble3D val="0"/>
            <c:explosion val="15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bg1">
                    <a:lumMod val="9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56C-4889-83FD-00D5DA57CFFD}"/>
              </c:ext>
            </c:extLst>
          </c:dPt>
          <c:dPt>
            <c:idx val="2"/>
            <c:bubble3D val="0"/>
            <c:explosion val="1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bg1">
                    <a:lumMod val="9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56C-4889-83FD-00D5DA57CFFD}"/>
              </c:ext>
            </c:extLst>
          </c:dPt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>
                  <a:softEdge rad="31750"/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6C-4889-83FD-00D5DA57CFFD}"/>
                </c:ext>
              </c:extLst>
            </c:dLbl>
            <c:dLbl>
              <c:idx val="1"/>
              <c:layout>
                <c:manualLayout>
                  <c:x val="-0.10142022402508008"/>
                  <c:y val="-0.14574728158980127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>
                  <a:softEdge rad="31750"/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6C-4889-83FD-00D5DA57CFFD}"/>
                </c:ext>
              </c:extLst>
            </c:dLbl>
            <c:dLbl>
              <c:idx val="2"/>
              <c:layout>
                <c:manualLayout>
                  <c:x val="-7.8515123659571619E-3"/>
                  <c:y val="0.19533295838020248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>
                  <a:softEdge rad="31750"/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56C-4889-83FD-00D5DA57CFFD}"/>
                </c:ext>
              </c:extLst>
            </c:dLbl>
            <c:spPr>
              <a:solidFill>
                <a:schemeClr val="bg1"/>
              </a:solidFill>
              <a:effectLst>
                <a:softEdge rad="31750"/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Analysis!$N$55:$P$55</c:f>
              <c:strCache>
                <c:ptCount val="3"/>
                <c:pt idx="0">
                  <c:v>High Risk</c:v>
                </c:pt>
                <c:pt idx="1">
                  <c:v>Medium Risk</c:v>
                </c:pt>
                <c:pt idx="2">
                  <c:v>Low Risk</c:v>
                </c:pt>
              </c:strCache>
            </c:strRef>
          </c:cat>
          <c:val>
            <c:numRef>
              <c:f>Analysis!$N$56:$P$56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6C-4889-83FD-00D5DA57CFF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ASSET</a:t>
            </a:r>
            <a:r>
              <a:rPr lang="en-US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ALLOCATION </a:t>
            </a: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by Sector (Current Amount)</a:t>
            </a:r>
            <a:endParaRPr lang="en-US">
              <a:solidFill>
                <a:schemeClr val="bg1">
                  <a:lumMod val="85000"/>
                </a:schemeClr>
              </a:solidFill>
            </a:endParaRPr>
          </a:p>
        </c:rich>
      </c:tx>
      <c:layout>
        <c:manualLayout>
          <c:xMode val="edge"/>
          <c:yMode val="edge"/>
          <c:x val="7.7559896444306248E-3"/>
          <c:y val="1.9285171327148878E-2"/>
        </c:manualLayout>
      </c:layout>
      <c:overlay val="0"/>
      <c:spPr>
        <a:solidFill>
          <a:schemeClr val="bg2">
            <a:lumMod val="90000"/>
          </a:schemeClr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146981627296582E-2"/>
          <c:y val="0.24688338469431681"/>
          <c:w val="0.83186289949050485"/>
          <c:h val="0.71083243327751333"/>
        </c:manualLayout>
      </c:layout>
      <c:pie3DChart>
        <c:varyColors val="1"/>
        <c:ser>
          <c:idx val="0"/>
          <c:order val="0"/>
          <c:tx>
            <c:strRef>
              <c:f>Analysis!$W$39</c:f>
              <c:strCache>
                <c:ptCount val="1"/>
                <c:pt idx="0">
                  <c:v>Holding Market Value by Industry</c:v>
                </c:pt>
              </c:strCache>
            </c:strRef>
          </c:tx>
          <c:explosion val="2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7604-4DEA-8473-2F19F13F0D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604-4DEA-8473-2F19F13F0D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7604-4DEA-8473-2F19F13F0D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7604-4DEA-8473-2F19F13F0D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7604-4DEA-8473-2F19F13F0D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7604-4DEA-8473-2F19F13F0D5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7604-4DEA-8473-2F19F13F0D5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7604-4DEA-8473-2F19F13F0D5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7604-4DEA-8473-2F19F13F0D5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7604-4DEA-8473-2F19F13F0D5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7604-4DEA-8473-2F19F13F0D5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7604-4DEA-8473-2F19F13F0D5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7604-4DEA-8473-2F19F13F0D51}"/>
              </c:ext>
            </c:extLst>
          </c:dPt>
          <c:dLbls>
            <c:dLbl>
              <c:idx val="0"/>
              <c:layout>
                <c:manualLayout>
                  <c:x val="9.7875635415834869E-2"/>
                  <c:y val="1.0358996402509084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4736925959032"/>
                      <c:h val="0.167276609482657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604-4DEA-8473-2F19F13F0D51}"/>
                </c:ext>
              </c:extLst>
            </c:dLbl>
            <c:dLbl>
              <c:idx val="1"/>
              <c:layout>
                <c:manualLayout>
                  <c:x val="0.18187154546858114"/>
                  <c:y val="0.14241938307366586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04-4DEA-8473-2F19F13F0D51}"/>
                </c:ext>
              </c:extLst>
            </c:dLbl>
            <c:dLbl>
              <c:idx val="2"/>
              <c:layout>
                <c:manualLayout>
                  <c:x val="-0.1669631002007102"/>
                  <c:y val="6.274572624871047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04-4DEA-8473-2F19F13F0D51}"/>
                </c:ext>
              </c:extLst>
            </c:dLbl>
            <c:dLbl>
              <c:idx val="3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04-4DEA-8473-2F19F13F0D51}"/>
                </c:ext>
              </c:extLst>
            </c:dLbl>
            <c:dLbl>
              <c:idx val="4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604-4DEA-8473-2F19F13F0D51}"/>
                </c:ext>
              </c:extLst>
            </c:dLbl>
            <c:dLbl>
              <c:idx val="5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604-4DEA-8473-2F19F13F0D51}"/>
                </c:ext>
              </c:extLst>
            </c:dLbl>
            <c:dLbl>
              <c:idx val="6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604-4DEA-8473-2F19F13F0D51}"/>
                </c:ext>
              </c:extLst>
            </c:dLbl>
            <c:dLbl>
              <c:idx val="7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604-4DEA-8473-2F19F13F0D51}"/>
                </c:ext>
              </c:extLst>
            </c:dLbl>
            <c:dLbl>
              <c:idx val="8"/>
              <c:layout>
                <c:manualLayout>
                  <c:x val="-0.10769839431835726"/>
                  <c:y val="5.8049196445577725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604-4DEA-8473-2F19F13F0D51}"/>
                </c:ext>
              </c:extLst>
            </c:dLbl>
            <c:dLbl>
              <c:idx val="9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604-4DEA-8473-2F19F13F0D51}"/>
                </c:ext>
              </c:extLst>
            </c:dLbl>
            <c:dLbl>
              <c:idx val="10"/>
              <c:layout>
                <c:manualLayout>
                  <c:x val="3.0145746487571408E-2"/>
                  <c:y val="-6.3725878779271078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604-4DEA-8473-2F19F13F0D51}"/>
                </c:ext>
              </c:extLst>
            </c:dLbl>
            <c:dLbl>
              <c:idx val="11"/>
              <c:layout>
                <c:manualLayout>
                  <c:x val="0.10043682112327071"/>
                  <c:y val="-3.22680009116911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604-4DEA-8473-2F19F13F0D51}"/>
                </c:ext>
              </c:extLst>
            </c:dLbl>
            <c:dLbl>
              <c:idx val="12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604-4DEA-8473-2F19F13F0D51}"/>
                </c:ext>
              </c:extLst>
            </c:dLbl>
            <c:spPr>
              <a:solidFill>
                <a:schemeClr val="tx1"/>
              </a:solidFill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Analysis!$H$40:$H$52</c:f>
              <c:strCache>
                <c:ptCount val="13"/>
                <c:pt idx="0">
                  <c:v>Telecommunication Services</c:v>
                </c:pt>
                <c:pt idx="1">
                  <c:v>Utilities</c:v>
                </c:pt>
                <c:pt idx="2">
                  <c:v>Consumer Staples</c:v>
                </c:pt>
                <c:pt idx="3">
                  <c:v>Industrials</c:v>
                </c:pt>
                <c:pt idx="4">
                  <c:v>Consumer Discretionary</c:v>
                </c:pt>
                <c:pt idx="5">
                  <c:v>Energy</c:v>
                </c:pt>
                <c:pt idx="6">
                  <c:v>Financials</c:v>
                </c:pt>
                <c:pt idx="7">
                  <c:v>Real Estate</c:v>
                </c:pt>
                <c:pt idx="8">
                  <c:v>Information Technology</c:v>
                </c:pt>
                <c:pt idx="9">
                  <c:v>Materials</c:v>
                </c:pt>
                <c:pt idx="10">
                  <c:v>Health Care</c:v>
                </c:pt>
                <c:pt idx="11">
                  <c:v>Other</c:v>
                </c:pt>
                <c:pt idx="12">
                  <c:v>ETF</c:v>
                </c:pt>
              </c:strCache>
            </c:strRef>
          </c:cat>
          <c:val>
            <c:numRef>
              <c:f>Analysis!$W$40:$W$52</c:f>
              <c:numCache>
                <c:formatCode>0%</c:formatCode>
                <c:ptCount val="13"/>
                <c:pt idx="0">
                  <c:v>4.2706694750313273E-2</c:v>
                </c:pt>
                <c:pt idx="1">
                  <c:v>2.7422436700704756E-2</c:v>
                </c:pt>
                <c:pt idx="2">
                  <c:v>0.2009562659414687</c:v>
                </c:pt>
                <c:pt idx="3">
                  <c:v>0.1172225628993699</c:v>
                </c:pt>
                <c:pt idx="4">
                  <c:v>0.1848703797513353</c:v>
                </c:pt>
                <c:pt idx="5">
                  <c:v>5.2688831418135282E-2</c:v>
                </c:pt>
                <c:pt idx="6">
                  <c:v>5.2992774682059346E-2</c:v>
                </c:pt>
                <c:pt idx="7">
                  <c:v>0.12170705912674079</c:v>
                </c:pt>
                <c:pt idx="8">
                  <c:v>7.9700678095644364E-2</c:v>
                </c:pt>
                <c:pt idx="9">
                  <c:v>8.0180588512366573E-3</c:v>
                </c:pt>
                <c:pt idx="10">
                  <c:v>4.7128980368109065E-2</c:v>
                </c:pt>
                <c:pt idx="11">
                  <c:v>1.173114351987629E-3</c:v>
                </c:pt>
                <c:pt idx="12">
                  <c:v>6.3412163062894933E-2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604-4DEA-8473-2F19F13F0D51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dbl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High Risk Return %</a:t>
            </a:r>
            <a:endParaRPr lang="en-US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1.0179559154998028E-2"/>
          <c:y val="2.3148148148148147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Analysis!$U$66</c:f>
              <c:strCache>
                <c:ptCount val="1"/>
                <c:pt idx="0">
                  <c:v>Return %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Pt>
            <c:idx val="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9B62-4C4F-86CB-94C4B292252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9B62-4C4F-86CB-94C4B292252D}"/>
              </c:ext>
            </c:extLst>
          </c:dPt>
          <c:cat>
            <c:strRef>
              <c:f>Analysis!$T$67:$T$71</c:f>
              <c:strCache>
                <c:ptCount val="5"/>
                <c:pt idx="0">
                  <c:v>MAR</c:v>
                </c:pt>
                <c:pt idx="1">
                  <c:v>AAPL</c:v>
                </c:pt>
                <c:pt idx="2">
                  <c:v>PSA</c:v>
                </c:pt>
                <c:pt idx="3">
                  <c:v>KMB</c:v>
                </c:pt>
                <c:pt idx="4">
                  <c:v>CVS</c:v>
                </c:pt>
              </c:strCache>
            </c:strRef>
          </c:cat>
          <c:val>
            <c:numRef>
              <c:f>Analysis!$U$67:$U$71</c:f>
              <c:numCache>
                <c:formatCode>0%</c:formatCode>
                <c:ptCount val="5"/>
                <c:pt idx="0">
                  <c:v>-0.52848722986247543</c:v>
                </c:pt>
                <c:pt idx="1">
                  <c:v>-0.52556563700985348</c:v>
                </c:pt>
                <c:pt idx="2">
                  <c:v>-0.47164578751075831</c:v>
                </c:pt>
                <c:pt idx="3">
                  <c:v>-0.39842995933076358</c:v>
                </c:pt>
                <c:pt idx="4">
                  <c:v>-0.39112529011044878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62-4C4F-86CB-94C4B2922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774463519"/>
        <c:axId val="1772987727"/>
        <c:axId val="0"/>
      </c:bar3DChart>
      <c:catAx>
        <c:axId val="17744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tx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softEdge rad="1905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87727"/>
        <c:crosses val="autoZero"/>
        <c:auto val="1"/>
        <c:lblAlgn val="ctr"/>
        <c:lblOffset val="100"/>
        <c:noMultiLvlLbl val="0"/>
      </c:catAx>
      <c:valAx>
        <c:axId val="17729877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46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Low Risk Return %</a:t>
            </a:r>
            <a:endParaRPr lang="en-US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1.1157532023197088E-2"/>
          <c:y val="2.3148148148148147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Analysis!$Y$66</c:f>
              <c:strCache>
                <c:ptCount val="1"/>
                <c:pt idx="0">
                  <c:v>Return 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F7D6-4BCB-B1F8-DC8E6F700D9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F7D6-4BCB-B1F8-DC8E6F700D97}"/>
              </c:ext>
            </c:extLst>
          </c:dPt>
          <c:cat>
            <c:strRef>
              <c:f>Analysis!$X$67:$X$71</c:f>
              <c:strCache>
                <c:ptCount val="5"/>
                <c:pt idx="0">
                  <c:v>IRM</c:v>
                </c:pt>
                <c:pt idx="1">
                  <c:v>OHI</c:v>
                </c:pt>
                <c:pt idx="2">
                  <c:v>STAG</c:v>
                </c:pt>
                <c:pt idx="3">
                  <c:v>NNN</c:v>
                </c:pt>
                <c:pt idx="4">
                  <c:v>KMI</c:v>
                </c:pt>
              </c:strCache>
            </c:strRef>
          </c:cat>
          <c:val>
            <c:numRef>
              <c:f>Analysis!$Y$67:$Y$71</c:f>
              <c:numCache>
                <c:formatCode>0%</c:formatCode>
                <c:ptCount val="5"/>
                <c:pt idx="0">
                  <c:v>2.1526337302233465</c:v>
                </c:pt>
                <c:pt idx="1">
                  <c:v>2.1037013735975671</c:v>
                </c:pt>
                <c:pt idx="2">
                  <c:v>1.7205882352941178</c:v>
                </c:pt>
                <c:pt idx="3">
                  <c:v>1.6627198472912879</c:v>
                </c:pt>
                <c:pt idx="4">
                  <c:v>1.4958949096880132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D6-4BCB-B1F8-DC8E6F700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774463519"/>
        <c:axId val="1772987727"/>
        <c:axId val="0"/>
      </c:bar3DChart>
      <c:catAx>
        <c:axId val="17744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tx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softEdge rad="1905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87727"/>
        <c:crosses val="autoZero"/>
        <c:auto val="1"/>
        <c:lblAlgn val="ctr"/>
        <c:lblOffset val="100"/>
        <c:noMultiLvlLbl val="0"/>
      </c:catAx>
      <c:valAx>
        <c:axId val="17729877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46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Sector Wise Invested Amount --&gt; Return Value --&gt; Return % age</a:t>
            </a:r>
          </a:p>
        </c:rich>
      </c:tx>
      <c:layout>
        <c:manualLayout>
          <c:xMode val="edge"/>
          <c:yMode val="edge"/>
          <c:x val="1.1650344624384934E-2"/>
          <c:y val="1.3572293950234062E-2"/>
        </c:manualLayout>
      </c:layout>
      <c:overlay val="0"/>
      <c:spPr>
        <a:solidFill>
          <a:schemeClr val="bg1">
            <a:lumMod val="85000"/>
          </a:schemeClr>
        </a:solidFill>
        <a:ln w="6350" cap="flat" cmpd="sng" algn="ctr">
          <a:solidFill>
            <a:schemeClr val="dk1"/>
          </a:solidFill>
          <a:prstDash val="solid"/>
          <a:miter lim="800000"/>
        </a:ln>
        <a:effectLst>
          <a:softEdge rad="25400"/>
        </a:effectLst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31473765073748"/>
          <c:y val="0.18916499482063401"/>
          <c:w val="0.72255091327555698"/>
          <c:h val="0.577320725771185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Analysis!$M$87</c:f>
              <c:strCache>
                <c:ptCount val="1"/>
                <c:pt idx="0">
                  <c:v>Invested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Analysis!$K$88:$K$91</c:f>
              <c:numCache>
                <c:formatCode>General</c:formatCode>
                <c:ptCount val="4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</c:numCache>
            </c:numRef>
          </c:cat>
          <c:val>
            <c:numRef>
              <c:f>Analysis!$M$88:$M$91</c:f>
              <c:numCache>
                <c:formatCode>_(* #,##0.00_);_(* \(#,##0.00\);_(* "-"??_);_(@_)</c:formatCode>
                <c:ptCount val="4"/>
                <c:pt idx="0">
                  <c:v>4408.8200000000006</c:v>
                </c:pt>
                <c:pt idx="1">
                  <c:v>2579.71</c:v>
                </c:pt>
                <c:pt idx="2">
                  <c:v>13964.999999999996</c:v>
                </c:pt>
                <c:pt idx="3">
                  <c:v>6393.71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C-4712-A12B-5B8FB0E9C588}"/>
            </c:ext>
          </c:extLst>
        </c:ser>
        <c:ser>
          <c:idx val="1"/>
          <c:order val="1"/>
          <c:tx>
            <c:strRef>
              <c:f>Analysis!$N$87</c:f>
              <c:strCache>
                <c:ptCount val="1"/>
                <c:pt idx="0">
                  <c:v>Return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Analysis!$K$88:$K$91</c:f>
              <c:numCache>
                <c:formatCode>General</c:formatCode>
                <c:ptCount val="4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</c:numCache>
            </c:numRef>
          </c:cat>
          <c:val>
            <c:numRef>
              <c:f>Analysis!$N$88:$N$91</c:f>
              <c:numCache>
                <c:formatCode>_(* #,##0.00_);_(* \(#,##0.00\);_(* "-"??_);_(@_)</c:formatCode>
                <c:ptCount val="4"/>
                <c:pt idx="0">
                  <c:v>3128</c:v>
                </c:pt>
                <c:pt idx="1">
                  <c:v>3432</c:v>
                </c:pt>
                <c:pt idx="2">
                  <c:v>14343</c:v>
                </c:pt>
                <c:pt idx="3">
                  <c:v>8911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BC-4712-A12B-5B8FB0E9C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894815"/>
        <c:axId val="727425791"/>
      </c:barChart>
      <c:lineChart>
        <c:grouping val="standard"/>
        <c:varyColors val="0"/>
        <c:ser>
          <c:idx val="2"/>
          <c:order val="2"/>
          <c:tx>
            <c:strRef>
              <c:f>Analysis!$O$87</c:f>
              <c:strCache>
                <c:ptCount val="1"/>
                <c:pt idx="0">
                  <c:v>Return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Analysis!$K$88:$K$91</c:f>
              <c:numCache>
                <c:formatCode>General</c:formatCode>
                <c:ptCount val="4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</c:numCache>
            </c:numRef>
          </c:cat>
          <c:val>
            <c:numRef>
              <c:f>Analysis!$O$88:$O$91</c:f>
              <c:numCache>
                <c:formatCode>0%</c:formatCode>
                <c:ptCount val="4"/>
                <c:pt idx="0">
                  <c:v>-0.29051310781569684</c:v>
                </c:pt>
                <c:pt idx="1">
                  <c:v>0.33038209721247735</c:v>
                </c:pt>
                <c:pt idx="2">
                  <c:v>2.7067669172932598E-2</c:v>
                </c:pt>
                <c:pt idx="3">
                  <c:v>0.39371350905812119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BC-4712-A12B-5B8FB0E9C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892815"/>
        <c:axId val="727428287"/>
      </c:lineChart>
      <c:catAx>
        <c:axId val="213889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25791"/>
        <c:crosses val="autoZero"/>
        <c:auto val="1"/>
        <c:lblAlgn val="ctr"/>
        <c:lblOffset val="100"/>
        <c:noMultiLvlLbl val="0"/>
      </c:catAx>
      <c:valAx>
        <c:axId val="727425791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94815"/>
        <c:crosses val="autoZero"/>
        <c:crossBetween val="between"/>
      </c:valAx>
      <c:valAx>
        <c:axId val="72742828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92815"/>
        <c:crosses val="max"/>
        <c:crossBetween val="between"/>
      </c:valAx>
      <c:catAx>
        <c:axId val="21388928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7428287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50580185601532"/>
          <c:y val="8.3994752424852909E-2"/>
          <c:w val="0.6397293277423719"/>
          <c:h val="7.2170263550740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33F50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1" i="0" u="none" strike="noStrike" kern="1200" cap="none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Sector Wise Return %age</a:t>
            </a:r>
          </a:p>
        </c:rich>
      </c:tx>
      <c:overlay val="0"/>
      <c:spPr>
        <a:solidFill>
          <a:schemeClr val="bg1">
            <a:lumMod val="85000"/>
          </a:schemeClr>
        </a:solidFill>
        <a:ln w="12700" cap="flat" cmpd="sng" algn="ctr">
          <a:solidFill>
            <a:schemeClr val="dk1"/>
          </a:solidFill>
          <a:prstDash val="solid"/>
          <a:miter lim="800000"/>
        </a:ln>
        <a:effectLst>
          <a:softEdge rad="25400"/>
        </a:effectLst>
      </c:spPr>
      <c:txPr>
        <a:bodyPr rot="0" spcFirstLastPara="1" vertOverflow="ellipsis" vert="horz" wrap="square" anchor="ctr" anchorCtr="1"/>
        <a:lstStyle/>
        <a:p>
          <a:pPr algn="ctr" rtl="0">
            <a:defRPr sz="1400" b="1" i="0" u="none" strike="noStrike" kern="1200" cap="none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108923884514429E-2"/>
          <c:y val="0.16255833690087851"/>
          <c:w val="0.87733552055993003"/>
          <c:h val="0.7321488329604996"/>
        </c:manualLayout>
      </c:layout>
      <c:lineChart>
        <c:grouping val="standard"/>
        <c:varyColors val="0"/>
        <c:ser>
          <c:idx val="0"/>
          <c:order val="0"/>
          <c:tx>
            <c:v>Return %</c:v>
          </c:tx>
          <c:spPr>
            <a:ln w="22225" cap="rnd">
              <a:solidFill>
                <a:schemeClr val="bg2">
                  <a:lumMod val="75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'Quarterly Analysis'!$C$18:$L$19</c15:sqref>
                  </c15:fullRef>
                  <c15:levelRef>
                    <c15:sqref>'Quarterly Analysis'!$C$18:$L$18</c15:sqref>
                  </c15:levelRef>
                </c:ext>
              </c:extLst>
              <c:f>'Quarterly Analysis'!$C$18:$L$18</c:f>
              <c:strCache>
                <c:ptCount val="10"/>
                <c:pt idx="0">
                  <c:v>Q1'22</c:v>
                </c:pt>
                <c:pt idx="1">
                  <c:v>Q2'22</c:v>
                </c:pt>
                <c:pt idx="2">
                  <c:v>Q3'22</c:v>
                </c:pt>
                <c:pt idx="3">
                  <c:v>Q4'22</c:v>
                </c:pt>
                <c:pt idx="4">
                  <c:v>Q1'23</c:v>
                </c:pt>
                <c:pt idx="5">
                  <c:v>Q2'23</c:v>
                </c:pt>
                <c:pt idx="6">
                  <c:v>Q3'23</c:v>
                </c:pt>
                <c:pt idx="7">
                  <c:v>Q4'23</c:v>
                </c:pt>
                <c:pt idx="8">
                  <c:v>Q1'24</c:v>
                </c:pt>
                <c:pt idx="9">
                  <c:v>Q2'24</c:v>
                </c:pt>
              </c:strCache>
            </c:strRef>
          </c:cat>
          <c:val>
            <c:numRef>
              <c:f>'Quarterly Analysis'!$C$20:$L$20</c:f>
              <c:numCache>
                <c:formatCode>0%</c:formatCode>
                <c:ptCount val="10"/>
                <c:pt idx="0">
                  <c:v>2.4217682586014491E-2</c:v>
                </c:pt>
                <c:pt idx="1">
                  <c:v>-7.2377964443544801E-2</c:v>
                </c:pt>
                <c:pt idx="2">
                  <c:v>0</c:v>
                </c:pt>
                <c:pt idx="3">
                  <c:v>0.1365804365400162</c:v>
                </c:pt>
                <c:pt idx="4">
                  <c:v>0.33537103007702412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-0.2843436565793116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6-49C5-B2D0-E31DC0AD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695728"/>
        <c:axId val="437434496"/>
      </c:lineChart>
      <c:catAx>
        <c:axId val="801695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34496"/>
        <c:crosses val="autoZero"/>
        <c:auto val="1"/>
        <c:lblAlgn val="ctr"/>
        <c:lblOffset val="100"/>
        <c:noMultiLvlLbl val="0"/>
      </c:catAx>
      <c:valAx>
        <c:axId val="4374344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9572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9210804899387577"/>
          <c:y val="2.4360932063890214E-2"/>
          <c:w val="0.16887065444921959"/>
          <c:h val="6.57248257087191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333F50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SECTOR WISE CURRENT VALUE</cx:v>
        </cx:txData>
      </cx:tx>
      <cx:spPr>
        <a:ln>
          <a:noFill/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tx2">
                  <a:lumMod val="75000"/>
                </a:schemeClr>
              </a:solidFill>
            </a:defRPr>
          </a:pPr>
          <a:r>
            <a:rPr lang="en-US" sz="1400" b="1" i="0" u="none" strike="noStrike" baseline="0">
              <a:solidFill>
                <a:schemeClr val="tx2">
                  <a:lumMod val="75000"/>
                </a:schemeClr>
              </a:solidFill>
              <a:latin typeface="Calibri" panose="020F0502020204030204"/>
            </a:rPr>
            <a:t>SECTOR WISE CURRENT VALUE</a:t>
          </a:r>
        </a:p>
      </cx:txPr>
    </cx:title>
    <cx:plotArea>
      <cx:plotAreaRegion>
        <cx:series layoutId="treemap" uniqueId="{E46B8A27-1870-40D0-90C4-1103601B264D}">
          <cx:tx>
            <cx:txData>
              <cx:f>_xlchart.v1.1</cx:f>
              <cx:v>Total Current Value</cx:v>
            </cx:txData>
          </cx:tx>
          <cx:spPr>
            <a:ln w="6350">
              <a:solidFill>
                <a:schemeClr val="tx1"/>
              </a:solidFill>
            </a:ln>
          </cx:spPr>
          <cx:dataLabels>
            <cx:spPr>
              <a:solidFill>
                <a:schemeClr val="bg2">
                  <a:lumMod val="25000"/>
                </a:schemeClr>
              </a:solidFill>
              <a:ln>
                <a:noFill/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 b="1">
                    <a:solidFill>
                      <a:schemeClr val="bg1"/>
                    </a:solidFill>
                  </a:defRPr>
                </a:pPr>
                <a:endParaRPr lang="en-US" sz="9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85000"/>
      </a:schemeClr>
    </a:solidFill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Shares by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rgbClr val="1F6189"/>
              </a:solidFill>
              <a:latin typeface="+mj-lt"/>
            </a:rPr>
            <a:t>Shares by Sector</a:t>
          </a:r>
        </a:p>
      </cx:txPr>
    </cx:title>
    <cx:plotArea>
      <cx:plotAreaRegion>
        <cx:series layoutId="treemap" uniqueId="{2D4C8CD9-17E6-4866-B282-37ABC299DA0C}">
          <cx:tx>
            <cx:txData>
              <cx:f>_xlchart.v1.4</cx:f>
              <cx:v>Share Count</cx:v>
            </cx:txData>
          </cx:tx>
          <cx:dataLabels pos="inEnd">
            <cx:spPr>
              <a:solidFill>
                <a:schemeClr val="bg2">
                  <a:lumMod val="25000"/>
                </a:schemeClr>
              </a:solidFill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1"/>
                    </a:solidFill>
                  </a:defRPr>
                </a:pPr>
                <a:endParaRPr lang="en-US" sz="9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85000"/>
      </a:schemeClr>
    </a:solidFill>
    <a:ln>
      <a:solidFill>
        <a:srgbClr val="1F6189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Radio" checked="Checked" firstButton="1" fmlaLink="Analysis!$M$8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13" Type="http://schemas.openxmlformats.org/officeDocument/2006/relationships/image" Target="../media/image5.emf"/><Relationship Id="rId18" Type="http://schemas.openxmlformats.org/officeDocument/2006/relationships/image" Target="../media/image8.png"/><Relationship Id="rId26" Type="http://schemas.openxmlformats.org/officeDocument/2006/relationships/image" Target="../media/image16.png"/><Relationship Id="rId3" Type="http://schemas.openxmlformats.org/officeDocument/2006/relationships/chart" Target="../charts/chart2.xml"/><Relationship Id="rId21" Type="http://schemas.openxmlformats.org/officeDocument/2006/relationships/image" Target="../media/image11.svg"/><Relationship Id="rId7" Type="http://schemas.openxmlformats.org/officeDocument/2006/relationships/chart" Target="../charts/chart6.xml"/><Relationship Id="rId12" Type="http://schemas.microsoft.com/office/2014/relationships/chartEx" Target="../charts/chartEx2.xml"/><Relationship Id="rId17" Type="http://schemas.openxmlformats.org/officeDocument/2006/relationships/image" Target="../media/image7.svg"/><Relationship Id="rId25" Type="http://schemas.openxmlformats.org/officeDocument/2006/relationships/image" Target="../media/image15.svg"/><Relationship Id="rId2" Type="http://schemas.microsoft.com/office/2014/relationships/chartEx" Target="../charts/chartEx1.xml"/><Relationship Id="rId16" Type="http://schemas.openxmlformats.org/officeDocument/2006/relationships/image" Target="../media/image6.png"/><Relationship Id="rId20" Type="http://schemas.openxmlformats.org/officeDocument/2006/relationships/image" Target="../media/image10.png"/><Relationship Id="rId29" Type="http://schemas.openxmlformats.org/officeDocument/2006/relationships/image" Target="../media/image19.emf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image" Target="../media/image4.svg"/><Relationship Id="rId24" Type="http://schemas.openxmlformats.org/officeDocument/2006/relationships/image" Target="../media/image14.png"/><Relationship Id="rId5" Type="http://schemas.openxmlformats.org/officeDocument/2006/relationships/chart" Target="../charts/chart4.xml"/><Relationship Id="rId15" Type="http://schemas.openxmlformats.org/officeDocument/2006/relationships/chart" Target="../charts/chart8.xml"/><Relationship Id="rId23" Type="http://schemas.openxmlformats.org/officeDocument/2006/relationships/image" Target="../media/image13.svg"/><Relationship Id="rId28" Type="http://schemas.openxmlformats.org/officeDocument/2006/relationships/image" Target="../media/image18.emf"/><Relationship Id="rId10" Type="http://schemas.openxmlformats.org/officeDocument/2006/relationships/image" Target="../media/image3.png"/><Relationship Id="rId19" Type="http://schemas.openxmlformats.org/officeDocument/2006/relationships/image" Target="../media/image9.svg"/><Relationship Id="rId4" Type="http://schemas.openxmlformats.org/officeDocument/2006/relationships/chart" Target="../charts/chart3.xml"/><Relationship Id="rId9" Type="http://schemas.openxmlformats.org/officeDocument/2006/relationships/image" Target="../media/image2.emf"/><Relationship Id="rId14" Type="http://schemas.openxmlformats.org/officeDocument/2006/relationships/chart" Target="../charts/chart7.xml"/><Relationship Id="rId22" Type="http://schemas.openxmlformats.org/officeDocument/2006/relationships/image" Target="../media/image12.png"/><Relationship Id="rId27" Type="http://schemas.openxmlformats.org/officeDocument/2006/relationships/image" Target="../media/image17.svg"/><Relationship Id="rId30" Type="http://schemas.openxmlformats.org/officeDocument/2006/relationships/image" Target="../media/image20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emf"/><Relationship Id="rId5" Type="http://schemas.openxmlformats.org/officeDocument/2006/relationships/image" Target="../media/image25.emf"/><Relationship Id="rId4" Type="http://schemas.openxmlformats.org/officeDocument/2006/relationships/image" Target="../media/image2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13607</xdr:colOff>
      <xdr:row>103</xdr:row>
      <xdr:rowOff>81643</xdr:rowOff>
    </xdr:from>
    <xdr:to>
      <xdr:col>24</xdr:col>
      <xdr:colOff>1</xdr:colOff>
      <xdr:row>128</xdr:row>
      <xdr:rowOff>108857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8366" y="11695257"/>
          <a:ext cx="14916545" cy="4043781"/>
        </a:xfrm>
        <a:prstGeom prst="roundRect">
          <a:avLst>
            <a:gd name="adj" fmla="val 290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131</xdr:row>
      <xdr:rowOff>76885</xdr:rowOff>
    </xdr:from>
    <xdr:to>
      <xdr:col>14</xdr:col>
      <xdr:colOff>85724</xdr:colOff>
      <xdr:row>137</xdr:row>
      <xdr:rowOff>86591</xdr:rowOff>
    </xdr:to>
    <xdr:sp macro="" textlink="Analysis!$E$48">
      <xdr:nvSpPr>
        <xdr:cNvPr id="29" name="Rectangle: Rounded Corners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888057" y="14728067"/>
          <a:ext cx="3770167" cy="944888"/>
        </a:xfrm>
        <a:prstGeom prst="roundRect">
          <a:avLst>
            <a:gd name="adj" fmla="val 15368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791E5464-1355-493A-8021-C91143B0746F}" type="TxLink">
            <a:rPr lang="en-US" sz="24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 5,62,605 </a:t>
          </a:fld>
          <a:endParaRPr lang="en-US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123824</xdr:colOff>
      <xdr:row>134</xdr:row>
      <xdr:rowOff>112060</xdr:rowOff>
    </xdr:from>
    <xdr:to>
      <xdr:col>12</xdr:col>
      <xdr:colOff>533400</xdr:colOff>
      <xdr:row>136</xdr:row>
      <xdr:rowOff>97493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771589" y="15172766"/>
          <a:ext cx="1619811" cy="29919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9525" cap="flat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 u="none" strike="noStrike">
              <a:solidFill>
                <a:srgbClr val="000000"/>
              </a:solidFill>
              <a:latin typeface="+mj-lt"/>
              <a:cs typeface="Arial"/>
            </a:rPr>
            <a:t>Total Current Value</a:t>
          </a:r>
        </a:p>
      </xdr:txBody>
    </xdr:sp>
    <xdr:clientData/>
  </xdr:twoCellAnchor>
  <xdr:twoCellAnchor>
    <xdr:from>
      <xdr:col>2</xdr:col>
      <xdr:colOff>11207</xdr:colOff>
      <xdr:row>131</xdr:row>
      <xdr:rowOff>76885</xdr:rowOff>
    </xdr:from>
    <xdr:to>
      <xdr:col>8</xdr:col>
      <xdr:colOff>448235</xdr:colOff>
      <xdr:row>151</xdr:row>
      <xdr:rowOff>149187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170650</xdr:colOff>
      <xdr:row>131</xdr:row>
      <xdr:rowOff>76885</xdr:rowOff>
    </xdr:from>
    <xdr:to>
      <xdr:col>24</xdr:col>
      <xdr:colOff>0</xdr:colOff>
      <xdr:row>152</xdr:row>
      <xdr:rowOff>11476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6" name="Chart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0850" y="21740545"/>
              <a:ext cx="6077750" cy="3881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280148</xdr:colOff>
      <xdr:row>27</xdr:row>
      <xdr:rowOff>145676</xdr:rowOff>
    </xdr:from>
    <xdr:to>
      <xdr:col>23</xdr:col>
      <xdr:colOff>582707</xdr:colOff>
      <xdr:row>47</xdr:row>
      <xdr:rowOff>43837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44267</xdr:colOff>
      <xdr:row>159</xdr:row>
      <xdr:rowOff>74433</xdr:rowOff>
    </xdr:from>
    <xdr:to>
      <xdr:col>7</xdr:col>
      <xdr:colOff>179294</xdr:colOff>
      <xdr:row>174</xdr:row>
      <xdr:rowOff>63227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69620</xdr:colOff>
      <xdr:row>153</xdr:row>
      <xdr:rowOff>44905</xdr:rowOff>
    </xdr:from>
    <xdr:to>
      <xdr:col>6</xdr:col>
      <xdr:colOff>324845</xdr:colOff>
      <xdr:row>154</xdr:row>
      <xdr:rowOff>125767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176326" y="18803552"/>
          <a:ext cx="1700784" cy="237744"/>
        </a:xfrm>
        <a:prstGeom prst="round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1"/>
            <a:t>Total No</a:t>
          </a:r>
          <a:r>
            <a:rPr lang="en-US" sz="1200" b="1" baseline="0"/>
            <a:t> of Companies</a:t>
          </a:r>
          <a:endParaRPr lang="en-US" sz="1200" b="1"/>
        </a:p>
      </xdr:txBody>
    </xdr:sp>
    <xdr:clientData/>
  </xdr:twoCellAnchor>
  <xdr:twoCellAnchor>
    <xdr:from>
      <xdr:col>4</xdr:col>
      <xdr:colOff>69623</xdr:colOff>
      <xdr:row>155</xdr:row>
      <xdr:rowOff>36398</xdr:rowOff>
    </xdr:from>
    <xdr:to>
      <xdr:col>6</xdr:col>
      <xdr:colOff>324848</xdr:colOff>
      <xdr:row>156</xdr:row>
      <xdr:rowOff>106054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176329" y="19120016"/>
          <a:ext cx="1700784" cy="237744"/>
        </a:xfrm>
        <a:prstGeom prst="round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1"/>
            <a:t>Total Active</a:t>
          </a:r>
          <a:r>
            <a:rPr lang="en-US" sz="1200" b="1" baseline="0"/>
            <a:t> Companies</a:t>
          </a:r>
          <a:endParaRPr lang="en-US" sz="1200" b="1"/>
        </a:p>
      </xdr:txBody>
    </xdr:sp>
    <xdr:clientData/>
  </xdr:twoCellAnchor>
  <xdr:twoCellAnchor>
    <xdr:from>
      <xdr:col>6</xdr:col>
      <xdr:colOff>387383</xdr:colOff>
      <xdr:row>153</xdr:row>
      <xdr:rowOff>35172</xdr:rowOff>
    </xdr:from>
    <xdr:to>
      <xdr:col>7</xdr:col>
      <xdr:colOff>193746</xdr:colOff>
      <xdr:row>154</xdr:row>
      <xdr:rowOff>127344</xdr:rowOff>
    </xdr:to>
    <xdr:sp macro="" textlink="Analysis!$Q$56">
      <xdr:nvSpPr>
        <xdr:cNvPr id="21" name="Rectangle: Rounded Corner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939648" y="18793819"/>
          <a:ext cx="411480" cy="249054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EDADD8CB-ED57-493D-9C65-48766632165D}" type="TxLink">
            <a:rPr lang="en-US" sz="1200" b="1" i="0" u="none" strike="noStrike">
              <a:solidFill>
                <a:srgbClr val="000000"/>
              </a:solidFill>
              <a:latin typeface="+mn-lt"/>
              <a:cs typeface="Arial"/>
            </a:rPr>
            <a:pPr algn="ctr"/>
            <a:t>15</a:t>
          </a:fld>
          <a:endParaRPr lang="en-US" sz="1600" b="1">
            <a:latin typeface="+mn-lt"/>
          </a:endParaRPr>
        </a:p>
      </xdr:txBody>
    </xdr:sp>
    <xdr:clientData/>
  </xdr:twoCellAnchor>
  <xdr:twoCellAnchor>
    <xdr:from>
      <xdr:col>6</xdr:col>
      <xdr:colOff>390106</xdr:colOff>
      <xdr:row>155</xdr:row>
      <xdr:rowOff>35896</xdr:rowOff>
    </xdr:from>
    <xdr:to>
      <xdr:col>7</xdr:col>
      <xdr:colOff>196469</xdr:colOff>
      <xdr:row>156</xdr:row>
      <xdr:rowOff>124380</xdr:rowOff>
    </xdr:to>
    <xdr:sp macro="" textlink="Analysis!$R$56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942371" y="19119514"/>
          <a:ext cx="411480" cy="256572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fld id="{4F896AFD-83BB-47FA-B189-8BDF8900B446}" type="TxLink">
            <a:rPr lang="en-US" sz="1200" b="1" i="0" u="none" strike="noStrike">
              <a:solidFill>
                <a:srgbClr val="000000"/>
              </a:solidFill>
              <a:latin typeface="+mn-lt"/>
              <a:ea typeface="+mn-ea"/>
              <a:cs typeface="Arial"/>
            </a:rPr>
            <a:pPr marL="0" indent="0" algn="ctr"/>
            <a:t>14</a:t>
          </a:fld>
          <a:endParaRPr lang="en-US" sz="1200" b="1" i="0" u="none" strike="noStrike">
            <a:solidFill>
              <a:srgbClr val="000000"/>
            </a:solidFill>
            <a:latin typeface="+mn-lt"/>
            <a:ea typeface="+mn-ea"/>
            <a:cs typeface="Arial"/>
          </a:endParaRPr>
        </a:p>
      </xdr:txBody>
    </xdr:sp>
    <xdr:clientData/>
  </xdr:twoCellAnchor>
  <xdr:twoCellAnchor>
    <xdr:from>
      <xdr:col>8</xdr:col>
      <xdr:colOff>448235</xdr:colOff>
      <xdr:row>79</xdr:row>
      <xdr:rowOff>40819</xdr:rowOff>
    </xdr:from>
    <xdr:to>
      <xdr:col>23</xdr:col>
      <xdr:colOff>598713</xdr:colOff>
      <xdr:row>100</xdr:row>
      <xdr:rowOff>54428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556819</xdr:colOff>
      <xdr:row>104</xdr:row>
      <xdr:rowOff>54430</xdr:rowOff>
    </xdr:from>
    <xdr:to>
      <xdr:col>14</xdr:col>
      <xdr:colOff>219537</xdr:colOff>
      <xdr:row>128</xdr:row>
      <xdr:rowOff>21773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343382</xdr:colOff>
      <xdr:row>104</xdr:row>
      <xdr:rowOff>54430</xdr:rowOff>
    </xdr:from>
    <xdr:to>
      <xdr:col>23</xdr:col>
      <xdr:colOff>556944</xdr:colOff>
      <xdr:row>128</xdr:row>
      <xdr:rowOff>21773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113371</xdr:colOff>
          <xdr:row>105</xdr:row>
          <xdr:rowOff>157383</xdr:rowOff>
        </xdr:from>
        <xdr:to>
          <xdr:col>5</xdr:col>
          <xdr:colOff>152371</xdr:colOff>
          <xdr:row>113</xdr:row>
          <xdr:rowOff>11475</xdr:rowOff>
        </xdr:to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T$66:$U$71" spid="_x0000_s631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28130" y="12092323"/>
              <a:ext cx="2862072" cy="113939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  <a:effectLst>
              <a:outerShdw blurRad="190500" dist="228600" dir="2700000" algn="ctr">
                <a:srgbClr val="000000">
                  <a:alpha val="30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4800000"/>
              </a:lightRig>
            </a:scene3d>
            <a:sp3d prstMaterial="matte">
              <a:bevelT w="127000" h="63500"/>
            </a:sp3d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113371</xdr:colOff>
          <xdr:row>113</xdr:row>
          <xdr:rowOff>69415</xdr:rowOff>
        </xdr:from>
        <xdr:to>
          <xdr:col>5</xdr:col>
          <xdr:colOff>160662</xdr:colOff>
          <xdr:row>120</xdr:row>
          <xdr:rowOff>91806</xdr:rowOff>
        </xdr:to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X$66:$Y$71" spid="_x0000_s631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228130" y="13289656"/>
              <a:ext cx="2870363" cy="114702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>
              <a:outerShdw blurRad="190500" dist="228600" dir="2700000" algn="ctr">
                <a:srgbClr val="000000">
                  <a:alpha val="30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4800000"/>
              </a:lightRig>
            </a:scene3d>
            <a:sp3d prstMaterial="matte">
              <a:bevelT w="127000" h="63500"/>
            </a:sp3d>
          </xdr:spPr>
        </xdr:pic>
        <xdr:clientData/>
      </xdr:twoCellAnchor>
    </mc:Choice>
    <mc:Fallback/>
  </mc:AlternateContent>
  <xdr:twoCellAnchor>
    <xdr:from>
      <xdr:col>2</xdr:col>
      <xdr:colOff>43962</xdr:colOff>
      <xdr:row>103</xdr:row>
      <xdr:rowOff>114489</xdr:rowOff>
    </xdr:from>
    <xdr:to>
      <xdr:col>5</xdr:col>
      <xdr:colOff>320914</xdr:colOff>
      <xdr:row>105</xdr:row>
      <xdr:rowOff>125693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5189" y="11388625"/>
          <a:ext cx="3099816" cy="3229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Watchlisted</a:t>
          </a:r>
          <a:r>
            <a:rPr lang="en-US" sz="1600" b="1" baseline="0"/>
            <a:t> Companies</a:t>
          </a:r>
          <a:endParaRPr lang="en-US" sz="1600" b="1"/>
        </a:p>
      </xdr:txBody>
    </xdr:sp>
    <xdr:clientData/>
  </xdr:twoCellAnchor>
  <xdr:twoCellAnchor editAs="oneCell">
    <xdr:from>
      <xdr:col>4</xdr:col>
      <xdr:colOff>662686</xdr:colOff>
      <xdr:row>104</xdr:row>
      <xdr:rowOff>11740</xdr:rowOff>
    </xdr:from>
    <xdr:to>
      <xdr:col>5</xdr:col>
      <xdr:colOff>217581</xdr:colOff>
      <xdr:row>105</xdr:row>
      <xdr:rowOff>91809</xdr:rowOff>
    </xdr:to>
    <xdr:pic>
      <xdr:nvPicPr>
        <xdr:cNvPr id="6" name="Graphic 5" descr="Glass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762776" y="11786017"/>
          <a:ext cx="392636" cy="240731"/>
        </a:xfrm>
        <a:prstGeom prst="rect">
          <a:avLst/>
        </a:prstGeom>
      </xdr:spPr>
    </xdr:pic>
    <xdr:clientData/>
  </xdr:twoCellAnchor>
  <xdr:twoCellAnchor>
    <xdr:from>
      <xdr:col>2</xdr:col>
      <xdr:colOff>54427</xdr:colOff>
      <xdr:row>8</xdr:row>
      <xdr:rowOff>141670</xdr:rowOff>
    </xdr:from>
    <xdr:to>
      <xdr:col>4</xdr:col>
      <xdr:colOff>54427</xdr:colOff>
      <xdr:row>15</xdr:row>
      <xdr:rowOff>93646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69186" y="1151550"/>
          <a:ext cx="1985331" cy="1076614"/>
        </a:xfrm>
        <a:prstGeom prst="rect">
          <a:avLst/>
        </a:prstGeom>
        <a:solidFill>
          <a:srgbClr val="1F6189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54427</xdr:colOff>
      <xdr:row>16</xdr:row>
      <xdr:rowOff>3511</xdr:rowOff>
    </xdr:from>
    <xdr:to>
      <xdr:col>4</xdr:col>
      <xdr:colOff>54427</xdr:colOff>
      <xdr:row>22</xdr:row>
      <xdr:rowOff>105968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01809" y="2199864"/>
          <a:ext cx="1994647" cy="1043751"/>
        </a:xfrm>
        <a:prstGeom prst="rect">
          <a:avLst/>
        </a:prstGeom>
        <a:solidFill>
          <a:srgbClr val="1F6189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149679</xdr:colOff>
      <xdr:row>10</xdr:row>
      <xdr:rowOff>120372</xdr:rowOff>
    </xdr:from>
    <xdr:to>
      <xdr:col>7</xdr:col>
      <xdr:colOff>522163</xdr:colOff>
      <xdr:row>17</xdr:row>
      <xdr:rowOff>72349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256385" y="1420254"/>
          <a:ext cx="2423160" cy="1050154"/>
        </a:xfrm>
        <a:prstGeom prst="rect">
          <a:avLst/>
        </a:prstGeom>
        <a:solidFill>
          <a:srgbClr val="1F6189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568811</xdr:colOff>
      <xdr:row>10</xdr:row>
      <xdr:rowOff>126776</xdr:rowOff>
    </xdr:from>
    <xdr:to>
      <xdr:col>11</xdr:col>
      <xdr:colOff>280147</xdr:colOff>
      <xdr:row>17</xdr:row>
      <xdr:rowOff>72349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726193" y="1426658"/>
          <a:ext cx="2423160" cy="1043750"/>
        </a:xfrm>
        <a:prstGeom prst="rect">
          <a:avLst/>
        </a:prstGeom>
        <a:solidFill>
          <a:srgbClr val="1F6189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149679</xdr:colOff>
      <xdr:row>17</xdr:row>
      <xdr:rowOff>141676</xdr:rowOff>
    </xdr:from>
    <xdr:to>
      <xdr:col>7</xdr:col>
      <xdr:colOff>522163</xdr:colOff>
      <xdr:row>24</xdr:row>
      <xdr:rowOff>93654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256385" y="2539735"/>
          <a:ext cx="2423160" cy="1050154"/>
        </a:xfrm>
        <a:prstGeom prst="rect">
          <a:avLst/>
        </a:prstGeom>
        <a:solidFill>
          <a:srgbClr val="1F6189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568811</xdr:colOff>
      <xdr:row>17</xdr:row>
      <xdr:rowOff>141676</xdr:rowOff>
    </xdr:from>
    <xdr:to>
      <xdr:col>11</xdr:col>
      <xdr:colOff>280147</xdr:colOff>
      <xdr:row>24</xdr:row>
      <xdr:rowOff>87250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726193" y="2539735"/>
          <a:ext cx="2423160" cy="1043750"/>
        </a:xfrm>
        <a:prstGeom prst="rect">
          <a:avLst/>
        </a:prstGeom>
        <a:solidFill>
          <a:srgbClr val="1F6189">
            <a:alpha val="9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136072</xdr:colOff>
      <xdr:row>9</xdr:row>
      <xdr:rowOff>141673</xdr:rowOff>
    </xdr:from>
    <xdr:to>
      <xdr:col>3</xdr:col>
      <xdr:colOff>802823</xdr:colOff>
      <xdr:row>11</xdr:row>
      <xdr:rowOff>66434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3454" y="1239849"/>
          <a:ext cx="1507193" cy="238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bg1"/>
              </a:solidFill>
            </a:rPr>
            <a:t>No of Sectors</a:t>
          </a:r>
        </a:p>
      </xdr:txBody>
    </xdr:sp>
    <xdr:clientData/>
  </xdr:twoCellAnchor>
  <xdr:twoCellAnchor>
    <xdr:from>
      <xdr:col>2</xdr:col>
      <xdr:colOff>827248</xdr:colOff>
      <xdr:row>12</xdr:row>
      <xdr:rowOff>1829</xdr:rowOff>
    </xdr:from>
    <xdr:to>
      <xdr:col>3</xdr:col>
      <xdr:colOff>496975</xdr:colOff>
      <xdr:row>14</xdr:row>
      <xdr:rowOff>60038</xdr:rowOff>
    </xdr:to>
    <xdr:sp macro="" textlink="Analysis!$H$69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42007" y="1654359"/>
          <a:ext cx="507468" cy="3795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D9FA857E-F250-4CFB-9F70-E68C50F7DFFF}" type="TxLink">
            <a:rPr lang="en-US" sz="2400" b="1" i="0" u="none" strike="noStrike">
              <a:solidFill>
                <a:schemeClr val="bg1"/>
              </a:solidFill>
              <a:latin typeface="+mn-lt"/>
              <a:cs typeface="Arial"/>
            </a:rPr>
            <a:pPr algn="l"/>
            <a:t>13</a:t>
          </a:fld>
          <a:endParaRPr lang="en-US" sz="32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2</xdr:col>
      <xdr:colOff>136069</xdr:colOff>
      <xdr:row>16</xdr:row>
      <xdr:rowOff>18417</xdr:rowOff>
    </xdr:from>
    <xdr:to>
      <xdr:col>3</xdr:col>
      <xdr:colOff>802820</xdr:colOff>
      <xdr:row>19</xdr:row>
      <xdr:rowOff>91807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50828" y="2313598"/>
          <a:ext cx="1504492" cy="5553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bg1"/>
              </a:solidFill>
            </a:rPr>
            <a:t>No of Companies Invested</a:t>
          </a:r>
        </a:p>
      </xdr:txBody>
    </xdr:sp>
    <xdr:clientData/>
  </xdr:twoCellAnchor>
  <xdr:twoCellAnchor>
    <xdr:from>
      <xdr:col>2</xdr:col>
      <xdr:colOff>781345</xdr:colOff>
      <xdr:row>19</xdr:row>
      <xdr:rowOff>16286</xdr:rowOff>
    </xdr:from>
    <xdr:to>
      <xdr:col>3</xdr:col>
      <xdr:colOff>677078</xdr:colOff>
      <xdr:row>21</xdr:row>
      <xdr:rowOff>74494</xdr:rowOff>
    </xdr:to>
    <xdr:sp macro="" textlink="Analysis!$P$53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896104" y="2793455"/>
          <a:ext cx="733474" cy="3795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194BE6E6-AD5E-4B28-AF5D-4B536F556A0A}" type="TxLink">
            <a:rPr lang="en-US" sz="2400" b="1" i="0" u="none" strike="noStrike">
              <a:solidFill>
                <a:schemeClr val="bg1"/>
              </a:solidFill>
              <a:latin typeface="+mn-lt"/>
              <a:cs typeface="Arial"/>
            </a:rPr>
            <a:pPr algn="l"/>
            <a:t>127</a:t>
          </a:fld>
          <a:endParaRPr lang="en-US" sz="72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4</xdr:col>
      <xdr:colOff>149679</xdr:colOff>
      <xdr:row>10</xdr:row>
      <xdr:rowOff>152879</xdr:rowOff>
    </xdr:from>
    <xdr:to>
      <xdr:col>7</xdr:col>
      <xdr:colOff>231322</xdr:colOff>
      <xdr:row>12</xdr:row>
      <xdr:rowOff>77639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491708" y="1564820"/>
          <a:ext cx="1504790" cy="238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bg1"/>
              </a:solidFill>
            </a:rPr>
            <a:t>Invested Amount</a:t>
          </a:r>
        </a:p>
      </xdr:txBody>
    </xdr:sp>
    <xdr:clientData/>
  </xdr:twoCellAnchor>
  <xdr:twoCellAnchor>
    <xdr:from>
      <xdr:col>4</xdr:col>
      <xdr:colOff>149679</xdr:colOff>
      <xdr:row>13</xdr:row>
      <xdr:rowOff>4801</xdr:rowOff>
    </xdr:from>
    <xdr:to>
      <xdr:col>8</xdr:col>
      <xdr:colOff>112059</xdr:colOff>
      <xdr:row>15</xdr:row>
      <xdr:rowOff>59229</xdr:rowOff>
    </xdr:to>
    <xdr:sp macro="" textlink="Analysis!$Q$81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491708" y="1887389"/>
          <a:ext cx="1990645" cy="3681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7B9F8EC0-914C-4D24-8DC6-D19C057FE0AC}" type="TxLink">
            <a:rPr lang="en-US" sz="2400" b="0" i="0" u="none" strike="noStrike">
              <a:solidFill>
                <a:schemeClr val="bg1"/>
              </a:solidFill>
              <a:latin typeface="+mn-lt"/>
              <a:ea typeface="+mn-ea"/>
              <a:cs typeface="Arial"/>
            </a:rPr>
            <a:pPr marL="0" indent="0" algn="l"/>
            <a:t> 4,43,307.18 </a:t>
          </a:fld>
          <a:endParaRPr lang="en-US" sz="2400" b="0" i="0" u="none" strike="noStrike">
            <a:solidFill>
              <a:schemeClr val="bg1"/>
            </a:solidFill>
            <a:latin typeface="+mn-lt"/>
            <a:ea typeface="+mn-ea"/>
            <a:cs typeface="Arial"/>
          </a:endParaRPr>
        </a:p>
      </xdr:txBody>
    </xdr:sp>
    <xdr:clientData/>
  </xdr:twoCellAnchor>
  <xdr:twoCellAnchor>
    <xdr:from>
      <xdr:col>4</xdr:col>
      <xdr:colOff>134471</xdr:colOff>
      <xdr:row>7</xdr:row>
      <xdr:rowOff>68838</xdr:rowOff>
    </xdr:from>
    <xdr:to>
      <xdr:col>11</xdr:col>
      <xdr:colOff>280147</xdr:colOff>
      <xdr:row>10</xdr:row>
      <xdr:rowOff>68838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41177" y="898073"/>
          <a:ext cx="4908176" cy="470647"/>
        </a:xfrm>
        <a:prstGeom prst="rect">
          <a:avLst/>
        </a:prstGeom>
        <a:solidFill>
          <a:srgbClr val="1F618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191305</xdr:colOff>
      <xdr:row>7</xdr:row>
      <xdr:rowOff>71238</xdr:rowOff>
    </xdr:from>
    <xdr:to>
      <xdr:col>6</xdr:col>
      <xdr:colOff>445040</xdr:colOff>
      <xdr:row>8</xdr:row>
      <xdr:rowOff>105655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533334" y="855650"/>
          <a:ext cx="1071765" cy="1912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Select Year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83820</xdr:rowOff>
        </xdr:from>
        <xdr:to>
          <xdr:col>5</xdr:col>
          <xdr:colOff>236220</xdr:colOff>
          <xdr:row>10</xdr:row>
          <xdr:rowOff>45720</xdr:rowOff>
        </xdr:to>
        <xdr:sp macro="" textlink="">
          <xdr:nvSpPr>
            <xdr:cNvPr id="1138" name="Option Button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8</xdr:row>
          <xdr:rowOff>83820</xdr:rowOff>
        </xdr:from>
        <xdr:to>
          <xdr:col>6</xdr:col>
          <xdr:colOff>411480</xdr:colOff>
          <xdr:row>10</xdr:row>
          <xdr:rowOff>22860</xdr:rowOff>
        </xdr:to>
        <xdr:sp macro="" textlink="">
          <xdr:nvSpPr>
            <xdr:cNvPr id="1140" name="Option Button 116" descr="2024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365760</xdr:colOff>
          <xdr:row>8</xdr:row>
          <xdr:rowOff>83820</xdr:rowOff>
        </xdr:from>
        <xdr:to>
          <xdr:col>7</xdr:col>
          <xdr:colOff>563880</xdr:colOff>
          <xdr:row>10</xdr:row>
          <xdr:rowOff>7620</xdr:rowOff>
        </xdr:to>
        <xdr:sp macro="" textlink="">
          <xdr:nvSpPr>
            <xdr:cNvPr id="1141" name="Option Button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594360</xdr:colOff>
          <xdr:row>8</xdr:row>
          <xdr:rowOff>83820</xdr:rowOff>
        </xdr:from>
        <xdr:to>
          <xdr:col>9</xdr:col>
          <xdr:colOff>220980</xdr:colOff>
          <xdr:row>10</xdr:row>
          <xdr:rowOff>7620</xdr:rowOff>
        </xdr:to>
        <xdr:sp macro="" textlink="">
          <xdr:nvSpPr>
            <xdr:cNvPr id="1142" name="Option Button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83820</xdr:rowOff>
        </xdr:from>
        <xdr:to>
          <xdr:col>10</xdr:col>
          <xdr:colOff>304800</xdr:colOff>
          <xdr:row>10</xdr:row>
          <xdr:rowOff>7620</xdr:rowOff>
        </xdr:to>
        <xdr:sp macro="" textlink="">
          <xdr:nvSpPr>
            <xdr:cNvPr id="1143" name="Option Button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168089</xdr:colOff>
      <xdr:row>8</xdr:row>
      <xdr:rowOff>112059</xdr:rowOff>
    </xdr:from>
    <xdr:to>
      <xdr:col>6</xdr:col>
      <xdr:colOff>22412</xdr:colOff>
      <xdr:row>10</xdr:row>
      <xdr:rowOff>11207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723030" y="1053353"/>
          <a:ext cx="459441" cy="212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latin typeface="+mj-lt"/>
            </a:rPr>
            <a:t>(All)</a:t>
          </a:r>
        </a:p>
      </xdr:txBody>
    </xdr:sp>
    <xdr:clientData/>
  </xdr:twoCellAnchor>
  <xdr:twoCellAnchor>
    <xdr:from>
      <xdr:col>6</xdr:col>
      <xdr:colOff>320491</xdr:colOff>
      <xdr:row>8</xdr:row>
      <xdr:rowOff>100853</xdr:rowOff>
    </xdr:from>
    <xdr:to>
      <xdr:col>7</xdr:col>
      <xdr:colOff>268944</xdr:colOff>
      <xdr:row>10</xdr:row>
      <xdr:rowOff>15691</xdr:rowOff>
    </xdr:to>
    <xdr:sp macro="" textlink="Analysis!$N$75">
      <xdr:nvSpPr>
        <xdr:cNvPr id="52" name="Rectangl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872756" y="1086971"/>
          <a:ext cx="553570" cy="2286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F6F8FFDE-8D9E-40FE-8532-8852473B0D1F}" type="TxLink">
            <a:rPr lang="en-US" sz="1050" b="1" i="0" u="none" strike="noStrike">
              <a:solidFill>
                <a:schemeClr val="bg1"/>
              </a:solidFill>
              <a:latin typeface="+mj-lt"/>
              <a:cs typeface="Arial"/>
            </a:rPr>
            <a:pPr algn="l"/>
            <a:t>2024</a:t>
          </a:fld>
          <a:endParaRPr lang="en-US" sz="12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7</xdr:col>
      <xdr:colOff>517719</xdr:colOff>
      <xdr:row>8</xdr:row>
      <xdr:rowOff>89647</xdr:rowOff>
    </xdr:from>
    <xdr:to>
      <xdr:col>8</xdr:col>
      <xdr:colOff>466171</xdr:colOff>
      <xdr:row>10</xdr:row>
      <xdr:rowOff>4485</xdr:rowOff>
    </xdr:to>
    <xdr:sp macro="" textlink="Analysis!$N$76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675101" y="1075765"/>
          <a:ext cx="553570" cy="2286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1E781381-7D2C-4614-9BD7-85E7E8154F35}" type="TxLink">
            <a:rPr lang="en-US" sz="1100" b="1" i="0" u="none" strike="noStrike">
              <a:solidFill>
                <a:schemeClr val="bg1"/>
              </a:solidFill>
              <a:latin typeface="+mj-lt"/>
              <a:cs typeface="Arial"/>
            </a:rPr>
            <a:pPr algn="l"/>
            <a:t>2023</a:t>
          </a:fld>
          <a:endParaRPr lang="en-US" sz="16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9</xdr:col>
      <xdr:colOff>154650</xdr:colOff>
      <xdr:row>8</xdr:row>
      <xdr:rowOff>89647</xdr:rowOff>
    </xdr:from>
    <xdr:to>
      <xdr:col>9</xdr:col>
      <xdr:colOff>708220</xdr:colOff>
      <xdr:row>10</xdr:row>
      <xdr:rowOff>4485</xdr:rowOff>
    </xdr:to>
    <xdr:sp macro="" textlink="Analysis!$N$77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5522268" y="1075765"/>
          <a:ext cx="553570" cy="2286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8AFE8788-5E12-4AB8-BAD0-FF8E052B9514}" type="TxLink">
            <a:rPr lang="en-US" sz="1100" b="1" i="0" u="none" strike="noStrike">
              <a:solidFill>
                <a:schemeClr val="bg1"/>
              </a:solidFill>
              <a:latin typeface="+mj-lt"/>
              <a:cs typeface="Arial"/>
            </a:rPr>
            <a:pPr algn="l"/>
            <a:t>2022</a:t>
          </a:fld>
          <a:endParaRPr lang="en-US" sz="20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10</xdr:col>
      <xdr:colOff>284639</xdr:colOff>
      <xdr:row>8</xdr:row>
      <xdr:rowOff>89647</xdr:rowOff>
    </xdr:from>
    <xdr:to>
      <xdr:col>11</xdr:col>
      <xdr:colOff>233092</xdr:colOff>
      <xdr:row>10</xdr:row>
      <xdr:rowOff>4485</xdr:rowOff>
    </xdr:to>
    <xdr:sp macro="" textlink="Analysis!$N$78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932404" y="1030941"/>
          <a:ext cx="553570" cy="2286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2E341261-8A06-4B28-BF04-57C99CF5F0CE}" type="TxLink">
            <a:rPr lang="en-US" sz="1100" b="1" i="0" u="none" strike="noStrike">
              <a:solidFill>
                <a:schemeClr val="bg1"/>
              </a:solidFill>
              <a:latin typeface="+mj-lt"/>
              <a:cs typeface="Arial"/>
            </a:rPr>
            <a:pPr algn="l"/>
            <a:t>2021</a:t>
          </a:fld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8</xdr:col>
      <xdr:colOff>61158</xdr:colOff>
      <xdr:row>11</xdr:row>
      <xdr:rowOff>14716</xdr:rowOff>
    </xdr:from>
    <xdr:to>
      <xdr:col>11</xdr:col>
      <xdr:colOff>86771</xdr:colOff>
      <xdr:row>12</xdr:row>
      <xdr:rowOff>96359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823658" y="1471481"/>
          <a:ext cx="2132319" cy="238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bg1"/>
              </a:solidFill>
            </a:rPr>
            <a:t>Current Amount</a:t>
          </a:r>
        </a:p>
      </xdr:txBody>
    </xdr:sp>
    <xdr:clientData/>
  </xdr:twoCellAnchor>
  <xdr:twoCellAnchor>
    <xdr:from>
      <xdr:col>8</xdr:col>
      <xdr:colOff>61158</xdr:colOff>
      <xdr:row>12</xdr:row>
      <xdr:rowOff>124373</xdr:rowOff>
    </xdr:from>
    <xdr:to>
      <xdr:col>11</xdr:col>
      <xdr:colOff>572626</xdr:colOff>
      <xdr:row>15</xdr:row>
      <xdr:rowOff>21920</xdr:rowOff>
    </xdr:to>
    <xdr:sp macro="" textlink="Analysis!$O$81">
      <xdr:nvSpPr>
        <xdr:cNvPr id="58" name="Rectangl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4823658" y="1738020"/>
          <a:ext cx="2618174" cy="3681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A1D85867-0388-4A16-926B-A27D9DAC01EA}" type="TxLink">
            <a:rPr lang="en-US" sz="2400" b="0" i="0" u="none" strike="noStrike">
              <a:solidFill>
                <a:schemeClr val="bg1"/>
              </a:solidFill>
              <a:latin typeface="+mn-lt"/>
              <a:ea typeface="+mn-ea"/>
              <a:cs typeface="Arial"/>
            </a:rPr>
            <a:pPr marL="0" indent="0" algn="l"/>
            <a:t> 5,62,605.00 </a:t>
          </a:fld>
          <a:endParaRPr lang="en-US" sz="2400" b="0" i="0" u="none" strike="noStrike">
            <a:solidFill>
              <a:schemeClr val="bg1"/>
            </a:solidFill>
            <a:latin typeface="+mn-lt"/>
            <a:ea typeface="+mn-ea"/>
            <a:cs typeface="Arial"/>
          </a:endParaRPr>
        </a:p>
      </xdr:txBody>
    </xdr:sp>
    <xdr:clientData/>
  </xdr:twoCellAnchor>
  <xdr:twoCellAnchor>
    <xdr:from>
      <xdr:col>4</xdr:col>
      <xdr:colOff>680449</xdr:colOff>
      <xdr:row>20</xdr:row>
      <xdr:rowOff>84619</xdr:rowOff>
    </xdr:from>
    <xdr:to>
      <xdr:col>5</xdr:col>
      <xdr:colOff>585269</xdr:colOff>
      <xdr:row>22</xdr:row>
      <xdr:rowOff>136421</xdr:rowOff>
    </xdr:to>
    <xdr:sp macro="" textlink="Analysis!$R$81">
      <xdr:nvSpPr>
        <xdr:cNvPr id="59" name="Rectangl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780539" y="3022450"/>
          <a:ext cx="742561" cy="3731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3AFBED43-6089-4494-B7C3-D6EB18C3ED0B}" type="TxLink">
            <a:rPr lang="en-US" sz="2400" b="0" i="0" u="none" strike="noStrike">
              <a:solidFill>
                <a:schemeClr val="bg1"/>
              </a:solidFill>
              <a:latin typeface="+mn-lt"/>
              <a:cs typeface="Arial"/>
            </a:rPr>
            <a:pPr algn="l"/>
            <a:t>27%</a:t>
          </a:fld>
          <a:endParaRPr lang="en-US" sz="60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8</xdr:col>
      <xdr:colOff>204431</xdr:colOff>
      <xdr:row>18</xdr:row>
      <xdr:rowOff>25928</xdr:rowOff>
    </xdr:from>
    <xdr:to>
      <xdr:col>11</xdr:col>
      <xdr:colOff>100852</xdr:colOff>
      <xdr:row>19</xdr:row>
      <xdr:rowOff>134471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966931" y="2580869"/>
          <a:ext cx="2003127" cy="2654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bg1"/>
              </a:solidFill>
            </a:rPr>
            <a:t>Total Annual Dividend</a:t>
          </a:r>
        </a:p>
      </xdr:txBody>
    </xdr:sp>
    <xdr:clientData/>
  </xdr:twoCellAnchor>
  <xdr:twoCellAnchor>
    <xdr:from>
      <xdr:col>8</xdr:col>
      <xdr:colOff>215638</xdr:colOff>
      <xdr:row>20</xdr:row>
      <xdr:rowOff>68349</xdr:rowOff>
    </xdr:from>
    <xdr:to>
      <xdr:col>11</xdr:col>
      <xdr:colOff>323695</xdr:colOff>
      <xdr:row>22</xdr:row>
      <xdr:rowOff>122779</xdr:rowOff>
    </xdr:to>
    <xdr:sp macro="" textlink="Analysis!$S$81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978138" y="2937055"/>
          <a:ext cx="2214763" cy="3681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D04D8521-5A45-4585-AF24-DA944E36F8F2}" type="TxLink">
            <a:rPr lang="en-US" sz="2400" b="0" i="0" u="none" strike="noStrike">
              <a:solidFill>
                <a:schemeClr val="bg1"/>
              </a:solidFill>
              <a:latin typeface="+mn-lt"/>
              <a:cs typeface="Arial"/>
            </a:rPr>
            <a:pPr algn="l"/>
            <a:t> 17,779.03 </a:t>
          </a:fld>
          <a:endParaRPr lang="en-US" sz="24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4</xdr:col>
      <xdr:colOff>340498</xdr:colOff>
      <xdr:row>20</xdr:row>
      <xdr:rowOff>68856</xdr:rowOff>
    </xdr:from>
    <xdr:to>
      <xdr:col>4</xdr:col>
      <xdr:colOff>711506</xdr:colOff>
      <xdr:row>22</xdr:row>
      <xdr:rowOff>138815</xdr:rowOff>
    </xdr:to>
    <xdr:sp macro="" textlink="Analysis!$R$83">
      <xdr:nvSpPr>
        <xdr:cNvPr id="62" name="Rectangl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440588" y="3006687"/>
          <a:ext cx="371008" cy="3912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64030E8B-5C74-4A0A-96E3-6A93F753C200}" type="TxLink">
            <a:rPr lang="en-US" sz="1100" b="0" i="0" u="none" strike="noStrike">
              <a:solidFill>
                <a:srgbClr val="FFFFFF"/>
              </a:solidFill>
              <a:latin typeface="Wingdings 3"/>
              <a:cs typeface="Arial"/>
            </a:rPr>
            <a:pPr algn="l"/>
            <a:t>p</a:t>
          </a:fld>
          <a:endParaRPr lang="en-US" sz="40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2</xdr:col>
      <xdr:colOff>44824</xdr:colOff>
      <xdr:row>5</xdr:row>
      <xdr:rowOff>78443</xdr:rowOff>
    </xdr:from>
    <xdr:to>
      <xdr:col>11</xdr:col>
      <xdr:colOff>274948</xdr:colOff>
      <xdr:row>7</xdr:row>
      <xdr:rowOff>22416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92206" y="549090"/>
          <a:ext cx="6135624" cy="25773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rgbClr val="4171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1F6189"/>
              </a:solidFill>
            </a:rPr>
            <a:t>Portfolio Activity Summary</a:t>
          </a:r>
        </a:p>
      </xdr:txBody>
    </xdr:sp>
    <xdr:clientData/>
  </xdr:twoCellAnchor>
  <xdr:twoCellAnchor>
    <xdr:from>
      <xdr:col>11</xdr:col>
      <xdr:colOff>381000</xdr:colOff>
      <xdr:row>5</xdr:row>
      <xdr:rowOff>78442</xdr:rowOff>
    </xdr:from>
    <xdr:to>
      <xdr:col>23</xdr:col>
      <xdr:colOff>585106</xdr:colOff>
      <xdr:row>24</xdr:row>
      <xdr:rowOff>89647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4" name="Chart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2360" y="619462"/>
              <a:ext cx="7976506" cy="3196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163050</xdr:colOff>
      <xdr:row>18</xdr:row>
      <xdr:rowOff>8316</xdr:rowOff>
    </xdr:from>
    <xdr:to>
      <xdr:col>6</xdr:col>
      <xdr:colOff>504937</xdr:colOff>
      <xdr:row>19</xdr:row>
      <xdr:rowOff>148077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263140" y="2624822"/>
          <a:ext cx="1787851" cy="3004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bg1"/>
              </a:solidFill>
            </a:rPr>
            <a:t>Return on Investment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79</xdr:row>
          <xdr:rowOff>42182</xdr:rowOff>
        </xdr:from>
        <xdr:to>
          <xdr:col>8</xdr:col>
          <xdr:colOff>374918</xdr:colOff>
          <xdr:row>100</xdr:row>
          <xdr:rowOff>54430</xdr:rowOff>
        </xdr:to>
        <xdr:pic>
          <xdr:nvPicPr>
            <xdr:cNvPr id="66" name="Picture 65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H$71:$K$84" spid="_x0000_s6314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349704" y="8043182"/>
              <a:ext cx="5041446" cy="344124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7</xdr:col>
      <xdr:colOff>280960</xdr:colOff>
      <xdr:row>152</xdr:row>
      <xdr:rowOff>80331</xdr:rowOff>
    </xdr:from>
    <xdr:to>
      <xdr:col>15</xdr:col>
      <xdr:colOff>118169</xdr:colOff>
      <xdr:row>174</xdr:row>
      <xdr:rowOff>56030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58739</xdr:colOff>
      <xdr:row>157</xdr:row>
      <xdr:rowOff>44823</xdr:rowOff>
    </xdr:from>
    <xdr:to>
      <xdr:col>6</xdr:col>
      <xdr:colOff>313964</xdr:colOff>
      <xdr:row>158</xdr:row>
      <xdr:rowOff>125684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165445" y="19453411"/>
          <a:ext cx="1700784" cy="237744"/>
        </a:xfrm>
        <a:prstGeom prst="round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1"/>
            <a:t>ROI %</a:t>
          </a:r>
        </a:p>
      </xdr:txBody>
    </xdr:sp>
    <xdr:clientData/>
  </xdr:twoCellAnchor>
  <xdr:twoCellAnchor>
    <xdr:from>
      <xdr:col>6</xdr:col>
      <xdr:colOff>392829</xdr:colOff>
      <xdr:row>157</xdr:row>
      <xdr:rowOff>30142</xdr:rowOff>
    </xdr:from>
    <xdr:to>
      <xdr:col>7</xdr:col>
      <xdr:colOff>199192</xdr:colOff>
      <xdr:row>158</xdr:row>
      <xdr:rowOff>104053</xdr:rowOff>
    </xdr:to>
    <xdr:sp macro="" textlink="Analysis!$S$56">
      <xdr:nvSpPr>
        <xdr:cNvPr id="70" name="Rectangle: Rounded Corners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945094" y="19438730"/>
          <a:ext cx="411480" cy="230794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fld id="{11FCC51F-D1C6-47BD-9D8D-37A0E890BC01}" type="TxLink">
            <a:rPr lang="en-US" sz="1200" b="1" i="0" u="none" strike="noStrike">
              <a:solidFill>
                <a:srgbClr val="000000"/>
              </a:solidFill>
              <a:latin typeface="+mn-lt"/>
              <a:ea typeface="+mn-ea"/>
              <a:cs typeface="Arial"/>
            </a:rPr>
            <a:pPr marL="0" indent="0" algn="ctr"/>
            <a:t>8%</a:t>
          </a:fld>
          <a:endParaRPr lang="en-US" sz="1200" b="1" i="0" u="none" strike="noStrike">
            <a:solidFill>
              <a:srgbClr val="000000"/>
            </a:solidFill>
            <a:latin typeface="+mn-lt"/>
            <a:ea typeface="+mn-ea"/>
            <a:cs typeface="Arial"/>
          </a:endParaRPr>
        </a:p>
      </xdr:txBody>
    </xdr:sp>
    <xdr:clientData/>
  </xdr:twoCellAnchor>
  <xdr:twoCellAnchor>
    <xdr:from>
      <xdr:col>15</xdr:col>
      <xdr:colOff>182407</xdr:colOff>
      <xdr:row>152</xdr:row>
      <xdr:rowOff>80331</xdr:rowOff>
    </xdr:from>
    <xdr:to>
      <xdr:col>23</xdr:col>
      <xdr:colOff>591117</xdr:colOff>
      <xdr:row>174</xdr:row>
      <xdr:rowOff>57784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2</xdr:col>
      <xdr:colOff>344276</xdr:colOff>
      <xdr:row>11</xdr:row>
      <xdr:rowOff>145515</xdr:rowOff>
    </xdr:from>
    <xdr:to>
      <xdr:col>2</xdr:col>
      <xdr:colOff>722981</xdr:colOff>
      <xdr:row>14</xdr:row>
      <xdr:rowOff>42232</xdr:rowOff>
    </xdr:to>
    <xdr:pic>
      <xdr:nvPicPr>
        <xdr:cNvPr id="5" name="Graphic 4" descr="Bar graph with upward trend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59035" y="1637382"/>
          <a:ext cx="378705" cy="378705"/>
        </a:xfrm>
        <a:prstGeom prst="rect">
          <a:avLst/>
        </a:prstGeom>
      </xdr:spPr>
    </xdr:pic>
    <xdr:clientData/>
  </xdr:twoCellAnchor>
  <xdr:twoCellAnchor editAs="oneCell">
    <xdr:from>
      <xdr:col>6</xdr:col>
      <xdr:colOff>527892</xdr:colOff>
      <xdr:row>20</xdr:row>
      <xdr:rowOff>80331</xdr:rowOff>
    </xdr:from>
    <xdr:to>
      <xdr:col>7</xdr:col>
      <xdr:colOff>390181</xdr:colOff>
      <xdr:row>23</xdr:row>
      <xdr:rowOff>34428</xdr:rowOff>
    </xdr:to>
    <xdr:pic>
      <xdr:nvPicPr>
        <xdr:cNvPr id="22" name="Graphic 21" descr="Money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4073946" y="3018162"/>
          <a:ext cx="470512" cy="436085"/>
        </a:xfrm>
        <a:prstGeom prst="rect">
          <a:avLst/>
        </a:prstGeom>
      </xdr:spPr>
    </xdr:pic>
    <xdr:clientData/>
  </xdr:twoCellAnchor>
  <xdr:twoCellAnchor editAs="oneCell">
    <xdr:from>
      <xdr:col>6</xdr:col>
      <xdr:colOff>528706</xdr:colOff>
      <xdr:row>12</xdr:row>
      <xdr:rowOff>68856</xdr:rowOff>
    </xdr:from>
    <xdr:to>
      <xdr:col>7</xdr:col>
      <xdr:colOff>447561</xdr:colOff>
      <xdr:row>15</xdr:row>
      <xdr:rowOff>57380</xdr:rowOff>
    </xdr:to>
    <xdr:pic>
      <xdr:nvPicPr>
        <xdr:cNvPr id="24" name="Graphic 23" descr="Coin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4074760" y="1721386"/>
          <a:ext cx="527078" cy="470512"/>
        </a:xfrm>
        <a:prstGeom prst="rect">
          <a:avLst/>
        </a:prstGeom>
      </xdr:spPr>
    </xdr:pic>
    <xdr:clientData/>
  </xdr:twoCellAnchor>
  <xdr:twoCellAnchor editAs="oneCell">
    <xdr:from>
      <xdr:col>10</xdr:col>
      <xdr:colOff>470511</xdr:colOff>
      <xdr:row>20</xdr:row>
      <xdr:rowOff>7802</xdr:rowOff>
    </xdr:from>
    <xdr:to>
      <xdr:col>11</xdr:col>
      <xdr:colOff>183615</xdr:colOff>
      <xdr:row>22</xdr:row>
      <xdr:rowOff>99610</xdr:rowOff>
    </xdr:to>
    <xdr:pic>
      <xdr:nvPicPr>
        <xdr:cNvPr id="26" name="Graphic 25" descr="Piggy Bank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6644547" y="2945633"/>
          <a:ext cx="413134" cy="413134"/>
        </a:xfrm>
        <a:prstGeom prst="rect">
          <a:avLst/>
        </a:prstGeom>
      </xdr:spPr>
    </xdr:pic>
    <xdr:clientData/>
  </xdr:twoCellAnchor>
  <xdr:twoCellAnchor editAs="oneCell">
    <xdr:from>
      <xdr:col>10</xdr:col>
      <xdr:colOff>413945</xdr:colOff>
      <xdr:row>12</xdr:row>
      <xdr:rowOff>114758</xdr:rowOff>
    </xdr:from>
    <xdr:to>
      <xdr:col>11</xdr:col>
      <xdr:colOff>89760</xdr:colOff>
      <xdr:row>15</xdr:row>
      <xdr:rowOff>8615</xdr:rowOff>
    </xdr:to>
    <xdr:pic>
      <xdr:nvPicPr>
        <xdr:cNvPr id="41" name="Graphic 40" descr="Upward tren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6587981" y="1767288"/>
          <a:ext cx="375845" cy="375845"/>
        </a:xfrm>
        <a:prstGeom prst="rect">
          <a:avLst/>
        </a:prstGeom>
      </xdr:spPr>
    </xdr:pic>
    <xdr:clientData/>
  </xdr:twoCellAnchor>
  <xdr:twoCellAnchor editAs="oneCell">
    <xdr:from>
      <xdr:col>2</xdr:col>
      <xdr:colOff>334428</xdr:colOff>
      <xdr:row>19</xdr:row>
      <xdr:rowOff>22532</xdr:rowOff>
    </xdr:from>
    <xdr:to>
      <xdr:col>2</xdr:col>
      <xdr:colOff>722982</xdr:colOff>
      <xdr:row>21</xdr:row>
      <xdr:rowOff>89761</xdr:rowOff>
    </xdr:to>
    <xdr:pic>
      <xdr:nvPicPr>
        <xdr:cNvPr id="50" name="Graphic 49" descr="Databas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449187" y="2799701"/>
          <a:ext cx="388554" cy="38855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125546</xdr:colOff>
          <xdr:row>120</xdr:row>
          <xdr:rowOff>156300</xdr:rowOff>
        </xdr:from>
        <xdr:to>
          <xdr:col>5</xdr:col>
          <xdr:colOff>172139</xdr:colOff>
          <xdr:row>128</xdr:row>
          <xdr:rowOff>58822</xdr:rowOff>
        </xdr:to>
        <xdr:pic>
          <xdr:nvPicPr>
            <xdr:cNvPr id="71" name="Picture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V$66:$W$71" spid="_x0000_s6315"/>
                </a:ext>
              </a:extLst>
            </xdr:cNvPicPr>
          </xdr:nvPicPr>
          <xdr:blipFill>
            <a:blip xmlns:r="http://schemas.openxmlformats.org/officeDocument/2006/relationships" r:embed="rId28"/>
            <a:srcRect/>
            <a:stretch>
              <a:fillRect/>
            </a:stretch>
          </xdr:blipFill>
          <xdr:spPr bwMode="auto">
            <a:xfrm>
              <a:off x="240305" y="14501180"/>
              <a:ext cx="2869665" cy="11878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145677</xdr:rowOff>
        </xdr:from>
        <xdr:to>
          <xdr:col>13</xdr:col>
          <xdr:colOff>190500</xdr:colOff>
          <xdr:row>47</xdr:row>
          <xdr:rowOff>45944</xdr:rowOff>
        </xdr:to>
        <xdr:pic>
          <xdr:nvPicPr>
            <xdr:cNvPr id="72" name="Picture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H$39:$O$52" spid="_x0000_s6316"/>
                </a:ext>
              </a:extLst>
            </xdr:cNvPicPr>
          </xdr:nvPicPr>
          <xdr:blipFill>
            <a:blip xmlns:r="http://schemas.openxmlformats.org/officeDocument/2006/relationships" r:embed="rId29"/>
            <a:srcRect/>
            <a:stretch>
              <a:fillRect/>
            </a:stretch>
          </xdr:blipFill>
          <xdr:spPr bwMode="auto">
            <a:xfrm>
              <a:off x="150159" y="4112559"/>
              <a:ext cx="8388723" cy="303791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50</xdr:row>
          <xdr:rowOff>68037</xdr:rowOff>
        </xdr:from>
        <xdr:to>
          <xdr:col>23</xdr:col>
          <xdr:colOff>555882</xdr:colOff>
          <xdr:row>76</xdr:row>
          <xdr:rowOff>84366</xdr:rowOff>
        </xdr:to>
        <xdr:pic>
          <xdr:nvPicPr>
            <xdr:cNvPr id="73" name="Picture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Z$38:$AL$52" spid="_x0000_s6317"/>
                </a:ext>
              </a:extLst>
            </xdr:cNvPicPr>
          </xdr:nvPicPr>
          <xdr:blipFill>
            <a:blip xmlns:r="http://schemas.openxmlformats.org/officeDocument/2006/relationships" r:embed="rId30"/>
            <a:srcRect/>
            <a:stretch>
              <a:fillRect/>
            </a:stretch>
          </xdr:blipFill>
          <xdr:spPr bwMode="auto">
            <a:xfrm>
              <a:off x="179614" y="7960180"/>
              <a:ext cx="14908697" cy="427536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E381-52FA-4A3A-9508-48A4C165C9C6}">
  <dimension ref="A1:AF218"/>
  <sheetViews>
    <sheetView showGridLines="0" tabSelected="1" topLeftCell="A2" zoomScale="91" zoomScaleNormal="91" workbookViewId="0">
      <selection activeCell="C24" sqref="C24"/>
    </sheetView>
  </sheetViews>
  <sheetFormatPr defaultColWidth="0" defaultRowHeight="13.2" zeroHeight="1"/>
  <cols>
    <col min="1" max="1" width="0.6640625" customWidth="1"/>
    <col min="2" max="2" width="1" customWidth="1"/>
    <col min="3" max="3" width="12.5546875" customWidth="1"/>
    <col min="4" max="4" width="17.33203125" customWidth="1"/>
    <col min="5" max="5" width="12.5546875" customWidth="1"/>
    <col min="6" max="9" width="9.109375" customWidth="1"/>
    <col min="10" max="10" width="12" customWidth="1"/>
    <col min="11" max="11" width="10.5546875" customWidth="1"/>
    <col min="12" max="12" width="13.109375" bestFit="1" customWidth="1"/>
    <col min="13" max="24" width="9.109375" customWidth="1"/>
    <col min="25" max="25" width="0.6640625" customWidth="1"/>
    <col min="26" max="26" width="0.44140625" customWidth="1"/>
    <col min="27" max="32" width="0" hidden="1" customWidth="1"/>
    <col min="33" max="16384" width="9.109375" hidden="1"/>
  </cols>
  <sheetData>
    <row r="1" spans="2:25" ht="13.8" hidden="1" thickBot="1"/>
    <row r="2" spans="2:25" ht="3.75" customHeight="1">
      <c r="B2" s="141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02"/>
    </row>
    <row r="3" spans="2:25">
      <c r="B3" s="143"/>
      <c r="C3" s="227" t="s">
        <v>185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144"/>
    </row>
    <row r="4" spans="2:25" ht="12.75" customHeight="1">
      <c r="B4" s="143"/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144"/>
    </row>
    <row r="5" spans="2:25">
      <c r="B5" s="143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144"/>
    </row>
    <row r="6" spans="2:25">
      <c r="B6" s="143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144"/>
    </row>
    <row r="7" spans="2:25">
      <c r="B7" s="143"/>
      <c r="Y7" s="144"/>
    </row>
    <row r="8" spans="2:25">
      <c r="B8" s="143"/>
      <c r="Y8" s="144"/>
    </row>
    <row r="9" spans="2:25">
      <c r="B9" s="143"/>
      <c r="Y9" s="144"/>
    </row>
    <row r="10" spans="2:25">
      <c r="B10" s="143"/>
      <c r="Y10" s="144"/>
    </row>
    <row r="11" spans="2:25">
      <c r="B11" s="143"/>
      <c r="Y11" s="144"/>
    </row>
    <row r="12" spans="2:25">
      <c r="B12" s="143"/>
      <c r="Y12" s="144"/>
    </row>
    <row r="13" spans="2:25">
      <c r="B13" s="143"/>
      <c r="Y13" s="144"/>
    </row>
    <row r="14" spans="2:25">
      <c r="B14" s="143"/>
      <c r="Y14" s="144"/>
    </row>
    <row r="15" spans="2:25">
      <c r="B15" s="143"/>
      <c r="Y15" s="144"/>
    </row>
    <row r="16" spans="2:25">
      <c r="B16" s="143"/>
      <c r="Y16" s="144"/>
    </row>
    <row r="17" spans="2:32">
      <c r="B17" s="143"/>
      <c r="Y17" s="144"/>
    </row>
    <row r="18" spans="2:32">
      <c r="B18" s="143"/>
      <c r="Y18" s="144"/>
    </row>
    <row r="19" spans="2:32">
      <c r="B19" s="143"/>
      <c r="Y19" s="144"/>
    </row>
    <row r="20" spans="2:32">
      <c r="B20" s="143"/>
      <c r="Y20" s="144"/>
    </row>
    <row r="21" spans="2:32">
      <c r="B21" s="143"/>
      <c r="Y21" s="144"/>
    </row>
    <row r="22" spans="2:32">
      <c r="B22" s="143"/>
      <c r="Y22" s="144"/>
    </row>
    <row r="23" spans="2:32">
      <c r="B23" s="143"/>
      <c r="Y23" s="144"/>
    </row>
    <row r="24" spans="2:32">
      <c r="B24" s="143"/>
      <c r="Y24" s="144"/>
    </row>
    <row r="25" spans="2:32">
      <c r="B25" s="143"/>
      <c r="D25" s="35" t="s">
        <v>173</v>
      </c>
      <c r="Y25" s="144"/>
    </row>
    <row r="26" spans="2:32">
      <c r="B26" s="143"/>
      <c r="C26" s="232" t="s">
        <v>183</v>
      </c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144"/>
      <c r="AF26" s="35" t="s">
        <v>173</v>
      </c>
    </row>
    <row r="27" spans="2:32">
      <c r="B27" s="143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144"/>
    </row>
    <row r="28" spans="2:32">
      <c r="B28" s="143"/>
      <c r="Y28" s="144"/>
    </row>
    <row r="29" spans="2:32">
      <c r="B29" s="143"/>
      <c r="Y29" s="144"/>
    </row>
    <row r="30" spans="2:32">
      <c r="B30" s="143"/>
      <c r="Y30" s="144"/>
    </row>
    <row r="31" spans="2:32">
      <c r="B31" s="143"/>
      <c r="Y31" s="144"/>
    </row>
    <row r="32" spans="2:32">
      <c r="B32" s="143"/>
      <c r="Y32" s="144"/>
    </row>
    <row r="33" spans="2:25">
      <c r="B33" s="143"/>
      <c r="Y33" s="144"/>
    </row>
    <row r="34" spans="2:25">
      <c r="B34" s="143"/>
      <c r="I34" s="145"/>
      <c r="M34" s="146"/>
      <c r="Y34" s="144"/>
    </row>
    <row r="35" spans="2:25">
      <c r="B35" s="143"/>
      <c r="Y35" s="144"/>
    </row>
    <row r="36" spans="2:25">
      <c r="B36" s="143"/>
      <c r="Y36" s="144"/>
    </row>
    <row r="37" spans="2:25">
      <c r="B37" s="143"/>
      <c r="Y37" s="144"/>
    </row>
    <row r="38" spans="2:25">
      <c r="B38" s="143"/>
      <c r="Y38" s="144"/>
    </row>
    <row r="39" spans="2:25">
      <c r="B39" s="143"/>
      <c r="Y39" s="144"/>
    </row>
    <row r="40" spans="2:25">
      <c r="B40" s="143"/>
      <c r="Y40" s="144"/>
    </row>
    <row r="41" spans="2:25">
      <c r="B41" s="143"/>
      <c r="Y41" s="144"/>
    </row>
    <row r="42" spans="2:25">
      <c r="B42" s="143"/>
      <c r="Y42" s="144"/>
    </row>
    <row r="43" spans="2:25">
      <c r="B43" s="143"/>
      <c r="Y43" s="144"/>
    </row>
    <row r="44" spans="2:25">
      <c r="B44" s="143"/>
      <c r="Y44" s="144"/>
    </row>
    <row r="45" spans="2:25">
      <c r="B45" s="143"/>
      <c r="Y45" s="144"/>
    </row>
    <row r="46" spans="2:25">
      <c r="B46" s="143"/>
      <c r="Y46" s="144"/>
    </row>
    <row r="47" spans="2:25">
      <c r="B47" s="143"/>
      <c r="Y47" s="144"/>
    </row>
    <row r="48" spans="2:25">
      <c r="B48" s="143"/>
      <c r="Y48" s="144"/>
    </row>
    <row r="49" spans="2:25">
      <c r="B49" s="143"/>
      <c r="C49" s="228" t="s">
        <v>225</v>
      </c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144"/>
    </row>
    <row r="50" spans="2:25">
      <c r="B50" s="143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144"/>
    </row>
    <row r="51" spans="2:25" ht="13.5" customHeight="1">
      <c r="B51" s="143"/>
      <c r="Y51" s="144"/>
    </row>
    <row r="52" spans="2:25">
      <c r="B52" s="143"/>
      <c r="Y52" s="144"/>
    </row>
    <row r="53" spans="2:25">
      <c r="B53" s="143"/>
      <c r="Y53" s="144"/>
    </row>
    <row r="54" spans="2:25">
      <c r="B54" s="143"/>
      <c r="Y54" s="144"/>
    </row>
    <row r="55" spans="2:25">
      <c r="B55" s="143"/>
      <c r="Y55" s="144"/>
    </row>
    <row r="56" spans="2:25">
      <c r="B56" s="143"/>
      <c r="Y56" s="144"/>
    </row>
    <row r="57" spans="2:25">
      <c r="B57" s="143"/>
      <c r="Y57" s="144"/>
    </row>
    <row r="58" spans="2:25">
      <c r="B58" s="143"/>
      <c r="Y58" s="144"/>
    </row>
    <row r="59" spans="2:25">
      <c r="B59" s="143"/>
      <c r="Y59" s="144"/>
    </row>
    <row r="60" spans="2:25">
      <c r="B60" s="143"/>
      <c r="Y60" s="144"/>
    </row>
    <row r="61" spans="2:25">
      <c r="B61" s="143"/>
      <c r="Y61" s="144"/>
    </row>
    <row r="62" spans="2:25">
      <c r="B62" s="143"/>
      <c r="Y62" s="144"/>
    </row>
    <row r="63" spans="2:25">
      <c r="B63" s="143"/>
      <c r="Y63" s="144"/>
    </row>
    <row r="64" spans="2:25">
      <c r="B64" s="143"/>
      <c r="Y64" s="144"/>
    </row>
    <row r="65" spans="2:25">
      <c r="B65" s="143"/>
      <c r="Y65" s="144"/>
    </row>
    <row r="66" spans="2:25">
      <c r="B66" s="143"/>
      <c r="Y66" s="144"/>
    </row>
    <row r="67" spans="2:25">
      <c r="B67" s="143"/>
      <c r="Y67" s="144"/>
    </row>
    <row r="68" spans="2:25">
      <c r="B68" s="143"/>
      <c r="Y68" s="144"/>
    </row>
    <row r="69" spans="2:25">
      <c r="B69" s="143"/>
      <c r="Y69" s="144"/>
    </row>
    <row r="70" spans="2:25">
      <c r="B70" s="143"/>
      <c r="Y70" s="144"/>
    </row>
    <row r="71" spans="2:25">
      <c r="B71" s="143"/>
      <c r="Y71" s="144"/>
    </row>
    <row r="72" spans="2:25">
      <c r="B72" s="143"/>
      <c r="Y72" s="144"/>
    </row>
    <row r="73" spans="2:25">
      <c r="B73" s="143"/>
      <c r="Y73" s="144"/>
    </row>
    <row r="74" spans="2:25">
      <c r="B74" s="143"/>
      <c r="Y74" s="144"/>
    </row>
    <row r="75" spans="2:25">
      <c r="B75" s="143"/>
      <c r="Y75" s="144"/>
    </row>
    <row r="76" spans="2:25">
      <c r="B76" s="143"/>
      <c r="Y76" s="144"/>
    </row>
    <row r="77" spans="2:25">
      <c r="B77" s="143"/>
      <c r="Y77" s="144"/>
    </row>
    <row r="78" spans="2:25">
      <c r="B78" s="143"/>
      <c r="C78" s="228" t="s">
        <v>182</v>
      </c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144"/>
    </row>
    <row r="79" spans="2:25">
      <c r="B79" s="143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144"/>
    </row>
    <row r="80" spans="2:25">
      <c r="B80" s="143"/>
      <c r="Y80" s="144"/>
    </row>
    <row r="81" spans="2:25">
      <c r="B81" s="143"/>
      <c r="Y81" s="144"/>
    </row>
    <row r="82" spans="2:25">
      <c r="B82" s="143"/>
      <c r="Y82" s="144"/>
    </row>
    <row r="83" spans="2:25">
      <c r="B83" s="143"/>
      <c r="Y83" s="144"/>
    </row>
    <row r="84" spans="2:25">
      <c r="B84" s="143"/>
      <c r="Y84" s="144"/>
    </row>
    <row r="85" spans="2:25">
      <c r="B85" s="143"/>
      <c r="Y85" s="144"/>
    </row>
    <row r="86" spans="2:25">
      <c r="B86" s="143"/>
      <c r="Y86" s="144"/>
    </row>
    <row r="87" spans="2:25">
      <c r="B87" s="143"/>
      <c r="Y87" s="144"/>
    </row>
    <row r="88" spans="2:25">
      <c r="B88" s="143"/>
      <c r="Y88" s="144"/>
    </row>
    <row r="89" spans="2:25">
      <c r="B89" s="143"/>
      <c r="Y89" s="144"/>
    </row>
    <row r="90" spans="2:25">
      <c r="B90" s="143"/>
      <c r="Y90" s="144"/>
    </row>
    <row r="91" spans="2:25">
      <c r="B91" s="143"/>
      <c r="Y91" s="144"/>
    </row>
    <row r="92" spans="2:25">
      <c r="B92" s="143"/>
      <c r="Y92" s="144"/>
    </row>
    <row r="93" spans="2:25">
      <c r="B93" s="143"/>
      <c r="Y93" s="144"/>
    </row>
    <row r="94" spans="2:25">
      <c r="B94" s="143"/>
      <c r="Y94" s="144"/>
    </row>
    <row r="95" spans="2:25">
      <c r="B95" s="143"/>
      <c r="Y95" s="144"/>
    </row>
    <row r="96" spans="2:25">
      <c r="B96" s="143"/>
      <c r="Y96" s="144"/>
    </row>
    <row r="97" spans="2:25">
      <c r="B97" s="143"/>
      <c r="Y97" s="144"/>
    </row>
    <row r="98" spans="2:25">
      <c r="B98" s="143"/>
      <c r="Y98" s="144"/>
    </row>
    <row r="99" spans="2:25">
      <c r="B99" s="143"/>
      <c r="Y99" s="144"/>
    </row>
    <row r="100" spans="2:25">
      <c r="B100" s="143"/>
      <c r="Y100" s="144"/>
    </row>
    <row r="101" spans="2:25">
      <c r="B101" s="143"/>
      <c r="Y101" s="144"/>
    </row>
    <row r="102" spans="2:25">
      <c r="B102" s="143"/>
      <c r="C102" s="228" t="s">
        <v>196</v>
      </c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144"/>
    </row>
    <row r="103" spans="2:25">
      <c r="B103" s="143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144"/>
    </row>
    <row r="104" spans="2:25">
      <c r="B104" s="143"/>
      <c r="Y104" s="144"/>
    </row>
    <row r="105" spans="2:25">
      <c r="B105" s="143"/>
      <c r="Y105" s="144"/>
    </row>
    <row r="106" spans="2:25">
      <c r="B106" s="143"/>
      <c r="Y106" s="144"/>
    </row>
    <row r="107" spans="2:25">
      <c r="B107" s="143"/>
      <c r="Y107" s="144"/>
    </row>
    <row r="108" spans="2:25">
      <c r="B108" s="143"/>
      <c r="Y108" s="144"/>
    </row>
    <row r="109" spans="2:25">
      <c r="B109" s="143"/>
      <c r="Y109" s="144"/>
    </row>
    <row r="110" spans="2:25">
      <c r="B110" s="143"/>
      <c r="Y110" s="144"/>
    </row>
    <row r="111" spans="2:25">
      <c r="B111" s="143"/>
      <c r="Y111" s="144"/>
    </row>
    <row r="112" spans="2:25">
      <c r="B112" s="143"/>
      <c r="Y112" s="144"/>
    </row>
    <row r="113" spans="2:25">
      <c r="B113" s="143"/>
      <c r="Y113" s="144"/>
    </row>
    <row r="114" spans="2:25">
      <c r="B114" s="143"/>
      <c r="Y114" s="144"/>
    </row>
    <row r="115" spans="2:25">
      <c r="B115" s="143"/>
      <c r="Y115" s="144"/>
    </row>
    <row r="116" spans="2:25">
      <c r="B116" s="143"/>
      <c r="Y116" s="144"/>
    </row>
    <row r="117" spans="2:25">
      <c r="B117" s="143"/>
      <c r="Y117" s="144"/>
    </row>
    <row r="118" spans="2:25">
      <c r="B118" s="143"/>
      <c r="Y118" s="144"/>
    </row>
    <row r="119" spans="2:25">
      <c r="B119" s="143"/>
      <c r="Y119" s="144"/>
    </row>
    <row r="120" spans="2:25">
      <c r="B120" s="143"/>
      <c r="Y120" s="144"/>
    </row>
    <row r="121" spans="2:25">
      <c r="B121" s="143"/>
      <c r="Y121" s="144"/>
    </row>
    <row r="122" spans="2:25">
      <c r="B122" s="143"/>
      <c r="Y122" s="144"/>
    </row>
    <row r="123" spans="2:25">
      <c r="B123" s="143"/>
      <c r="Y123" s="144"/>
    </row>
    <row r="124" spans="2:25">
      <c r="B124" s="143"/>
      <c r="Y124" s="144"/>
    </row>
    <row r="125" spans="2:25">
      <c r="B125" s="143"/>
      <c r="Y125" s="144"/>
    </row>
    <row r="126" spans="2:25">
      <c r="B126" s="143"/>
      <c r="Y126" s="144"/>
    </row>
    <row r="127" spans="2:25">
      <c r="B127" s="143"/>
      <c r="Y127" s="144"/>
    </row>
    <row r="128" spans="2:25">
      <c r="B128" s="143"/>
      <c r="Y128" s="144"/>
    </row>
    <row r="129" spans="2:25">
      <c r="B129" s="143"/>
      <c r="Y129" s="144"/>
    </row>
    <row r="130" spans="2:25">
      <c r="B130" s="143"/>
      <c r="C130" s="228" t="s">
        <v>220</v>
      </c>
      <c r="D130" s="229"/>
      <c r="E130" s="229"/>
      <c r="F130" s="229"/>
      <c r="G130" s="229"/>
      <c r="H130" s="229"/>
      <c r="I130" s="229"/>
      <c r="J130" s="229"/>
      <c r="K130" s="229"/>
      <c r="L130" s="229"/>
      <c r="M130" s="229"/>
      <c r="N130" s="229"/>
      <c r="O130" s="229"/>
      <c r="P130" s="229"/>
      <c r="Q130" s="229"/>
      <c r="R130" s="229"/>
      <c r="S130" s="229"/>
      <c r="T130" s="229"/>
      <c r="U130" s="229"/>
      <c r="V130" s="229"/>
      <c r="W130" s="229"/>
      <c r="X130" s="229"/>
      <c r="Y130" s="144"/>
    </row>
    <row r="131" spans="2:25">
      <c r="B131" s="143"/>
      <c r="C131" s="229"/>
      <c r="D131" s="229"/>
      <c r="E131" s="229"/>
      <c r="F131" s="229"/>
      <c r="G131" s="229"/>
      <c r="H131" s="229"/>
      <c r="I131" s="229"/>
      <c r="J131" s="229"/>
      <c r="K131" s="229"/>
      <c r="L131" s="229"/>
      <c r="M131" s="229"/>
      <c r="N131" s="229"/>
      <c r="O131" s="229"/>
      <c r="P131" s="229"/>
      <c r="Q131" s="229"/>
      <c r="R131" s="229"/>
      <c r="S131" s="229"/>
      <c r="T131" s="229"/>
      <c r="U131" s="229"/>
      <c r="V131" s="229"/>
      <c r="W131" s="229"/>
      <c r="X131" s="229"/>
      <c r="Y131" s="144"/>
    </row>
    <row r="132" spans="2:25">
      <c r="B132" s="143"/>
      <c r="Y132" s="144"/>
    </row>
    <row r="133" spans="2:25">
      <c r="B133" s="143"/>
      <c r="Y133" s="144"/>
    </row>
    <row r="134" spans="2:25">
      <c r="B134" s="143"/>
      <c r="Y134" s="144"/>
    </row>
    <row r="135" spans="2:25">
      <c r="B135" s="143"/>
      <c r="Y135" s="144"/>
    </row>
    <row r="136" spans="2:25">
      <c r="B136" s="143"/>
      <c r="Y136" s="144"/>
    </row>
    <row r="137" spans="2:25">
      <c r="B137" s="143"/>
      <c r="Y137" s="144"/>
    </row>
    <row r="138" spans="2:25">
      <c r="B138" s="143"/>
      <c r="Y138" s="144"/>
    </row>
    <row r="139" spans="2:25" ht="38.25" customHeight="1">
      <c r="B139" s="143"/>
      <c r="J139" s="246" t="s">
        <v>11</v>
      </c>
      <c r="K139" s="247"/>
      <c r="L139" s="7" t="s">
        <v>221</v>
      </c>
      <c r="M139" s="244" t="s">
        <v>160</v>
      </c>
      <c r="N139" s="245"/>
      <c r="Y139" s="144"/>
    </row>
    <row r="140" spans="2:25" ht="27" customHeight="1">
      <c r="B140" s="143"/>
      <c r="J140" s="230" t="str">
        <f>Analysis!D$3</f>
        <v>Telecommunication Services</v>
      </c>
      <c r="K140" s="231"/>
      <c r="L140" s="78">
        <f>SUMIF('Investment Data'!$P$3:$P$129,Dashboard!$J140,'Investment Data'!$G$3:$G$129)</f>
        <v>24027</v>
      </c>
      <c r="M140" s="234">
        <f t="shared" ref="M140:M152" si="0">L140/SUM($L$140:$L$152)</f>
        <v>4.2706694750313273E-2</v>
      </c>
      <c r="N140" s="235"/>
      <c r="R140" s="35" t="s">
        <v>173</v>
      </c>
      <c r="Y140" s="144"/>
    </row>
    <row r="141" spans="2:25" ht="12.75" customHeight="1">
      <c r="B141" s="143"/>
      <c r="J141" s="230" t="str">
        <f>Analysis!E3</f>
        <v>Utilities</v>
      </c>
      <c r="K141" s="231"/>
      <c r="L141" s="78">
        <f>SUMIF('Investment Data'!$P$3:$P$129,Dashboard!$J141,'Investment Data'!$G$3:$G$129)</f>
        <v>15428</v>
      </c>
      <c r="M141" s="234">
        <f t="shared" si="0"/>
        <v>2.7422436700704756E-2</v>
      </c>
      <c r="N141" s="235"/>
      <c r="Y141" s="144"/>
    </row>
    <row r="142" spans="2:25" ht="13.8">
      <c r="B142" s="143"/>
      <c r="J142" s="230" t="str">
        <f>Analysis!F3</f>
        <v>Consumer Staples</v>
      </c>
      <c r="K142" s="231"/>
      <c r="L142" s="78">
        <f>SUMIF('Investment Data'!$P$3:$P$129,Dashboard!$J142,'Investment Data'!$G$3:$G$129)</f>
        <v>113059</v>
      </c>
      <c r="M142" s="234">
        <f t="shared" si="0"/>
        <v>0.2009562659414687</v>
      </c>
      <c r="N142" s="235"/>
      <c r="Y142" s="144"/>
    </row>
    <row r="143" spans="2:25" ht="12.75" customHeight="1">
      <c r="B143" s="143"/>
      <c r="J143" s="230" t="str">
        <f>Analysis!G3</f>
        <v>Industrials</v>
      </c>
      <c r="K143" s="231"/>
      <c r="L143" s="78">
        <f>SUMIF('Investment Data'!$P$3:$P$129,Dashboard!$J143,'Investment Data'!$G$3:$G$129)</f>
        <v>65950</v>
      </c>
      <c r="M143" s="234">
        <f t="shared" si="0"/>
        <v>0.1172225628993699</v>
      </c>
      <c r="N143" s="235"/>
      <c r="Y143" s="144"/>
    </row>
    <row r="144" spans="2:25" ht="12.75" customHeight="1">
      <c r="B144" s="143"/>
      <c r="J144" s="230" t="str">
        <f>Analysis!H3</f>
        <v>Consumer Discretionary</v>
      </c>
      <c r="K144" s="231"/>
      <c r="L144" s="78">
        <f>SUMIF('Investment Data'!$P$3:$P$129,Dashboard!$J144,'Investment Data'!$G$3:$G$129)</f>
        <v>104009</v>
      </c>
      <c r="M144" s="234">
        <f t="shared" si="0"/>
        <v>0.1848703797513353</v>
      </c>
      <c r="N144" s="235"/>
      <c r="Y144" s="144"/>
    </row>
    <row r="145" spans="2:25" ht="12.75" customHeight="1">
      <c r="B145" s="143"/>
      <c r="J145" s="230" t="str">
        <f>Analysis!I3</f>
        <v>Energy</v>
      </c>
      <c r="K145" s="231"/>
      <c r="L145" s="78">
        <f>SUMIF('Investment Data'!$P$3:$P$129,Dashboard!$J145,'Investment Data'!$G$3:$G$129)</f>
        <v>29643</v>
      </c>
      <c r="M145" s="234">
        <f t="shared" si="0"/>
        <v>5.2688831418135282E-2</v>
      </c>
      <c r="N145" s="235"/>
      <c r="Y145" s="144"/>
    </row>
    <row r="146" spans="2:25" ht="12.75" customHeight="1">
      <c r="B146" s="143"/>
      <c r="J146" s="230" t="str">
        <f>Analysis!J3</f>
        <v>Financials</v>
      </c>
      <c r="K146" s="231"/>
      <c r="L146" s="78">
        <f>SUMIF('Investment Data'!$P$3:$P$129,Dashboard!$J146,'Investment Data'!$G$3:$G$129)</f>
        <v>29814</v>
      </c>
      <c r="M146" s="234">
        <f t="shared" si="0"/>
        <v>5.2992774682059346E-2</v>
      </c>
      <c r="N146" s="235"/>
      <c r="Y146" s="144"/>
    </row>
    <row r="147" spans="2:25" ht="12.75" customHeight="1">
      <c r="B147" s="143"/>
      <c r="J147" s="230" t="str">
        <f>Analysis!K3</f>
        <v>Real Estate</v>
      </c>
      <c r="K147" s="231"/>
      <c r="L147" s="78">
        <f>SUMIF('Investment Data'!$P$3:$P$129,Dashboard!$J147,'Investment Data'!$G$3:$G$129)</f>
        <v>68473</v>
      </c>
      <c r="M147" s="234">
        <f t="shared" si="0"/>
        <v>0.12170705912674079</v>
      </c>
      <c r="N147" s="235"/>
      <c r="Y147" s="144"/>
    </row>
    <row r="148" spans="2:25" ht="12.75" customHeight="1">
      <c r="B148" s="143"/>
      <c r="J148" s="230" t="str">
        <f>Analysis!L3</f>
        <v>Information Technology</v>
      </c>
      <c r="K148" s="231"/>
      <c r="L148" s="78">
        <f>SUMIF('Investment Data'!$P$3:$P$129,Dashboard!$J148,'Investment Data'!$G$3:$G$129)</f>
        <v>44840</v>
      </c>
      <c r="M148" s="234">
        <f t="shared" si="0"/>
        <v>7.9700678095644364E-2</v>
      </c>
      <c r="N148" s="235"/>
      <c r="Y148" s="144"/>
    </row>
    <row r="149" spans="2:25" ht="12.75" customHeight="1">
      <c r="B149" s="143"/>
      <c r="J149" s="230" t="str">
        <f>Analysis!M3</f>
        <v>Materials</v>
      </c>
      <c r="K149" s="231"/>
      <c r="L149" s="78">
        <f>SUMIF('Investment Data'!$P$3:$P$129,Dashboard!$J149,'Investment Data'!$G$3:$G$129)</f>
        <v>4511</v>
      </c>
      <c r="M149" s="234">
        <f t="shared" si="0"/>
        <v>8.0180588512366573E-3</v>
      </c>
      <c r="N149" s="235"/>
      <c r="Y149" s="144"/>
    </row>
    <row r="150" spans="2:25" ht="12.75" customHeight="1">
      <c r="B150" s="143"/>
      <c r="J150" s="230" t="str">
        <f>Analysis!N3</f>
        <v>Health Care</v>
      </c>
      <c r="K150" s="231"/>
      <c r="L150" s="78">
        <f>SUMIF('Investment Data'!$P$3:$P$129,Dashboard!$J150,'Investment Data'!$G$3:$G$129)</f>
        <v>26515</v>
      </c>
      <c r="M150" s="234">
        <f t="shared" si="0"/>
        <v>4.7128980368109065E-2</v>
      </c>
      <c r="N150" s="235"/>
      <c r="Y150" s="144"/>
    </row>
    <row r="151" spans="2:25" ht="12.75" customHeight="1">
      <c r="B151" s="143"/>
      <c r="J151" s="230" t="str">
        <f>Analysis!O3</f>
        <v>Other</v>
      </c>
      <c r="K151" s="231"/>
      <c r="L151" s="78">
        <f>SUMIF('Investment Data'!$P$3:$P$129,Dashboard!$J151,'Investment Data'!$G$3:$G$129)</f>
        <v>660</v>
      </c>
      <c r="M151" s="234">
        <f t="shared" si="0"/>
        <v>1.173114351987629E-3</v>
      </c>
      <c r="N151" s="235"/>
      <c r="Y151" s="144"/>
    </row>
    <row r="152" spans="2:25" ht="13.8">
      <c r="B152" s="143"/>
      <c r="J152" s="230" t="str">
        <f>Analysis!P3</f>
        <v>ETF</v>
      </c>
      <c r="K152" s="231"/>
      <c r="L152" s="78">
        <f>SUMIF('Investment Data'!$P$3:$P$129,Dashboard!$J152,'Investment Data'!$G$3:$G$129)</f>
        <v>35676</v>
      </c>
      <c r="M152" s="234">
        <f t="shared" si="0"/>
        <v>6.3412163062894933E-2</v>
      </c>
      <c r="N152" s="235"/>
      <c r="Y152" s="144"/>
    </row>
    <row r="153" spans="2:25" ht="7.5" customHeight="1">
      <c r="B153" s="143"/>
      <c r="Y153" s="144"/>
    </row>
    <row r="154" spans="2:25" ht="12.75" customHeight="1">
      <c r="B154" s="143"/>
      <c r="C154" s="236" t="s">
        <v>157</v>
      </c>
      <c r="D154" s="236"/>
      <c r="Y154" s="144"/>
    </row>
    <row r="155" spans="2:25" ht="13.5" customHeight="1" thickBot="1">
      <c r="B155" s="143"/>
      <c r="C155" s="237"/>
      <c r="D155" s="237"/>
      <c r="Y155" s="144"/>
    </row>
    <row r="156" spans="2:25" ht="13.5" customHeight="1" thickTop="1">
      <c r="B156" s="143"/>
      <c r="C156" s="238" t="s">
        <v>29</v>
      </c>
      <c r="D156" s="239"/>
      <c r="Y156" s="144"/>
    </row>
    <row r="157" spans="2:25" ht="12.75" customHeight="1">
      <c r="B157" s="143"/>
      <c r="C157" s="240"/>
      <c r="D157" s="241"/>
      <c r="Y157" s="144"/>
    </row>
    <row r="158" spans="2:25" ht="12.75" customHeight="1">
      <c r="B158" s="143"/>
      <c r="C158" s="240"/>
      <c r="D158" s="241"/>
      <c r="Y158" s="144"/>
    </row>
    <row r="159" spans="2:25" ht="13.5" customHeight="1" thickBot="1">
      <c r="B159" s="143"/>
      <c r="C159" s="242"/>
      <c r="D159" s="243"/>
      <c r="Y159" s="144"/>
    </row>
    <row r="160" spans="2:25" ht="13.8" thickTop="1">
      <c r="B160" s="143"/>
      <c r="Y160" s="144"/>
    </row>
    <row r="161" spans="2:25">
      <c r="B161" s="143"/>
      <c r="Y161" s="144"/>
    </row>
    <row r="162" spans="2:25">
      <c r="B162" s="143"/>
      <c r="Q162" s="35" t="s">
        <v>173</v>
      </c>
      <c r="Y162" s="144"/>
    </row>
    <row r="163" spans="2:25">
      <c r="B163" s="143"/>
      <c r="Y163" s="144"/>
    </row>
    <row r="164" spans="2:25">
      <c r="B164" s="143"/>
      <c r="Y164" s="144"/>
    </row>
    <row r="165" spans="2:25">
      <c r="B165" s="143"/>
      <c r="Y165" s="144"/>
    </row>
    <row r="166" spans="2:25">
      <c r="B166" s="143"/>
      <c r="Y166" s="144"/>
    </row>
    <row r="167" spans="2:25">
      <c r="B167" s="143"/>
      <c r="Y167" s="144"/>
    </row>
    <row r="168" spans="2:25">
      <c r="B168" s="143"/>
      <c r="Y168" s="144"/>
    </row>
    <row r="169" spans="2:25">
      <c r="B169" s="143"/>
      <c r="Y169" s="144"/>
    </row>
    <row r="170" spans="2:25">
      <c r="B170" s="143"/>
      <c r="Y170" s="144"/>
    </row>
    <row r="171" spans="2:25">
      <c r="B171" s="143"/>
      <c r="Y171" s="144"/>
    </row>
    <row r="172" spans="2:25">
      <c r="B172" s="143"/>
      <c r="Y172" s="144"/>
    </row>
    <row r="173" spans="2:25">
      <c r="B173" s="143"/>
      <c r="Y173" s="144"/>
    </row>
    <row r="174" spans="2:25">
      <c r="B174" s="143"/>
      <c r="Y174" s="144"/>
    </row>
    <row r="175" spans="2:25" ht="13.8" thickBot="1">
      <c r="B175" s="147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9"/>
    </row>
    <row r="199" ht="2.25" customHeight="1"/>
    <row r="218"/>
  </sheetData>
  <mergeCells count="36">
    <mergeCell ref="C154:D155"/>
    <mergeCell ref="C156:D159"/>
    <mergeCell ref="M140:N140"/>
    <mergeCell ref="M139:N139"/>
    <mergeCell ref="J139:K139"/>
    <mergeCell ref="M148:N148"/>
    <mergeCell ref="M149:N149"/>
    <mergeCell ref="M152:N152"/>
    <mergeCell ref="M143:N143"/>
    <mergeCell ref="M144:N144"/>
    <mergeCell ref="M145:N145"/>
    <mergeCell ref="M146:N146"/>
    <mergeCell ref="M147:N147"/>
    <mergeCell ref="J142:K142"/>
    <mergeCell ref="J148:K148"/>
    <mergeCell ref="J149:K149"/>
    <mergeCell ref="J152:K152"/>
    <mergeCell ref="M141:N141"/>
    <mergeCell ref="M142:N142"/>
    <mergeCell ref="J150:K150"/>
    <mergeCell ref="J151:K151"/>
    <mergeCell ref="M150:N150"/>
    <mergeCell ref="M151:N151"/>
    <mergeCell ref="J143:K143"/>
    <mergeCell ref="J144:K144"/>
    <mergeCell ref="J145:K145"/>
    <mergeCell ref="J146:K146"/>
    <mergeCell ref="J147:K147"/>
    <mergeCell ref="C3:X5"/>
    <mergeCell ref="C130:X131"/>
    <mergeCell ref="C102:X103"/>
    <mergeCell ref="J140:K140"/>
    <mergeCell ref="J141:K141"/>
    <mergeCell ref="C78:X79"/>
    <mergeCell ref="C26:X27"/>
    <mergeCell ref="C49:X50"/>
  </mergeCells>
  <conditionalFormatting sqref="M140:N15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{EB44AC7D-64DE-40CD-9F54-A8DD2641B387}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38" r:id="rId3" name="Option Button 114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83820</xdr:rowOff>
                  </from>
                  <to>
                    <xdr:col>5</xdr:col>
                    <xdr:colOff>236220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4" name="Option Button 116">
              <controlPr defaultSize="0" autoFill="0" autoLine="0" autoPict="0" altText="2024">
                <anchor moveWithCells="1">
                  <from>
                    <xdr:col>6</xdr:col>
                    <xdr:colOff>190500</xdr:colOff>
                    <xdr:row>8</xdr:row>
                    <xdr:rowOff>83820</xdr:rowOff>
                  </from>
                  <to>
                    <xdr:col>6</xdr:col>
                    <xdr:colOff>411480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" name="Option Button 117">
              <controlPr defaultSize="0" autoFill="0" autoLine="0" autoPict="0">
                <anchor moveWithCells="1">
                  <from>
                    <xdr:col>7</xdr:col>
                    <xdr:colOff>365760</xdr:colOff>
                    <xdr:row>8</xdr:row>
                    <xdr:rowOff>83820</xdr:rowOff>
                  </from>
                  <to>
                    <xdr:col>7</xdr:col>
                    <xdr:colOff>563880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" name="Option Button 118">
              <controlPr defaultSize="0" autoFill="0" autoLine="0" autoPict="0">
                <anchor moveWithCells="1">
                  <from>
                    <xdr:col>8</xdr:col>
                    <xdr:colOff>594360</xdr:colOff>
                    <xdr:row>8</xdr:row>
                    <xdr:rowOff>83820</xdr:rowOff>
                  </from>
                  <to>
                    <xdr:col>9</xdr:col>
                    <xdr:colOff>220980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" name="Option Button 119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83820</xdr:rowOff>
                  </from>
                  <to>
                    <xdr:col>10</xdr:col>
                    <xdr:colOff>304800</xdr:colOff>
                    <xdr:row>10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44AC7D-64DE-40CD-9F54-A8DD2641B3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M140:N152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5FDB18-6964-476C-84DF-197B73E83D1F}">
          <x14:formula1>
            <xm:f>Analysis!$D$3:$P$3</xm:f>
          </x14:formula1>
          <xm:sqref>C156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29"/>
  <sheetViews>
    <sheetView workbookViewId="0">
      <pane ySplit="2" topLeftCell="A3" activePane="bottomLeft" state="frozen"/>
      <selection pane="bottomLeft" activeCell="G3" sqref="G3"/>
    </sheetView>
  </sheetViews>
  <sheetFormatPr defaultColWidth="14.44140625" defaultRowHeight="15.75" customHeight="1"/>
  <cols>
    <col min="1" max="4" width="10.44140625" style="30" customWidth="1"/>
    <col min="5" max="6" width="8.44140625" style="30" customWidth="1"/>
    <col min="7" max="7" width="12" style="30" customWidth="1"/>
    <col min="8" max="8" width="17.6640625" style="30" bestFit="1" customWidth="1"/>
    <col min="9" max="9" width="19.44140625" style="30" bestFit="1" customWidth="1"/>
    <col min="10" max="10" width="16" style="30" customWidth="1"/>
    <col min="11" max="11" width="16.5546875" style="30" bestFit="1" customWidth="1"/>
    <col min="12" max="12" width="14.88671875" style="30" hidden="1" customWidth="1"/>
    <col min="13" max="13" width="11.109375" style="30" customWidth="1"/>
    <col min="14" max="14" width="8.6640625" style="30" customWidth="1"/>
    <col min="15" max="15" width="14" style="30" customWidth="1"/>
    <col min="16" max="16" width="38" style="30" customWidth="1"/>
    <col min="17" max="17" width="17.109375" style="30" customWidth="1"/>
    <col min="18" max="18" width="9.5546875" style="30" customWidth="1"/>
    <col min="19" max="19" width="17.44140625" style="30" bestFit="1" customWidth="1"/>
    <col min="20" max="20" width="8.88671875" style="30" customWidth="1"/>
    <col min="21" max="21" width="10.109375" style="30" customWidth="1"/>
    <col min="22" max="22" width="17.5546875" style="30" hidden="1" customWidth="1"/>
    <col min="23" max="16384" width="14.44140625" style="30"/>
  </cols>
  <sheetData>
    <row r="1" spans="1:23" ht="15.75" customHeight="1">
      <c r="A1" s="21" t="s">
        <v>0</v>
      </c>
      <c r="B1" s="21"/>
      <c r="C1" s="21"/>
      <c r="D1" s="21"/>
      <c r="E1" s="22"/>
      <c r="F1" s="23"/>
      <c r="G1" s="23"/>
      <c r="H1" s="24"/>
      <c r="I1" s="25"/>
      <c r="J1" s="25"/>
      <c r="K1" s="25"/>
      <c r="L1" s="26"/>
      <c r="M1" s="26"/>
      <c r="N1" s="27"/>
      <c r="O1" s="27"/>
      <c r="P1" s="27"/>
      <c r="Q1" s="27"/>
      <c r="R1" s="27"/>
      <c r="S1" s="27"/>
      <c r="T1" s="28"/>
      <c r="U1" s="27"/>
      <c r="V1" s="29"/>
    </row>
    <row r="2" spans="1:23" ht="32.25" customHeight="1">
      <c r="A2" s="13" t="s">
        <v>1</v>
      </c>
      <c r="B2" s="13" t="s">
        <v>167</v>
      </c>
      <c r="C2" s="13" t="s">
        <v>186</v>
      </c>
      <c r="D2" s="13" t="s">
        <v>171</v>
      </c>
      <c r="E2" s="14" t="s">
        <v>2</v>
      </c>
      <c r="F2" s="15" t="s">
        <v>3</v>
      </c>
      <c r="G2" s="15" t="s">
        <v>4</v>
      </c>
      <c r="H2" s="14" t="s">
        <v>5</v>
      </c>
      <c r="I2" s="15" t="s">
        <v>6</v>
      </c>
      <c r="J2" s="15" t="s">
        <v>165</v>
      </c>
      <c r="K2" s="15" t="s">
        <v>7</v>
      </c>
      <c r="L2" s="16" t="s">
        <v>8</v>
      </c>
      <c r="M2" s="17" t="s">
        <v>9</v>
      </c>
      <c r="N2" s="14" t="s">
        <v>10</v>
      </c>
      <c r="O2" s="18" t="s">
        <v>168</v>
      </c>
      <c r="P2" s="18" t="s">
        <v>11</v>
      </c>
      <c r="Q2" s="14" t="s">
        <v>197</v>
      </c>
      <c r="R2" s="14" t="s">
        <v>184</v>
      </c>
      <c r="S2" s="14" t="s">
        <v>12</v>
      </c>
      <c r="T2" s="19" t="s">
        <v>13</v>
      </c>
      <c r="U2" s="14" t="s">
        <v>14</v>
      </c>
      <c r="V2" s="20" t="s">
        <v>15</v>
      </c>
      <c r="W2"/>
    </row>
    <row r="3" spans="1:23" ht="15.75" customHeight="1">
      <c r="A3" s="161" t="str">
        <f>HYPERLINK("http://www.thedividendpig.com/dividend-stocks/technology/telecom-services-domestic/t-atandt-inc/","T")</f>
        <v>T</v>
      </c>
      <c r="B3" s="162">
        <v>44197</v>
      </c>
      <c r="C3" s="163">
        <f>YEAR($B3)</f>
        <v>2021</v>
      </c>
      <c r="D3" s="162"/>
      <c r="E3" s="163">
        <f>61+30+50+49+30+1+20+37+26+20+5+4+5+10+30+10+5+1</f>
        <v>394</v>
      </c>
      <c r="F3" s="204">
        <v>58</v>
      </c>
      <c r="G3" s="204">
        <f t="shared" ref="G3:G34" si="0">F3*E3</f>
        <v>22852</v>
      </c>
      <c r="H3" s="165">
        <v>349</v>
      </c>
      <c r="I3" s="204">
        <f>983.07+493.64+1095.3+1995.5+1646.89+1085.7+714.8+1358.27+859.04+651.2+157.95+304.6+913.8+298.6</f>
        <v>12558.36</v>
      </c>
      <c r="J3" s="204">
        <f t="shared" ref="J3:J34" si="1">I3/H3</f>
        <v>35.983839541547283</v>
      </c>
      <c r="K3" s="204">
        <v>21.9</v>
      </c>
      <c r="L3" s="166" t="str">
        <f ca="1">IFERROR(__xludf.DUMMYFUNCTION("GoogleFinance(A3,""change"") &amp; ""  ("" &amp; GoogleFinance(A3,""changepct"") &amp; ""%)"""),"0.37  (1.16%)")</f>
        <v>0.37  (1.16%)</v>
      </c>
      <c r="M3" s="166">
        <f t="shared" ref="M3:M34" si="2">G3-(I3+K3)</f>
        <v>10271.74</v>
      </c>
      <c r="N3" s="167">
        <f t="shared" ref="N3:N34" si="3">(G3-I3)/I3</f>
        <v>0.81966435107768842</v>
      </c>
      <c r="O3" s="164" t="str">
        <f>_xlfn.IFS(N3&lt;0.05,"High Risk",N3&lt;0.25,"Medium Risk",N3&gt;0.25,"Low Risk")</f>
        <v>Low Risk</v>
      </c>
      <c r="P3" s="164" t="s">
        <v>16</v>
      </c>
      <c r="Q3" s="165">
        <v>0.51</v>
      </c>
      <c r="R3" s="165">
        <f t="shared" ref="R3:R34" si="4">Q3*4*E3</f>
        <v>803.76</v>
      </c>
      <c r="S3" s="168">
        <f t="shared" ref="S3:S14" si="5">(Q3*4)/F3</f>
        <v>3.5172413793103451E-2</v>
      </c>
      <c r="T3" s="168">
        <f t="shared" ref="T3:T14" si="6">(Q3*4)/(I3/H3)</f>
        <v>5.6692115849521746E-2</v>
      </c>
      <c r="U3" s="168">
        <f>$G3/SUM($G$3:$G$129)</f>
        <v>4.0618195714577726E-2</v>
      </c>
      <c r="V3" s="169">
        <f t="shared" ref="V3:V14" si="7">(Q3*4)*E3</f>
        <v>803.76</v>
      </c>
      <c r="W3"/>
    </row>
    <row r="4" spans="1:23" ht="15.75" customHeight="1">
      <c r="A4" s="161" t="str">
        <f>HYPERLINK("http://www.thedividendpig.com/dividend-stocks/utilities/electric-utilities/duk-duke-energy-corp/","DUK")</f>
        <v>DUK</v>
      </c>
      <c r="B4" s="162">
        <v>44197</v>
      </c>
      <c r="C4" s="163">
        <f t="shared" ref="C4:C67" si="8">YEAR($B4)</f>
        <v>2021</v>
      </c>
      <c r="D4" s="162">
        <v>45412</v>
      </c>
      <c r="E4" s="163">
        <v>36</v>
      </c>
      <c r="F4" s="204">
        <v>42</v>
      </c>
      <c r="G4" s="204">
        <f t="shared" si="0"/>
        <v>1512</v>
      </c>
      <c r="H4" s="165">
        <v>33</v>
      </c>
      <c r="I4" s="204">
        <v>1843</v>
      </c>
      <c r="J4" s="204">
        <f t="shared" si="1"/>
        <v>55.848484848484851</v>
      </c>
      <c r="K4" s="204">
        <v>12.95</v>
      </c>
      <c r="L4" s="166" t="str">
        <f ca="1">IFERROR(__xludf.DUMMYFUNCTION("GoogleFinance(A3,""change"") &amp; ""  ("" &amp; GoogleFinance(A3,""changepct"") &amp; ""%)"""),"0.37  (1.16%)")</f>
        <v>0.37  (1.16%)</v>
      </c>
      <c r="M4" s="166">
        <f t="shared" si="2"/>
        <v>-343.95000000000005</v>
      </c>
      <c r="N4" s="167">
        <f t="shared" si="3"/>
        <v>-0.17959848073792728</v>
      </c>
      <c r="O4" s="164" t="str">
        <f t="shared" ref="O4:O67" si="9">_xlfn.IFS(N4&lt;0.05,"High Risk",N4&lt;0.25,"Medium Risk",N4&gt;0.25,"Low Risk")</f>
        <v>High Risk</v>
      </c>
      <c r="P4" s="164" t="s">
        <v>17</v>
      </c>
      <c r="Q4" s="165">
        <v>0.92749999999999999</v>
      </c>
      <c r="R4" s="165">
        <f t="shared" si="4"/>
        <v>133.56</v>
      </c>
      <c r="S4" s="170">
        <f t="shared" si="5"/>
        <v>8.8333333333333333E-2</v>
      </c>
      <c r="T4" s="170">
        <f t="shared" si="6"/>
        <v>6.6429734129137274E-2</v>
      </c>
      <c r="U4" s="170">
        <f t="shared" ref="U4:U67" si="10">$G4/SUM($G$3:$G$129)</f>
        <v>2.6874983336443864E-3</v>
      </c>
      <c r="V4" s="171">
        <f t="shared" si="7"/>
        <v>133.56</v>
      </c>
      <c r="W4"/>
    </row>
    <row r="5" spans="1:23" ht="15.75" customHeight="1">
      <c r="A5" s="161" t="str">
        <f>HYPERLINK("http://www.thedividendpig.com/dividend-stocks/consumer-goods/beverages-soft-drinks/ko-coca-cola-company/","KO")</f>
        <v>KO</v>
      </c>
      <c r="B5" s="162">
        <v>44197</v>
      </c>
      <c r="C5" s="163">
        <f t="shared" si="8"/>
        <v>2021</v>
      </c>
      <c r="D5" s="162">
        <v>45352</v>
      </c>
      <c r="E5" s="163">
        <f>53+25+35</f>
        <v>113</v>
      </c>
      <c r="F5" s="204">
        <v>34</v>
      </c>
      <c r="G5" s="204">
        <f t="shared" si="0"/>
        <v>3842</v>
      </c>
      <c r="H5" s="165">
        <v>110</v>
      </c>
      <c r="I5" s="204">
        <f>1987.25+1100+1590.4</f>
        <v>4677.6499999999996</v>
      </c>
      <c r="J5" s="204">
        <f t="shared" si="1"/>
        <v>42.524090909090908</v>
      </c>
      <c r="K5" s="204">
        <v>8.9499999999999993</v>
      </c>
      <c r="L5" s="166" t="str">
        <f ca="1">IFERROR(__xludf.DUMMYFUNCTION("GoogleFinance(A3,""change"") &amp; ""  ("" &amp; GoogleFinance(A3,""changepct"") &amp; ""%)"""),"0.37  (1.16%)")</f>
        <v>0.37  (1.16%)</v>
      </c>
      <c r="M5" s="166">
        <f t="shared" si="2"/>
        <v>-844.59999999999945</v>
      </c>
      <c r="N5" s="167">
        <f t="shared" si="3"/>
        <v>-0.17864739773176697</v>
      </c>
      <c r="O5" s="164" t="str">
        <f>_xlfn.IFS(N5&lt;0.05,"High Risk",N5&lt;0.25,"Medium Risk",N5&gt;0.25,"Low Risk")</f>
        <v>High Risk</v>
      </c>
      <c r="P5" s="164" t="s">
        <v>18</v>
      </c>
      <c r="Q5" s="165">
        <v>0.39</v>
      </c>
      <c r="R5" s="165">
        <f t="shared" si="4"/>
        <v>176.28</v>
      </c>
      <c r="S5" s="170">
        <f t="shared" si="5"/>
        <v>4.5882352941176471E-2</v>
      </c>
      <c r="T5" s="170">
        <f t="shared" si="6"/>
        <v>3.6685087597404679E-2</v>
      </c>
      <c r="U5" s="170">
        <f t="shared" si="10"/>
        <v>6.8289474853582884E-3</v>
      </c>
      <c r="V5" s="171">
        <f t="shared" si="7"/>
        <v>176.28</v>
      </c>
      <c r="W5"/>
    </row>
    <row r="6" spans="1:23" ht="15.75" customHeight="1">
      <c r="A6" s="161" t="str">
        <f>HYPERLINK("http://www.thedividendpig.com/dividend-stocks/industrial-goods/diversified-machinery/ge-general-electric-co/","GE")</f>
        <v>GE</v>
      </c>
      <c r="B6" s="162">
        <v>44197</v>
      </c>
      <c r="C6" s="163">
        <f t="shared" si="8"/>
        <v>2021</v>
      </c>
      <c r="D6" s="162"/>
      <c r="E6" s="163">
        <v>106</v>
      </c>
      <c r="F6" s="204">
        <v>34</v>
      </c>
      <c r="G6" s="204">
        <f t="shared" si="0"/>
        <v>3604</v>
      </c>
      <c r="H6" s="165">
        <v>100</v>
      </c>
      <c r="I6" s="204">
        <v>2566</v>
      </c>
      <c r="J6" s="204">
        <f t="shared" si="1"/>
        <v>25.66</v>
      </c>
      <c r="K6" s="204">
        <v>8.9499999999999993</v>
      </c>
      <c r="L6" s="166" t="str">
        <f ca="1">IFERROR(__xludf.DUMMYFUNCTION("GoogleFinance(A3,""change"") &amp; ""  ("" &amp; GoogleFinance(A3,""changepct"") &amp; ""%)"""),"0.37  (1.16%)")</f>
        <v>0.37  (1.16%)</v>
      </c>
      <c r="M6" s="166">
        <f t="shared" si="2"/>
        <v>1029.0500000000002</v>
      </c>
      <c r="N6" s="167">
        <f t="shared" si="3"/>
        <v>0.40452065471551052</v>
      </c>
      <c r="O6" s="164" t="str">
        <f t="shared" si="9"/>
        <v>Low Risk</v>
      </c>
      <c r="P6" s="164" t="s">
        <v>19</v>
      </c>
      <c r="Q6" s="165">
        <v>0.01</v>
      </c>
      <c r="R6" s="165">
        <f t="shared" si="4"/>
        <v>4.24</v>
      </c>
      <c r="S6" s="170">
        <f t="shared" si="5"/>
        <v>1.1764705882352942E-3</v>
      </c>
      <c r="T6" s="170">
        <f t="shared" si="6"/>
        <v>1.558846453624318E-3</v>
      </c>
      <c r="U6" s="170">
        <f t="shared" si="10"/>
        <v>6.4059153402475982E-3</v>
      </c>
      <c r="V6" s="171">
        <f t="shared" si="7"/>
        <v>4.24</v>
      </c>
      <c r="W6"/>
    </row>
    <row r="7" spans="1:23" ht="15.75" customHeight="1">
      <c r="A7" s="172" t="s">
        <v>20</v>
      </c>
      <c r="B7" s="162">
        <v>44197</v>
      </c>
      <c r="C7" s="163">
        <f t="shared" si="8"/>
        <v>2021</v>
      </c>
      <c r="D7" s="162"/>
      <c r="E7" s="163">
        <f>15+35+50</f>
        <v>100</v>
      </c>
      <c r="F7" s="204">
        <v>80</v>
      </c>
      <c r="G7" s="204">
        <f t="shared" si="0"/>
        <v>8000</v>
      </c>
      <c r="H7" s="165">
        <v>100</v>
      </c>
      <c r="I7" s="204">
        <f>821.85+1937.95+2465</f>
        <v>5224.8</v>
      </c>
      <c r="J7" s="204">
        <f t="shared" si="1"/>
        <v>52.248000000000005</v>
      </c>
      <c r="K7" s="204">
        <v>8.9499999999999993</v>
      </c>
      <c r="L7" s="166" t="str">
        <f ca="1">IFERROR(__xludf.DUMMYFUNCTION("GoogleFinance(A3,""change"") &amp; ""  ("" &amp; GoogleFinance(A3,""changepct"") &amp; ""%)"""),"0.37  (1.16%)")</f>
        <v>0.37  (1.16%)</v>
      </c>
      <c r="M7" s="166">
        <f t="shared" si="2"/>
        <v>2766.25</v>
      </c>
      <c r="N7" s="167">
        <f t="shared" si="3"/>
        <v>0.53115908742918383</v>
      </c>
      <c r="O7" s="164" t="str">
        <f t="shared" si="9"/>
        <v>Low Risk</v>
      </c>
      <c r="P7" s="164" t="s">
        <v>19</v>
      </c>
      <c r="Q7" s="165">
        <v>0.30499999999999999</v>
      </c>
      <c r="R7" s="165">
        <f t="shared" si="4"/>
        <v>122</v>
      </c>
      <c r="S7" s="170">
        <f t="shared" si="5"/>
        <v>1.525E-2</v>
      </c>
      <c r="T7" s="170">
        <f t="shared" si="6"/>
        <v>2.3350176083295052E-2</v>
      </c>
      <c r="U7" s="170">
        <f t="shared" si="10"/>
        <v>1.4219567902880351E-2</v>
      </c>
      <c r="V7" s="171">
        <f t="shared" si="7"/>
        <v>122</v>
      </c>
      <c r="W7"/>
    </row>
    <row r="8" spans="1:23" ht="15.75" customHeight="1">
      <c r="A8" s="172" t="s">
        <v>21</v>
      </c>
      <c r="B8" s="162">
        <v>44197</v>
      </c>
      <c r="C8" s="163">
        <f t="shared" si="8"/>
        <v>2021</v>
      </c>
      <c r="D8" s="162">
        <v>45382</v>
      </c>
      <c r="E8" s="163">
        <f>72+25+25+100+100+3+1+4+3+3+1</f>
        <v>337</v>
      </c>
      <c r="F8" s="204">
        <v>21</v>
      </c>
      <c r="G8" s="204">
        <f t="shared" si="0"/>
        <v>7077</v>
      </c>
      <c r="H8" s="165">
        <v>317</v>
      </c>
      <c r="I8" s="204">
        <f>990.93+330.5+299.75+1165.5+1091</f>
        <v>3877.68</v>
      </c>
      <c r="J8" s="204">
        <f t="shared" si="1"/>
        <v>12.232429022082018</v>
      </c>
      <c r="K8" s="204">
        <v>8.9499999999999993</v>
      </c>
      <c r="L8" s="166" t="str">
        <f ca="1">IFERROR(__xludf.DUMMYFUNCTION("GoogleFinance(A3,""change"") &amp; ""  ("" &amp; GoogleFinance(A3,""changepct"") &amp; ""%)"""),"0.37  (1.16%)")</f>
        <v>0.37  (1.16%)</v>
      </c>
      <c r="M8" s="166">
        <f t="shared" si="2"/>
        <v>3190.3700000000003</v>
      </c>
      <c r="N8" s="167">
        <f t="shared" si="3"/>
        <v>0.82506034536114381</v>
      </c>
      <c r="O8" s="164" t="str">
        <f t="shared" si="9"/>
        <v>Low Risk</v>
      </c>
      <c r="P8" s="164" t="s">
        <v>22</v>
      </c>
      <c r="Q8" s="165">
        <v>0.15</v>
      </c>
      <c r="R8" s="165">
        <f t="shared" si="4"/>
        <v>202.2</v>
      </c>
      <c r="S8" s="170">
        <f t="shared" si="5"/>
        <v>2.8571428571428571E-2</v>
      </c>
      <c r="T8" s="170">
        <f t="shared" si="6"/>
        <v>4.9049947391223619E-2</v>
      </c>
      <c r="U8" s="170">
        <f t="shared" si="10"/>
        <v>1.257898525608553E-2</v>
      </c>
      <c r="V8" s="171">
        <f t="shared" si="7"/>
        <v>202.2</v>
      </c>
      <c r="W8"/>
    </row>
    <row r="9" spans="1:23" ht="15.75" customHeight="1">
      <c r="A9" s="172" t="s">
        <v>23</v>
      </c>
      <c r="B9" s="162">
        <v>44197</v>
      </c>
      <c r="C9" s="163">
        <f t="shared" si="8"/>
        <v>2021</v>
      </c>
      <c r="D9" s="162">
        <v>45082</v>
      </c>
      <c r="E9" s="163">
        <v>20</v>
      </c>
      <c r="F9" s="204">
        <v>58</v>
      </c>
      <c r="G9" s="204">
        <f t="shared" si="0"/>
        <v>1160</v>
      </c>
      <c r="H9" s="165">
        <v>20</v>
      </c>
      <c r="I9" s="204">
        <f>704.8</f>
        <v>704.8</v>
      </c>
      <c r="J9" s="204">
        <f t="shared" si="1"/>
        <v>35.239999999999995</v>
      </c>
      <c r="K9" s="204"/>
      <c r="L9" s="166" t="str">
        <f ca="1">IFERROR(__xludf.DUMMYFUNCTION("GoogleFinance(A3,""change"") &amp; ""  ("" &amp; GoogleFinance(A3,""changepct"") &amp; ""%)"""),"0.37  (1.16%)")</f>
        <v>0.37  (1.16%)</v>
      </c>
      <c r="M9" s="166">
        <f t="shared" si="2"/>
        <v>455.20000000000005</v>
      </c>
      <c r="N9" s="167">
        <f t="shared" si="3"/>
        <v>0.64585698070374586</v>
      </c>
      <c r="O9" s="164" t="str">
        <f t="shared" si="9"/>
        <v>Low Risk</v>
      </c>
      <c r="P9" s="164" t="s">
        <v>22</v>
      </c>
      <c r="Q9" s="165">
        <v>0.37</v>
      </c>
      <c r="R9" s="165">
        <f t="shared" si="4"/>
        <v>29.6</v>
      </c>
      <c r="S9" s="170">
        <f t="shared" si="5"/>
        <v>2.5517241379310343E-2</v>
      </c>
      <c r="T9" s="170">
        <f t="shared" si="6"/>
        <v>4.1997729852440414E-2</v>
      </c>
      <c r="U9" s="170">
        <f t="shared" si="10"/>
        <v>2.0618373459176508E-3</v>
      </c>
      <c r="V9" s="171">
        <f t="shared" si="7"/>
        <v>29.6</v>
      </c>
      <c r="W9" s="31"/>
    </row>
    <row r="10" spans="1:23" ht="15.75" customHeight="1">
      <c r="A10" s="161" t="str">
        <f>HYPERLINK("http://www.thedividendpig.com/dividend-stocks/consumer-goods/processed-and-packaged-goods/gis-general-mills/","GIS")</f>
        <v>GIS</v>
      </c>
      <c r="B10" s="162">
        <v>44197</v>
      </c>
      <c r="C10" s="163">
        <f t="shared" si="8"/>
        <v>2021</v>
      </c>
      <c r="D10" s="162">
        <v>45443</v>
      </c>
      <c r="E10" s="163">
        <f>31+35+25+30+20+20+1+8+1+9+20+15+2</f>
        <v>217</v>
      </c>
      <c r="F10" s="204">
        <v>90</v>
      </c>
      <c r="G10" s="204">
        <f t="shared" si="0"/>
        <v>19530</v>
      </c>
      <c r="H10" s="165">
        <v>212</v>
      </c>
      <c r="I10" s="204">
        <f>1555.45+1990.1+1335.5+1511.1+1027.6+824+352+366.3+777+561.9</f>
        <v>10300.949999999999</v>
      </c>
      <c r="J10" s="204">
        <f t="shared" si="1"/>
        <v>48.589386792452828</v>
      </c>
      <c r="K10" s="204">
        <v>8.9499999999999993</v>
      </c>
      <c r="L10" s="166" t="str">
        <f ca="1">IFERROR(__xludf.DUMMYFUNCTION("GoogleFinance(A3,""change"") &amp; ""  ("" &amp; GoogleFinance(A3,""changepct"") &amp; ""%)"""),"0.37  (1.16%)")</f>
        <v>0.37  (1.16%)</v>
      </c>
      <c r="M10" s="166">
        <f t="shared" si="2"/>
        <v>9220.1</v>
      </c>
      <c r="N10" s="167">
        <f t="shared" si="3"/>
        <v>0.89594163645100711</v>
      </c>
      <c r="O10" s="164" t="str">
        <f t="shared" si="9"/>
        <v>Low Risk</v>
      </c>
      <c r="P10" s="164" t="s">
        <v>18</v>
      </c>
      <c r="Q10" s="165">
        <v>0.49</v>
      </c>
      <c r="R10" s="165">
        <f t="shared" si="4"/>
        <v>425.32</v>
      </c>
      <c r="S10" s="170">
        <f t="shared" si="5"/>
        <v>2.1777777777777778E-2</v>
      </c>
      <c r="T10" s="170">
        <f t="shared" si="6"/>
        <v>4.0338027075172679E-2</v>
      </c>
      <c r="U10" s="170">
        <f t="shared" si="10"/>
        <v>3.4713520142906656E-2</v>
      </c>
      <c r="V10" s="171">
        <f t="shared" si="7"/>
        <v>425.32</v>
      </c>
      <c r="W10" s="31"/>
    </row>
    <row r="11" spans="1:23" ht="15.75" customHeight="1">
      <c r="A11" s="161" t="str">
        <f>HYPERLINK("http://www.thedividendpig.com/dividend-stocks/basic-materials/major-integrated-oil-and-gas/cvx-chevron-corp/","CVX")</f>
        <v>CVX</v>
      </c>
      <c r="B11" s="162">
        <v>44197</v>
      </c>
      <c r="C11" s="163">
        <f t="shared" si="8"/>
        <v>2021</v>
      </c>
      <c r="D11" s="162">
        <v>45443</v>
      </c>
      <c r="E11" s="163">
        <f>27+6+5+10+15</f>
        <v>63</v>
      </c>
      <c r="F11" s="204">
        <v>118</v>
      </c>
      <c r="G11" s="204">
        <f t="shared" si="0"/>
        <v>7434</v>
      </c>
      <c r="H11" s="165">
        <v>62</v>
      </c>
      <c r="I11" s="204">
        <f>1631.1+1118.25+544.72+390.3+1138.6+1719.15</f>
        <v>6542.119999999999</v>
      </c>
      <c r="J11" s="204">
        <f t="shared" si="1"/>
        <v>105.51806451612902</v>
      </c>
      <c r="K11" s="204">
        <v>8.9499999999999993</v>
      </c>
      <c r="L11" s="166" t="str">
        <f ca="1">IFERROR(__xludf.DUMMYFUNCTION("GoogleFinance(A3,""change"") &amp; ""  ("" &amp; GoogleFinance(A3,""changepct"") &amp; ""%)"""),"0.37  (1.16%)")</f>
        <v>0.37  (1.16%)</v>
      </c>
      <c r="M11" s="166">
        <f t="shared" si="2"/>
        <v>882.9300000000012</v>
      </c>
      <c r="N11" s="167">
        <f t="shared" si="3"/>
        <v>0.13632889644335494</v>
      </c>
      <c r="O11" s="164" t="str">
        <f t="shared" si="9"/>
        <v>Medium Risk</v>
      </c>
      <c r="P11" s="164" t="s">
        <v>24</v>
      </c>
      <c r="Q11" s="165">
        <v>1.1200000000000001</v>
      </c>
      <c r="R11" s="165">
        <f t="shared" si="4"/>
        <v>282.24</v>
      </c>
      <c r="S11" s="170">
        <f t="shared" si="5"/>
        <v>3.7966101694915259E-2</v>
      </c>
      <c r="T11" s="170">
        <f t="shared" si="6"/>
        <v>4.2457185132648144E-2</v>
      </c>
      <c r="U11" s="170">
        <f t="shared" si="10"/>
        <v>1.3213533473751567E-2</v>
      </c>
      <c r="V11" s="171">
        <f t="shared" si="7"/>
        <v>282.24</v>
      </c>
      <c r="W11" s="31"/>
    </row>
    <row r="12" spans="1:23" ht="15.75" customHeight="1">
      <c r="A12" s="161" t="str">
        <f>HYPERLINK("http://www.thedividendpig.com/dividend-stocks/basic-materials/major-integrated-oil-and-gas/xom-exxonmobil-corp/","XOM")</f>
        <v>XOM</v>
      </c>
      <c r="B12" s="162">
        <v>44197</v>
      </c>
      <c r="C12" s="163">
        <f t="shared" si="8"/>
        <v>2021</v>
      </c>
      <c r="D12" s="162"/>
      <c r="E12" s="163">
        <f>26+14+5+30+15+12+10+5+3+5+10+5+5</f>
        <v>145</v>
      </c>
      <c r="F12" s="204">
        <v>89</v>
      </c>
      <c r="G12" s="204">
        <f t="shared" si="0"/>
        <v>12905</v>
      </c>
      <c r="H12" s="165">
        <v>144</v>
      </c>
      <c r="I12" s="204">
        <f>1421.24+888.39+395.85+378.05+321.64+370.3+2426.1+1203.15+967.2+742.6+382.3+238.71+375.5+748.6+359.3+328.3</f>
        <v>11547.229999999998</v>
      </c>
      <c r="J12" s="204">
        <f t="shared" si="1"/>
        <v>80.189097222222202</v>
      </c>
      <c r="K12" s="204">
        <v>17.899999999999999</v>
      </c>
      <c r="L12" s="166" t="str">
        <f ca="1">IFERROR(__xludf.DUMMYFUNCTION("GoogleFinance(A3,""change"") &amp; ""  ("" &amp; GoogleFinance(A3,""changepct"") &amp; ""%)"""),"0.37  (1.16%)")</f>
        <v>0.37  (1.16%)</v>
      </c>
      <c r="M12" s="166">
        <f t="shared" si="2"/>
        <v>1339.8700000000026</v>
      </c>
      <c r="N12" s="167">
        <f t="shared" si="3"/>
        <v>0.11758404396552269</v>
      </c>
      <c r="O12" s="164" t="str">
        <f t="shared" si="9"/>
        <v>Medium Risk</v>
      </c>
      <c r="P12" s="164" t="s">
        <v>24</v>
      </c>
      <c r="Q12" s="165">
        <v>0.82</v>
      </c>
      <c r="R12" s="165">
        <f t="shared" si="4"/>
        <v>475.59999999999997</v>
      </c>
      <c r="S12" s="170">
        <f t="shared" si="5"/>
        <v>3.6853932584269659E-2</v>
      </c>
      <c r="T12" s="170">
        <f t="shared" si="6"/>
        <v>4.0903316206570763E-2</v>
      </c>
      <c r="U12" s="170">
        <f t="shared" si="10"/>
        <v>2.2937940473333866E-2</v>
      </c>
      <c r="V12" s="171">
        <f t="shared" si="7"/>
        <v>475.59999999999997</v>
      </c>
      <c r="W12" s="31"/>
    </row>
    <row r="13" spans="1:23" ht="15.75" customHeight="1">
      <c r="A13" s="172" t="s">
        <v>25</v>
      </c>
      <c r="B13" s="162">
        <v>44287</v>
      </c>
      <c r="C13" s="163">
        <f t="shared" si="8"/>
        <v>2021</v>
      </c>
      <c r="D13" s="162">
        <v>45229</v>
      </c>
      <c r="E13" s="163">
        <f>25+8+10</f>
        <v>43</v>
      </c>
      <c r="F13" s="204">
        <v>63</v>
      </c>
      <c r="G13" s="204">
        <f t="shared" si="0"/>
        <v>2709</v>
      </c>
      <c r="H13" s="165">
        <v>43</v>
      </c>
      <c r="I13" s="204">
        <f>1372.75+430.56+544.8</f>
        <v>2348.1099999999997</v>
      </c>
      <c r="J13" s="204">
        <f t="shared" si="1"/>
        <v>54.607209302325572</v>
      </c>
      <c r="K13" s="204"/>
      <c r="L13" s="166"/>
      <c r="M13" s="166">
        <f t="shared" si="2"/>
        <v>360.89000000000033</v>
      </c>
      <c r="N13" s="167">
        <f t="shared" si="3"/>
        <v>0.15369382183969252</v>
      </c>
      <c r="O13" s="164" t="str">
        <f t="shared" si="9"/>
        <v>Medium Risk</v>
      </c>
      <c r="P13" s="164" t="s">
        <v>24</v>
      </c>
      <c r="Q13" s="165">
        <v>0.54300000000000004</v>
      </c>
      <c r="R13" s="165">
        <f t="shared" si="4"/>
        <v>93.396000000000001</v>
      </c>
      <c r="S13" s="170">
        <f t="shared" si="5"/>
        <v>3.447619047619048E-2</v>
      </c>
      <c r="T13" s="170">
        <f t="shared" si="6"/>
        <v>3.9774967952949401E-2</v>
      </c>
      <c r="U13" s="170">
        <f t="shared" si="10"/>
        <v>4.8151011811128587E-3</v>
      </c>
      <c r="V13" s="171">
        <f t="shared" si="7"/>
        <v>93.396000000000001</v>
      </c>
      <c r="W13" s="31"/>
    </row>
    <row r="14" spans="1:23" ht="15.75" customHeight="1">
      <c r="A14" s="172" t="s">
        <v>26</v>
      </c>
      <c r="B14" s="162">
        <v>44287</v>
      </c>
      <c r="C14" s="163">
        <f t="shared" si="8"/>
        <v>2021</v>
      </c>
      <c r="D14" s="162">
        <v>45077</v>
      </c>
      <c r="E14" s="163">
        <v>10</v>
      </c>
      <c r="F14" s="204">
        <v>83</v>
      </c>
      <c r="G14" s="204">
        <f t="shared" si="0"/>
        <v>830</v>
      </c>
      <c r="H14" s="165">
        <v>10</v>
      </c>
      <c r="I14" s="204">
        <v>399.1</v>
      </c>
      <c r="J14" s="204">
        <f t="shared" si="1"/>
        <v>39.910000000000004</v>
      </c>
      <c r="K14" s="204"/>
      <c r="L14" s="166"/>
      <c r="M14" s="166">
        <f t="shared" si="2"/>
        <v>430.9</v>
      </c>
      <c r="N14" s="167">
        <f t="shared" si="3"/>
        <v>1.0796792783763467</v>
      </c>
      <c r="O14" s="164" t="str">
        <f t="shared" si="9"/>
        <v>Low Risk</v>
      </c>
      <c r="P14" s="164" t="s">
        <v>24</v>
      </c>
      <c r="Q14" s="165">
        <v>0.61499999999999999</v>
      </c>
      <c r="R14" s="165">
        <f t="shared" si="4"/>
        <v>24.6</v>
      </c>
      <c r="S14" s="170">
        <f t="shared" si="5"/>
        <v>2.9638554216867469E-2</v>
      </c>
      <c r="T14" s="170">
        <f t="shared" si="6"/>
        <v>6.1638687045853166E-2</v>
      </c>
      <c r="U14" s="170">
        <f t="shared" si="10"/>
        <v>1.4752801699238365E-3</v>
      </c>
      <c r="V14" s="171">
        <f t="shared" si="7"/>
        <v>24.6</v>
      </c>
      <c r="W14" s="31"/>
    </row>
    <row r="15" spans="1:23" ht="15.75" customHeight="1">
      <c r="A15" s="161" t="str">
        <f>HYPERLINK("http://www.thedividendpig.com/dividend-stocks/services/entertainment-diversified/dis-walt-disney-company/","DIS")</f>
        <v>DIS</v>
      </c>
      <c r="B15" s="162">
        <v>44287</v>
      </c>
      <c r="C15" s="163">
        <f t="shared" si="8"/>
        <v>2021</v>
      </c>
      <c r="D15" s="162"/>
      <c r="E15" s="163">
        <f>15+7+5+20+45+10+10+15+15+15+8+20+8+2+6+5+1+4+3+2+5</f>
        <v>221</v>
      </c>
      <c r="F15" s="204">
        <v>115</v>
      </c>
      <c r="G15" s="204">
        <f t="shared" si="0"/>
        <v>25415</v>
      </c>
      <c r="H15" s="165">
        <v>220</v>
      </c>
      <c r="I15" s="204">
        <f>1345.49+737.21+464.3+2187.6+4875.9+1042.9+1052.1+1591.65+1517.7+1467.9+776.08+2122+827.04+211.94+623.4+497.15+448.12+326.4+211.72+544.5</f>
        <v>22871.100000000006</v>
      </c>
      <c r="J15" s="204">
        <f t="shared" si="1"/>
        <v>103.95954545454548</v>
      </c>
      <c r="K15" s="204">
        <v>8.9499999999999993</v>
      </c>
      <c r="L15" s="166" t="str">
        <f ca="1">IFERROR(__xludf.DUMMYFUNCTION("GoogleFinance(A15,""change"") &amp; ""  ("" &amp; GoogleFinance(A15,""changepct"") &amp; ""%)"""),"0.28  (0.24%)")</f>
        <v>0.28  (0.24%)</v>
      </c>
      <c r="M15" s="166">
        <f t="shared" si="2"/>
        <v>2534.9499999999935</v>
      </c>
      <c r="N15" s="167">
        <f t="shared" si="3"/>
        <v>0.11122770658166829</v>
      </c>
      <c r="O15" s="164" t="str">
        <f t="shared" si="9"/>
        <v>Medium Risk</v>
      </c>
      <c r="P15" s="164" t="s">
        <v>22</v>
      </c>
      <c r="Q15" s="165">
        <v>0.88</v>
      </c>
      <c r="R15" s="165">
        <f t="shared" si="4"/>
        <v>777.92</v>
      </c>
      <c r="S15" s="170">
        <f>(Q15*2)/F15</f>
        <v>1.5304347826086957E-2</v>
      </c>
      <c r="T15" s="170">
        <f>(Q15*2)/(I15/H15)</f>
        <v>1.6929662324942828E-2</v>
      </c>
      <c r="U15" s="170">
        <f t="shared" si="10"/>
        <v>4.5173789781463018E-2</v>
      </c>
      <c r="V15" s="171">
        <f>(Q15*2)*E15</f>
        <v>388.96</v>
      </c>
      <c r="W15" s="31"/>
    </row>
    <row r="16" spans="1:23" ht="15.75" customHeight="1">
      <c r="A16" s="172" t="s">
        <v>27</v>
      </c>
      <c r="B16" s="162">
        <v>44287</v>
      </c>
      <c r="C16" s="163">
        <f t="shared" si="8"/>
        <v>2021</v>
      </c>
      <c r="D16" s="162">
        <v>45442</v>
      </c>
      <c r="E16" s="163">
        <v>28</v>
      </c>
      <c r="F16" s="204">
        <v>76</v>
      </c>
      <c r="G16" s="204">
        <f t="shared" si="0"/>
        <v>2128</v>
      </c>
      <c r="H16" s="165">
        <v>26</v>
      </c>
      <c r="I16" s="204">
        <v>1216.51</v>
      </c>
      <c r="J16" s="204">
        <f t="shared" si="1"/>
        <v>46.788846153846151</v>
      </c>
      <c r="K16" s="204">
        <v>8.9499999999999993</v>
      </c>
      <c r="L16" s="166" t="str">
        <f ca="1">IFERROR(__xludf.DUMMYFUNCTION("GoogleFinance(A15,""change"") &amp; ""  ("" &amp; GoogleFinance(A15,""changepct"") &amp; ""%)"""),"0.28  (0.24%)")</f>
        <v>0.28  (0.24%)</v>
      </c>
      <c r="M16" s="166">
        <f t="shared" si="2"/>
        <v>902.54</v>
      </c>
      <c r="N16" s="167">
        <f t="shared" si="3"/>
        <v>0.74926634388537705</v>
      </c>
      <c r="O16" s="164" t="str">
        <f t="shared" si="9"/>
        <v>Low Risk</v>
      </c>
      <c r="P16" s="164" t="s">
        <v>19</v>
      </c>
      <c r="Q16" s="165">
        <v>1.26</v>
      </c>
      <c r="R16" s="165">
        <f t="shared" si="4"/>
        <v>141.12</v>
      </c>
      <c r="S16" s="170">
        <f>(Q16*2)/F16</f>
        <v>3.3157894736842108E-2</v>
      </c>
      <c r="T16" s="170">
        <f>(Q16*2)/(I16/H16)</f>
        <v>5.3858990061733981E-2</v>
      </c>
      <c r="U16" s="170">
        <f t="shared" si="10"/>
        <v>3.7824050621661732E-3</v>
      </c>
      <c r="V16" s="171">
        <f>(Q16*2)*E16</f>
        <v>70.56</v>
      </c>
      <c r="W16" s="31"/>
    </row>
    <row r="17" spans="1:22" ht="15.75" customHeight="1">
      <c r="A17" s="161" t="str">
        <f>HYPERLINK("http://www.thedividendpig.com/dividend-stocks/services/lodging/mar-marriott-international-inc/","MAR")</f>
        <v>MAR</v>
      </c>
      <c r="B17" s="162">
        <v>44287</v>
      </c>
      <c r="C17" s="163">
        <f t="shared" si="8"/>
        <v>2021</v>
      </c>
      <c r="D17" s="162">
        <v>45443</v>
      </c>
      <c r="E17" s="163">
        <v>6</v>
      </c>
      <c r="F17" s="204">
        <v>32</v>
      </c>
      <c r="G17" s="204">
        <f t="shared" si="0"/>
        <v>192</v>
      </c>
      <c r="H17" s="165">
        <v>6</v>
      </c>
      <c r="I17" s="204">
        <v>407.2</v>
      </c>
      <c r="J17" s="204">
        <f t="shared" si="1"/>
        <v>67.86666666666666</v>
      </c>
      <c r="K17" s="204"/>
      <c r="L17" s="166"/>
      <c r="M17" s="166">
        <f t="shared" si="2"/>
        <v>-215.2</v>
      </c>
      <c r="N17" s="167">
        <f t="shared" si="3"/>
        <v>-0.52848722986247543</v>
      </c>
      <c r="O17" s="164" t="str">
        <f t="shared" si="9"/>
        <v>High Risk</v>
      </c>
      <c r="P17" s="164" t="s">
        <v>22</v>
      </c>
      <c r="Q17" s="165">
        <v>0.33</v>
      </c>
      <c r="R17" s="165">
        <f t="shared" si="4"/>
        <v>7.92</v>
      </c>
      <c r="S17" s="170">
        <f>(Q17*2)/F17</f>
        <v>2.0625000000000001E-2</v>
      </c>
      <c r="T17" s="170">
        <f>(Q17*2)/(I17/H17)</f>
        <v>9.724950884086446E-3</v>
      </c>
      <c r="U17" s="170">
        <f t="shared" si="10"/>
        <v>3.4126962966912842E-4</v>
      </c>
      <c r="V17" s="171">
        <f>(Q17*2)*E17</f>
        <v>3.96</v>
      </c>
    </row>
    <row r="18" spans="1:22" ht="15.75" customHeight="1">
      <c r="A18" s="161" t="str">
        <f>HYPERLINK("http://www.thedividendpig.com/dividend-stocks/services/specialty-eateries/sbux-starbucks-corp/","SBUX")</f>
        <v>SBUX</v>
      </c>
      <c r="B18" s="162">
        <v>44287</v>
      </c>
      <c r="C18" s="163">
        <f t="shared" si="8"/>
        <v>2021</v>
      </c>
      <c r="D18" s="162"/>
      <c r="E18" s="163">
        <f>14+6+50+20+10+10+10+3</f>
        <v>123</v>
      </c>
      <c r="F18" s="204">
        <v>104</v>
      </c>
      <c r="G18" s="204">
        <f t="shared" si="0"/>
        <v>12792</v>
      </c>
      <c r="H18" s="165">
        <v>123</v>
      </c>
      <c r="I18" s="204">
        <f>757.24+350.28+2762.5+1160.4+520.3+525.3+508.6+142.98</f>
        <v>6727.6</v>
      </c>
      <c r="J18" s="204">
        <f t="shared" si="1"/>
        <v>54.695934959349593</v>
      </c>
      <c r="K18" s="204"/>
      <c r="L18" s="166"/>
      <c r="M18" s="166">
        <f t="shared" si="2"/>
        <v>6064.4</v>
      </c>
      <c r="N18" s="167">
        <f t="shared" si="3"/>
        <v>0.90142101195076985</v>
      </c>
      <c r="O18" s="164" t="str">
        <f t="shared" si="9"/>
        <v>Low Risk</v>
      </c>
      <c r="P18" s="164" t="s">
        <v>22</v>
      </c>
      <c r="Q18" s="165">
        <v>0.36</v>
      </c>
      <c r="R18" s="165">
        <f t="shared" si="4"/>
        <v>177.12</v>
      </c>
      <c r="S18" s="170">
        <f>(Q18*4)/F18</f>
        <v>1.3846153846153845E-2</v>
      </c>
      <c r="T18" s="170">
        <f>(Q18*4)/(I18/H18)</f>
        <v>2.632736785777989E-2</v>
      </c>
      <c r="U18" s="170">
        <f t="shared" si="10"/>
        <v>2.2737089076705682E-2</v>
      </c>
      <c r="V18" s="171">
        <f>(Q18*2)*E18</f>
        <v>88.56</v>
      </c>
    </row>
    <row r="19" spans="1:22" ht="15.75" customHeight="1">
      <c r="A19" s="172" t="s">
        <v>28</v>
      </c>
      <c r="B19" s="162">
        <v>44287</v>
      </c>
      <c r="C19" s="163">
        <f t="shared" si="8"/>
        <v>2021</v>
      </c>
      <c r="D19" s="162">
        <v>45442</v>
      </c>
      <c r="E19" s="163">
        <f>5+5+5+3+3+5</f>
        <v>26</v>
      </c>
      <c r="F19" s="204">
        <v>99</v>
      </c>
      <c r="G19" s="204">
        <f t="shared" si="0"/>
        <v>2574</v>
      </c>
      <c r="H19" s="165">
        <v>26</v>
      </c>
      <c r="I19" s="204">
        <f>254.3+253+247.5+141.54+129+190.55</f>
        <v>1215.8899999999999</v>
      </c>
      <c r="J19" s="204">
        <f t="shared" si="1"/>
        <v>46.764999999999993</v>
      </c>
      <c r="K19" s="204"/>
      <c r="L19" s="166"/>
      <c r="M19" s="166">
        <f t="shared" si="2"/>
        <v>1358.1100000000001</v>
      </c>
      <c r="N19" s="167">
        <f t="shared" si="3"/>
        <v>1.1169678178124669</v>
      </c>
      <c r="O19" s="164" t="str">
        <f t="shared" si="9"/>
        <v>Low Risk</v>
      </c>
      <c r="P19" s="164" t="s">
        <v>22</v>
      </c>
      <c r="Q19" s="165">
        <v>0.5</v>
      </c>
      <c r="R19" s="165">
        <f t="shared" si="4"/>
        <v>52</v>
      </c>
      <c r="S19" s="170">
        <f>(Q19*4)/F19</f>
        <v>2.0202020202020204E-2</v>
      </c>
      <c r="T19" s="170">
        <f>(Q19*4)/(I19/H19)</f>
        <v>4.2767026622474079E-2</v>
      </c>
      <c r="U19" s="170">
        <f t="shared" si="10"/>
        <v>4.5751459727517534E-3</v>
      </c>
      <c r="V19" s="171">
        <f>(Q19*4)*E19</f>
        <v>52</v>
      </c>
    </row>
    <row r="20" spans="1:22" ht="15.75" customHeight="1">
      <c r="A20" s="161" t="str">
        <f>HYPERLINK("http://www.thedividendpig.com/dividend-stocks/financial/asset-management/ivz-invesco-limited/","IVZ")</f>
        <v>IVZ</v>
      </c>
      <c r="B20" s="162">
        <v>44287</v>
      </c>
      <c r="C20" s="163">
        <f t="shared" si="8"/>
        <v>2021</v>
      </c>
      <c r="D20" s="162">
        <v>45443</v>
      </c>
      <c r="E20" s="163">
        <f>15+12+10+13</f>
        <v>50</v>
      </c>
      <c r="F20" s="204">
        <v>30</v>
      </c>
      <c r="G20" s="204">
        <f t="shared" si="0"/>
        <v>1500</v>
      </c>
      <c r="H20" s="165">
        <v>50</v>
      </c>
      <c r="I20" s="204">
        <f>429+329.63+26.95+314.99</f>
        <v>1100.5700000000002</v>
      </c>
      <c r="J20" s="204">
        <f t="shared" si="1"/>
        <v>22.011400000000002</v>
      </c>
      <c r="K20" s="204"/>
      <c r="L20" s="166" t="str">
        <f ca="1">IFERROR(__xludf.DUMMYFUNCTION("GoogleFinance(A20,""change"") &amp; ""  ("" &amp; GoogleFinance(A20,""changepct"") &amp; ""%)"""),"0.3  (1.49%)")</f>
        <v>0.3  (1.49%)</v>
      </c>
      <c r="M20" s="166">
        <f t="shared" si="2"/>
        <v>399.42999999999984</v>
      </c>
      <c r="N20" s="167">
        <f t="shared" si="3"/>
        <v>0.36293011802974801</v>
      </c>
      <c r="O20" s="164" t="str">
        <f t="shared" si="9"/>
        <v>Low Risk</v>
      </c>
      <c r="P20" s="164" t="s">
        <v>29</v>
      </c>
      <c r="Q20" s="165">
        <v>0.3</v>
      </c>
      <c r="R20" s="165">
        <f t="shared" si="4"/>
        <v>60</v>
      </c>
      <c r="S20" s="170">
        <f>(Q20*4)/F20</f>
        <v>0.04</v>
      </c>
      <c r="T20" s="170">
        <f>(Q20*4)/(I20/H20)</f>
        <v>5.451720472118992E-2</v>
      </c>
      <c r="U20" s="170">
        <f t="shared" si="10"/>
        <v>2.6661689817900659E-3</v>
      </c>
      <c r="V20" s="171">
        <f>(Q20*4)*E20</f>
        <v>60</v>
      </c>
    </row>
    <row r="21" spans="1:22" ht="15.75" customHeight="1">
      <c r="A21" s="161" t="str">
        <f>HYPERLINK("http://www.thedividendpig.com/dividend-stocks/financial/reit-diversified/stwd-starwood-property-trust-inc/","STWD")</f>
        <v>STWD</v>
      </c>
      <c r="B21" s="162">
        <v>44287</v>
      </c>
      <c r="C21" s="163">
        <f t="shared" si="8"/>
        <v>2021</v>
      </c>
      <c r="D21" s="162"/>
      <c r="E21" s="163">
        <v>20</v>
      </c>
      <c r="F21" s="204">
        <v>35</v>
      </c>
      <c r="G21" s="204">
        <f t="shared" si="0"/>
        <v>700</v>
      </c>
      <c r="H21" s="165">
        <v>20</v>
      </c>
      <c r="I21" s="204">
        <v>417.2</v>
      </c>
      <c r="J21" s="204">
        <f t="shared" si="1"/>
        <v>20.86</v>
      </c>
      <c r="K21" s="204"/>
      <c r="L21" s="166"/>
      <c r="M21" s="166">
        <f t="shared" si="2"/>
        <v>282.8</v>
      </c>
      <c r="N21" s="167">
        <f t="shared" si="3"/>
        <v>0.67785234899328861</v>
      </c>
      <c r="O21" s="164" t="str">
        <f t="shared" si="9"/>
        <v>Low Risk</v>
      </c>
      <c r="P21" s="164" t="s">
        <v>29</v>
      </c>
      <c r="Q21" s="165">
        <v>0.48</v>
      </c>
      <c r="R21" s="165">
        <f t="shared" si="4"/>
        <v>38.4</v>
      </c>
      <c r="S21" s="170">
        <f>(Q21*4)/F21</f>
        <v>5.4857142857142854E-2</v>
      </c>
      <c r="T21" s="170">
        <f>(Q21*4)/(I21/H21)</f>
        <v>9.2042186001917548E-2</v>
      </c>
      <c r="U21" s="170">
        <f t="shared" si="10"/>
        <v>1.2442121915020308E-3</v>
      </c>
      <c r="V21" s="171">
        <f>(Q21*4)*E21</f>
        <v>38.4</v>
      </c>
    </row>
    <row r="22" spans="1:22" ht="15.75" customHeight="1">
      <c r="A22" s="161" t="str">
        <f>HYPERLINK("http://www.thedividendpig.com/dividend-stocks/financial/reit-healthcare-facilities/ohi-omega-healthcare-investors/","OHI")</f>
        <v>OHI</v>
      </c>
      <c r="B22" s="162">
        <v>44287</v>
      </c>
      <c r="C22" s="163">
        <f t="shared" si="8"/>
        <v>2021</v>
      </c>
      <c r="D22" s="162">
        <v>45442</v>
      </c>
      <c r="E22" s="163">
        <f>43+15+12+2+2</f>
        <v>74</v>
      </c>
      <c r="F22" s="204">
        <v>100</v>
      </c>
      <c r="G22" s="204">
        <f t="shared" si="0"/>
        <v>7400</v>
      </c>
      <c r="H22" s="165">
        <v>67</v>
      </c>
      <c r="I22" s="204">
        <f>1513.56+479.85+390.84</f>
        <v>2384.25</v>
      </c>
      <c r="J22" s="204">
        <f t="shared" si="1"/>
        <v>35.585820895522389</v>
      </c>
      <c r="K22" s="204">
        <v>8.9499999999999993</v>
      </c>
      <c r="L22" s="166" t="str">
        <f ca="1">IFERROR(__xludf.DUMMYFUNCTION("GoogleFinance(A22,""change"") &amp; ""  ("" &amp; GoogleFinance(A22,""changepct"") &amp; ""%)"""),"0.09  (0.24%)")</f>
        <v>0.09  (0.24%)</v>
      </c>
      <c r="M22" s="166">
        <f t="shared" si="2"/>
        <v>5006.8</v>
      </c>
      <c r="N22" s="167">
        <f t="shared" si="3"/>
        <v>2.1037013735975671</v>
      </c>
      <c r="O22" s="164" t="str">
        <f t="shared" si="9"/>
        <v>Low Risk</v>
      </c>
      <c r="P22" s="164" t="s">
        <v>30</v>
      </c>
      <c r="Q22" s="165">
        <v>0.66</v>
      </c>
      <c r="R22" s="165">
        <f t="shared" si="4"/>
        <v>195.36</v>
      </c>
      <c r="S22" s="170">
        <f>(Q22*4)/F22</f>
        <v>2.64E-2</v>
      </c>
      <c r="T22" s="170">
        <f>(Q22*4)/(I22/H22)</f>
        <v>7.4186851211072671E-2</v>
      </c>
      <c r="U22" s="170">
        <f t="shared" si="10"/>
        <v>1.3153100310164326E-2</v>
      </c>
      <c r="V22" s="171">
        <f>(Q22*4)*E22</f>
        <v>195.36</v>
      </c>
    </row>
    <row r="23" spans="1:22" ht="15.75" customHeight="1">
      <c r="A23" s="161" t="str">
        <f>HYPERLINK("http://www.thedividendpig.com/dividend-stocks/financial/reit-retail/o-realty-income-corp/","O")</f>
        <v>O</v>
      </c>
      <c r="B23" s="162">
        <v>44378</v>
      </c>
      <c r="C23" s="163">
        <f t="shared" si="8"/>
        <v>2021</v>
      </c>
      <c r="D23" s="162">
        <v>45443</v>
      </c>
      <c r="E23" s="163">
        <f>68+5+50+50+35+35+5</f>
        <v>248</v>
      </c>
      <c r="F23" s="204">
        <v>63</v>
      </c>
      <c r="G23" s="204">
        <f t="shared" si="0"/>
        <v>15624</v>
      </c>
      <c r="H23" s="165">
        <v>245</v>
      </c>
      <c r="I23" s="204">
        <f>2908.75+224+2954.5+2784.73+1943.9+1721.3+240.8</f>
        <v>12777.979999999998</v>
      </c>
      <c r="J23" s="204">
        <f t="shared" si="1"/>
        <v>52.155020408163253</v>
      </c>
      <c r="K23" s="204"/>
      <c r="L23" s="166"/>
      <c r="M23" s="166">
        <f t="shared" si="2"/>
        <v>2846.0200000000023</v>
      </c>
      <c r="N23" s="167">
        <f t="shared" si="3"/>
        <v>0.22272847507978591</v>
      </c>
      <c r="O23" s="164" t="str">
        <f t="shared" si="9"/>
        <v>Medium Risk</v>
      </c>
      <c r="P23" s="164" t="s">
        <v>30</v>
      </c>
      <c r="Q23" s="165">
        <v>0.221</v>
      </c>
      <c r="R23" s="165">
        <f t="shared" si="4"/>
        <v>219.232</v>
      </c>
      <c r="S23" s="170">
        <f>(Q23*12)/F23</f>
        <v>4.2095238095238095E-2</v>
      </c>
      <c r="T23" s="170">
        <f>(Q23*12)/(I23/H23)</f>
        <v>5.0848412659904009E-2</v>
      </c>
      <c r="U23" s="170">
        <f t="shared" si="10"/>
        <v>2.7770816114325327E-2</v>
      </c>
      <c r="V23" s="171">
        <f>(Q23*12)*E23</f>
        <v>657.69600000000003</v>
      </c>
    </row>
    <row r="24" spans="1:22" ht="13.8">
      <c r="A24" s="161" t="str">
        <f>HYPERLINK("http://www.thedividendpig.com/dividend-stocks/financial/diversified-investments/main-main-street-capital-corp/","MAIN")</f>
        <v>MAIN</v>
      </c>
      <c r="B24" s="162">
        <v>44378</v>
      </c>
      <c r="C24" s="163">
        <f t="shared" si="8"/>
        <v>2021</v>
      </c>
      <c r="D24" s="162"/>
      <c r="E24" s="163">
        <f>15+40</f>
        <v>55</v>
      </c>
      <c r="F24" s="204">
        <v>79</v>
      </c>
      <c r="G24" s="204">
        <f t="shared" si="0"/>
        <v>4345</v>
      </c>
      <c r="H24" s="165">
        <v>55</v>
      </c>
      <c r="I24" s="204">
        <f>432.9+1427.2</f>
        <v>1860.1</v>
      </c>
      <c r="J24" s="204">
        <f t="shared" si="1"/>
        <v>33.82</v>
      </c>
      <c r="K24" s="204"/>
      <c r="L24" s="166"/>
      <c r="M24" s="166">
        <f t="shared" si="2"/>
        <v>2484.9</v>
      </c>
      <c r="N24" s="167">
        <f t="shared" si="3"/>
        <v>1.3358959195742166</v>
      </c>
      <c r="O24" s="164" t="str">
        <f t="shared" si="9"/>
        <v>Low Risk</v>
      </c>
      <c r="P24" s="164" t="s">
        <v>29</v>
      </c>
      <c r="Q24" s="165">
        <v>0.19500000000000001</v>
      </c>
      <c r="R24" s="165">
        <f t="shared" si="4"/>
        <v>42.9</v>
      </c>
      <c r="S24" s="170">
        <f>(Q24*12)/F24</f>
        <v>2.9620253164556961E-2</v>
      </c>
      <c r="T24" s="170">
        <f>(Q24*12)/(I24/H24)</f>
        <v>6.9189828503843878E-2</v>
      </c>
      <c r="U24" s="170">
        <f t="shared" si="10"/>
        <v>7.7230028172518908E-3</v>
      </c>
      <c r="V24" s="171">
        <f>(Q24*12)*E24</f>
        <v>128.69999999999999</v>
      </c>
    </row>
    <row r="25" spans="1:22" ht="13.8">
      <c r="A25" s="161" t="str">
        <f>HYPERLINK("http://www.thedividendpig.com/dividend-stocks/financial/reit-industrial/stag-stag-industrial-inc/","STAG")</f>
        <v>STAG</v>
      </c>
      <c r="B25" s="162">
        <v>44378</v>
      </c>
      <c r="C25" s="163">
        <f t="shared" si="8"/>
        <v>2021</v>
      </c>
      <c r="D25" s="162">
        <v>45442</v>
      </c>
      <c r="E25" s="163">
        <f>40+60+20</f>
        <v>120</v>
      </c>
      <c r="F25" s="204">
        <v>74</v>
      </c>
      <c r="G25" s="204">
        <f t="shared" si="0"/>
        <v>8880</v>
      </c>
      <c r="H25" s="165">
        <v>120</v>
      </c>
      <c r="I25" s="204">
        <f>1106+1382.5+273.3+502.2</f>
        <v>3264</v>
      </c>
      <c r="J25" s="204">
        <f t="shared" si="1"/>
        <v>27.2</v>
      </c>
      <c r="K25" s="204"/>
      <c r="L25" s="166"/>
      <c r="M25" s="166">
        <f t="shared" si="2"/>
        <v>5616</v>
      </c>
      <c r="N25" s="167">
        <f t="shared" si="3"/>
        <v>1.7205882352941178</v>
      </c>
      <c r="O25" s="164" t="str">
        <f t="shared" si="9"/>
        <v>Low Risk</v>
      </c>
      <c r="P25" s="164" t="s">
        <v>30</v>
      </c>
      <c r="Q25" s="165">
        <v>0.11700000000000001</v>
      </c>
      <c r="R25" s="165">
        <f t="shared" si="4"/>
        <v>56.160000000000004</v>
      </c>
      <c r="S25" s="170">
        <f>(Q25*12)/F25</f>
        <v>1.8972972972972974E-2</v>
      </c>
      <c r="T25" s="170">
        <f>(Q25*12)/(I25/H25)</f>
        <v>5.1617647058823539E-2</v>
      </c>
      <c r="U25" s="170">
        <f t="shared" si="10"/>
        <v>1.5783720372197191E-2</v>
      </c>
      <c r="V25" s="171">
        <f>(Q25*12)*E25</f>
        <v>168.48000000000002</v>
      </c>
    </row>
    <row r="26" spans="1:22" ht="13.8">
      <c r="A26" s="172" t="s">
        <v>31</v>
      </c>
      <c r="B26" s="162">
        <v>44378</v>
      </c>
      <c r="C26" s="163">
        <f t="shared" si="8"/>
        <v>2021</v>
      </c>
      <c r="D26" s="162">
        <v>45443</v>
      </c>
      <c r="E26" s="163">
        <v>50</v>
      </c>
      <c r="F26" s="204">
        <v>52</v>
      </c>
      <c r="G26" s="204">
        <f t="shared" si="0"/>
        <v>2600</v>
      </c>
      <c r="H26" s="165">
        <v>50</v>
      </c>
      <c r="I26" s="204">
        <v>1170.5</v>
      </c>
      <c r="J26" s="204">
        <f t="shared" si="1"/>
        <v>23.41</v>
      </c>
      <c r="K26" s="204"/>
      <c r="L26" s="166"/>
      <c r="M26" s="166">
        <f t="shared" si="2"/>
        <v>1429.5</v>
      </c>
      <c r="N26" s="167">
        <f t="shared" si="3"/>
        <v>1.2212729602733874</v>
      </c>
      <c r="O26" s="164" t="str">
        <f t="shared" si="9"/>
        <v>Low Risk</v>
      </c>
      <c r="P26" s="164" t="s">
        <v>30</v>
      </c>
      <c r="Q26" s="165">
        <v>0.33</v>
      </c>
      <c r="R26" s="165">
        <f t="shared" si="4"/>
        <v>66</v>
      </c>
      <c r="S26" s="170">
        <f t="shared" ref="S26:S69" si="11">(Q26*4)/F26</f>
        <v>2.5384615384615387E-2</v>
      </c>
      <c r="T26" s="170">
        <f t="shared" ref="T26:T69" si="12">(Q26*4)/(I26/H26)</f>
        <v>5.6386159760785988E-2</v>
      </c>
      <c r="U26" s="170">
        <f t="shared" si="10"/>
        <v>4.6213595684361144E-3</v>
      </c>
      <c r="V26" s="171">
        <f t="shared" ref="V26:V69" si="13">(Q26*4)*E26</f>
        <v>66</v>
      </c>
    </row>
    <row r="27" spans="1:22" ht="13.8">
      <c r="A27" s="172" t="s">
        <v>32</v>
      </c>
      <c r="B27" s="162">
        <v>44378</v>
      </c>
      <c r="C27" s="163">
        <f t="shared" si="8"/>
        <v>2021</v>
      </c>
      <c r="D27" s="162"/>
      <c r="E27" s="163">
        <f>8+10+10+5+2+2</f>
        <v>37</v>
      </c>
      <c r="F27" s="204">
        <v>71</v>
      </c>
      <c r="G27" s="204">
        <f t="shared" si="0"/>
        <v>2627</v>
      </c>
      <c r="H27" s="165">
        <v>37</v>
      </c>
      <c r="I27" s="204">
        <f>412.44+371.44+1590+1618.9+934.3+313+297.04</f>
        <v>5537.12</v>
      </c>
      <c r="J27" s="204">
        <f t="shared" si="1"/>
        <v>149.65189189189189</v>
      </c>
      <c r="K27" s="204"/>
      <c r="L27" s="166"/>
      <c r="M27" s="166">
        <f t="shared" si="2"/>
        <v>-2910.12</v>
      </c>
      <c r="N27" s="167">
        <f t="shared" si="3"/>
        <v>-0.52556563700985348</v>
      </c>
      <c r="O27" s="164" t="str">
        <f t="shared" si="9"/>
        <v>High Risk</v>
      </c>
      <c r="P27" s="164" t="s">
        <v>33</v>
      </c>
      <c r="Q27" s="165">
        <v>0.73</v>
      </c>
      <c r="R27" s="165">
        <f t="shared" si="4"/>
        <v>108.03999999999999</v>
      </c>
      <c r="S27" s="170">
        <f t="shared" si="11"/>
        <v>4.1126760563380278E-2</v>
      </c>
      <c r="T27" s="170">
        <f t="shared" si="12"/>
        <v>1.9511948449735601E-2</v>
      </c>
      <c r="U27" s="170">
        <f t="shared" si="10"/>
        <v>4.6693506101083354E-3</v>
      </c>
      <c r="V27" s="171">
        <f t="shared" si="13"/>
        <v>108.03999999999999</v>
      </c>
    </row>
    <row r="28" spans="1:22" ht="13.8">
      <c r="A28" s="161" t="str">
        <f>HYPERLINK("http://www.thedividendpig.com/dividend-stocks/industrial-goods/farm-and-construction-machinery/cat-caterpillar-inc/","CAT")</f>
        <v>CAT</v>
      </c>
      <c r="B28" s="162">
        <v>44378</v>
      </c>
      <c r="C28" s="163">
        <f t="shared" si="8"/>
        <v>2021</v>
      </c>
      <c r="D28" s="162"/>
      <c r="E28" s="163">
        <v>24</v>
      </c>
      <c r="F28" s="204">
        <v>97</v>
      </c>
      <c r="G28" s="204">
        <f t="shared" si="0"/>
        <v>2328</v>
      </c>
      <c r="H28" s="165">
        <v>23</v>
      </c>
      <c r="I28" s="204">
        <v>1861.39</v>
      </c>
      <c r="J28" s="204">
        <f t="shared" si="1"/>
        <v>80.930000000000007</v>
      </c>
      <c r="K28" s="204">
        <v>8.9499999999999993</v>
      </c>
      <c r="L28" s="166" t="str">
        <f ca="1">IFERROR(__xludf.DUMMYFUNCTION("GoogleFinance(A28,""change"") &amp; ""  ("" &amp; GoogleFinance(A28,""changepct"") &amp; ""%)"""),"0.21  (0.15%)")</f>
        <v>0.21  (0.15%)</v>
      </c>
      <c r="M28" s="166">
        <f t="shared" si="2"/>
        <v>457.65999999999985</v>
      </c>
      <c r="N28" s="167">
        <f t="shared" si="3"/>
        <v>0.25067825657170173</v>
      </c>
      <c r="O28" s="164" t="str">
        <f t="shared" si="9"/>
        <v>Low Risk</v>
      </c>
      <c r="P28" s="164" t="s">
        <v>19</v>
      </c>
      <c r="Q28" s="165">
        <v>0.86</v>
      </c>
      <c r="R28" s="165">
        <f t="shared" si="4"/>
        <v>82.56</v>
      </c>
      <c r="S28" s="170">
        <f t="shared" si="11"/>
        <v>3.5463917525773193E-2</v>
      </c>
      <c r="T28" s="170">
        <f t="shared" si="12"/>
        <v>4.2505869269739274E-2</v>
      </c>
      <c r="U28" s="170">
        <f t="shared" si="10"/>
        <v>4.137894259738182E-3</v>
      </c>
      <c r="V28" s="171">
        <f t="shared" si="13"/>
        <v>82.56</v>
      </c>
    </row>
    <row r="29" spans="1:22" ht="13.8">
      <c r="A29" s="161" t="str">
        <f>HYPERLINK("http://www.thedividendpig.com/dividend-stocks/consumer-goods/personal-products/cl-colgate-palmolive-co/","CL")</f>
        <v>CL</v>
      </c>
      <c r="B29" s="162">
        <v>44378</v>
      </c>
      <c r="C29" s="163">
        <f t="shared" si="8"/>
        <v>2021</v>
      </c>
      <c r="D29" s="162"/>
      <c r="E29" s="163">
        <f>4+8</f>
        <v>12</v>
      </c>
      <c r="F29" s="204">
        <v>109</v>
      </c>
      <c r="G29" s="204">
        <f t="shared" si="0"/>
        <v>1308</v>
      </c>
      <c r="H29" s="165">
        <v>12</v>
      </c>
      <c r="I29" s="204">
        <f>248.44+491.52</f>
        <v>739.96</v>
      </c>
      <c r="J29" s="204">
        <f t="shared" si="1"/>
        <v>61.663333333333334</v>
      </c>
      <c r="K29" s="204"/>
      <c r="L29" s="166"/>
      <c r="M29" s="166">
        <f t="shared" si="2"/>
        <v>568.04</v>
      </c>
      <c r="N29" s="167">
        <f t="shared" si="3"/>
        <v>0.76766311692523914</v>
      </c>
      <c r="O29" s="164" t="str">
        <f t="shared" si="9"/>
        <v>Low Risk</v>
      </c>
      <c r="P29" s="164" t="s">
        <v>18</v>
      </c>
      <c r="Q29" s="165">
        <v>0.42</v>
      </c>
      <c r="R29" s="165">
        <f t="shared" si="4"/>
        <v>20.16</v>
      </c>
      <c r="S29" s="170">
        <f t="shared" si="11"/>
        <v>1.5412844036697248E-2</v>
      </c>
      <c r="T29" s="170">
        <f t="shared" si="12"/>
        <v>2.7244715930590843E-2</v>
      </c>
      <c r="U29" s="170">
        <f t="shared" si="10"/>
        <v>2.3248993521209375E-3</v>
      </c>
      <c r="V29" s="171">
        <f t="shared" si="13"/>
        <v>20.16</v>
      </c>
    </row>
    <row r="30" spans="1:22" ht="13.8">
      <c r="A30" s="161" t="str">
        <f>HYPERLINK("http://www.thedividendpig.com/dividend-stocks/consumer-goods/housewares-and-accessories/clx-clorox-company/","CLX")</f>
        <v>CLX</v>
      </c>
      <c r="B30" s="162">
        <v>44378</v>
      </c>
      <c r="C30" s="163">
        <f t="shared" si="8"/>
        <v>2021</v>
      </c>
      <c r="D30" s="162"/>
      <c r="E30" s="163">
        <f>10+5+5</f>
        <v>20</v>
      </c>
      <c r="F30" s="204">
        <v>106</v>
      </c>
      <c r="G30" s="204">
        <f t="shared" si="0"/>
        <v>2120</v>
      </c>
      <c r="H30" s="165">
        <v>20</v>
      </c>
      <c r="I30" s="204">
        <f>1287+641.25+649.15</f>
        <v>2577.4</v>
      </c>
      <c r="J30" s="204">
        <f t="shared" si="1"/>
        <v>128.87</v>
      </c>
      <c r="K30" s="204"/>
      <c r="L30" s="166"/>
      <c r="M30" s="166">
        <f t="shared" si="2"/>
        <v>-457.40000000000009</v>
      </c>
      <c r="N30" s="167">
        <f t="shared" si="3"/>
        <v>-0.1774656630713122</v>
      </c>
      <c r="O30" s="164" t="str">
        <f t="shared" si="9"/>
        <v>High Risk</v>
      </c>
      <c r="P30" s="164" t="s">
        <v>18</v>
      </c>
      <c r="Q30" s="165">
        <v>0.96</v>
      </c>
      <c r="R30" s="165">
        <f t="shared" si="4"/>
        <v>76.8</v>
      </c>
      <c r="S30" s="170">
        <f t="shared" si="11"/>
        <v>3.6226415094339624E-2</v>
      </c>
      <c r="T30" s="170">
        <f t="shared" si="12"/>
        <v>2.9797470318926048E-2</v>
      </c>
      <c r="U30" s="170">
        <f t="shared" si="10"/>
        <v>3.7681854942632929E-3</v>
      </c>
      <c r="V30" s="171">
        <f t="shared" si="13"/>
        <v>76.8</v>
      </c>
    </row>
    <row r="31" spans="1:22" ht="13.8">
      <c r="A31" s="161" t="str">
        <f>HYPERLINK("http://www.thedividendpig.com/dividend-stocks/services/industrial-equipment-wholesale/gww-ww-grainger-inc/","GWW")</f>
        <v>GWW</v>
      </c>
      <c r="B31" s="162">
        <v>44378</v>
      </c>
      <c r="C31" s="163">
        <f t="shared" si="8"/>
        <v>2021</v>
      </c>
      <c r="D31" s="162"/>
      <c r="E31" s="163">
        <f>10+10</f>
        <v>20</v>
      </c>
      <c r="F31" s="204">
        <v>184</v>
      </c>
      <c r="G31" s="204">
        <f t="shared" si="0"/>
        <v>3680</v>
      </c>
      <c r="H31" s="165">
        <v>20</v>
      </c>
      <c r="I31" s="204">
        <f>1916.6+1845.72</f>
        <v>3762.3199999999997</v>
      </c>
      <c r="J31" s="204">
        <f t="shared" si="1"/>
        <v>188.11599999999999</v>
      </c>
      <c r="K31" s="204"/>
      <c r="L31" s="166"/>
      <c r="M31" s="166">
        <f t="shared" si="2"/>
        <v>-82.319999999999709</v>
      </c>
      <c r="N31" s="167">
        <f t="shared" si="3"/>
        <v>-2.1880116523846912E-2</v>
      </c>
      <c r="O31" s="164" t="str">
        <f t="shared" si="9"/>
        <v>High Risk</v>
      </c>
      <c r="P31" s="164" t="s">
        <v>19</v>
      </c>
      <c r="Q31" s="165">
        <v>1.36</v>
      </c>
      <c r="R31" s="165">
        <f t="shared" si="4"/>
        <v>108.80000000000001</v>
      </c>
      <c r="S31" s="170">
        <f t="shared" si="11"/>
        <v>2.9565217391304351E-2</v>
      </c>
      <c r="T31" s="170">
        <f t="shared" si="12"/>
        <v>2.8918326989729747E-2</v>
      </c>
      <c r="U31" s="170">
        <f t="shared" si="10"/>
        <v>6.5410012353249612E-3</v>
      </c>
      <c r="V31" s="171">
        <f t="shared" si="13"/>
        <v>108.80000000000001</v>
      </c>
    </row>
    <row r="32" spans="1:22" ht="13.8">
      <c r="A32" s="161" t="str">
        <f>HYPERLINK("http://www.thedividendpig.com/dividend-stocks/consumer-goods/personal-products/pg-procter-and-gamble-co/","PG")</f>
        <v>PG</v>
      </c>
      <c r="B32" s="162">
        <v>44378</v>
      </c>
      <c r="C32" s="163">
        <f t="shared" si="8"/>
        <v>2021</v>
      </c>
      <c r="D32" s="162"/>
      <c r="E32" s="163">
        <f>15+25+8+10+3</f>
        <v>61</v>
      </c>
      <c r="F32" s="204">
        <v>91</v>
      </c>
      <c r="G32" s="204">
        <f t="shared" si="0"/>
        <v>5551</v>
      </c>
      <c r="H32" s="165">
        <v>61</v>
      </c>
      <c r="I32" s="204">
        <f>1271+1996.75+580+718.6+212.97</f>
        <v>4779.3200000000006</v>
      </c>
      <c r="J32" s="204">
        <f t="shared" si="1"/>
        <v>78.349508196721317</v>
      </c>
      <c r="K32" s="204">
        <v>8.9499999999999993</v>
      </c>
      <c r="L32" s="166" t="str">
        <f ca="1">IFERROR(__xludf.DUMMYFUNCTION("GoogleFinance(A32,""change"") &amp; ""  ("" &amp; GoogleFinance(A32,""changepct"") &amp; ""%)"""),"0.21  (0.2%)")</f>
        <v>0.21  (0.2%)</v>
      </c>
      <c r="M32" s="166">
        <f t="shared" si="2"/>
        <v>762.72999999999956</v>
      </c>
      <c r="N32" s="167">
        <f t="shared" si="3"/>
        <v>0.1614623000761613</v>
      </c>
      <c r="O32" s="164" t="str">
        <f t="shared" si="9"/>
        <v>Medium Risk</v>
      </c>
      <c r="P32" s="164" t="s">
        <v>18</v>
      </c>
      <c r="Q32" s="165">
        <v>0.72</v>
      </c>
      <c r="R32" s="165">
        <f t="shared" si="4"/>
        <v>175.68</v>
      </c>
      <c r="S32" s="170">
        <f t="shared" si="11"/>
        <v>3.1648351648351648E-2</v>
      </c>
      <c r="T32" s="170">
        <f t="shared" si="12"/>
        <v>3.6758367299113678E-2</v>
      </c>
      <c r="U32" s="170">
        <f t="shared" si="10"/>
        <v>9.8666026786111034E-3</v>
      </c>
      <c r="V32" s="171">
        <f t="shared" si="13"/>
        <v>175.68</v>
      </c>
    </row>
    <row r="33" spans="1:22" ht="13.8">
      <c r="A33" s="172" t="s">
        <v>34</v>
      </c>
      <c r="B33" s="162">
        <v>44470</v>
      </c>
      <c r="C33" s="163">
        <f t="shared" si="8"/>
        <v>2021</v>
      </c>
      <c r="D33" s="162"/>
      <c r="E33" s="163">
        <f>8+5+3+5</f>
        <v>21</v>
      </c>
      <c r="F33" s="204">
        <v>55</v>
      </c>
      <c r="G33" s="204">
        <f t="shared" si="0"/>
        <v>1155</v>
      </c>
      <c r="H33" s="165">
        <v>21</v>
      </c>
      <c r="I33" s="204">
        <f>530+331.35+179.28+283.35</f>
        <v>1323.98</v>
      </c>
      <c r="J33" s="204">
        <f t="shared" si="1"/>
        <v>63.046666666666667</v>
      </c>
      <c r="K33" s="204"/>
      <c r="L33" s="166"/>
      <c r="M33" s="166">
        <f t="shared" si="2"/>
        <v>-168.98000000000002</v>
      </c>
      <c r="N33" s="167">
        <f t="shared" si="3"/>
        <v>-0.12763032674209582</v>
      </c>
      <c r="O33" s="164" t="str">
        <f t="shared" si="9"/>
        <v>High Risk</v>
      </c>
      <c r="P33" s="164" t="s">
        <v>35</v>
      </c>
      <c r="Q33" s="165">
        <v>0.38</v>
      </c>
      <c r="R33" s="165">
        <f t="shared" si="4"/>
        <v>31.92</v>
      </c>
      <c r="S33" s="170">
        <f t="shared" si="11"/>
        <v>2.7636363636363636E-2</v>
      </c>
      <c r="T33" s="170">
        <f t="shared" si="12"/>
        <v>2.4109125515491169E-2</v>
      </c>
      <c r="U33" s="170">
        <f t="shared" si="10"/>
        <v>2.0529501159783506E-3</v>
      </c>
      <c r="V33" s="171">
        <f t="shared" si="13"/>
        <v>31.92</v>
      </c>
    </row>
    <row r="34" spans="1:22" ht="13.8">
      <c r="A34" s="172" t="s">
        <v>36</v>
      </c>
      <c r="B34" s="162">
        <v>44470</v>
      </c>
      <c r="C34" s="163">
        <f t="shared" si="8"/>
        <v>2021</v>
      </c>
      <c r="D34" s="162"/>
      <c r="E34" s="165">
        <f>20+5+8+5+5</f>
        <v>43</v>
      </c>
      <c r="F34" s="204">
        <v>46</v>
      </c>
      <c r="G34" s="204">
        <f t="shared" si="0"/>
        <v>1978</v>
      </c>
      <c r="H34" s="165">
        <v>43</v>
      </c>
      <c r="I34" s="204">
        <f>499.6+122.5+156.8+96.95+94.05</f>
        <v>969.90000000000009</v>
      </c>
      <c r="J34" s="204">
        <f t="shared" si="1"/>
        <v>22.555813953488375</v>
      </c>
      <c r="K34" s="204"/>
      <c r="L34" s="166"/>
      <c r="M34" s="166">
        <f t="shared" si="2"/>
        <v>1008.0999999999999</v>
      </c>
      <c r="N34" s="167">
        <f t="shared" si="3"/>
        <v>1.0393855036601709</v>
      </c>
      <c r="O34" s="164" t="str">
        <f t="shared" si="9"/>
        <v>Low Risk</v>
      </c>
      <c r="P34" s="164" t="s">
        <v>35</v>
      </c>
      <c r="Q34" s="165">
        <v>0.92</v>
      </c>
      <c r="R34" s="165">
        <f t="shared" si="4"/>
        <v>158.24</v>
      </c>
      <c r="S34" s="170">
        <f t="shared" si="11"/>
        <v>0.08</v>
      </c>
      <c r="T34" s="170">
        <f t="shared" si="12"/>
        <v>0.16315084029281368</v>
      </c>
      <c r="U34" s="170">
        <f t="shared" si="10"/>
        <v>3.5157881639871669E-3</v>
      </c>
      <c r="V34" s="171">
        <f t="shared" si="13"/>
        <v>158.24</v>
      </c>
    </row>
    <row r="35" spans="1:22" ht="13.8">
      <c r="A35" s="172" t="s">
        <v>37</v>
      </c>
      <c r="B35" s="162">
        <v>44470</v>
      </c>
      <c r="C35" s="163">
        <f t="shared" si="8"/>
        <v>2021</v>
      </c>
      <c r="D35" s="162"/>
      <c r="E35" s="165">
        <f>5+3+5</f>
        <v>13</v>
      </c>
      <c r="F35" s="204">
        <v>106</v>
      </c>
      <c r="G35" s="204">
        <f t="shared" ref="G35:G66" si="14">F35*E35</f>
        <v>1378</v>
      </c>
      <c r="H35" s="165">
        <v>13</v>
      </c>
      <c r="I35" s="204">
        <f>391.2+233.58+384.3</f>
        <v>1009.0799999999999</v>
      </c>
      <c r="J35" s="204">
        <f t="shared" ref="J35:J66" si="15">I35/H35</f>
        <v>77.621538461538449</v>
      </c>
      <c r="K35" s="204"/>
      <c r="L35" s="166"/>
      <c r="M35" s="166">
        <f t="shared" ref="M35:M66" si="16">G35-(I35+K35)</f>
        <v>368.92000000000007</v>
      </c>
      <c r="N35" s="167">
        <f t="shared" ref="N35:N66" si="17">(G35-I35)/I35</f>
        <v>0.36560034883260006</v>
      </c>
      <c r="O35" s="164" t="str">
        <f t="shared" si="9"/>
        <v>Low Risk</v>
      </c>
      <c r="P35" s="164" t="s">
        <v>35</v>
      </c>
      <c r="Q35" s="165">
        <v>0.62</v>
      </c>
      <c r="R35" s="165">
        <f t="shared" ref="R35:R66" si="18">Q35*4*E35</f>
        <v>32.24</v>
      </c>
      <c r="S35" s="170">
        <f t="shared" si="11"/>
        <v>2.339622641509434E-2</v>
      </c>
      <c r="T35" s="170">
        <f t="shared" si="12"/>
        <v>3.1949894953819329E-2</v>
      </c>
      <c r="U35" s="170">
        <f t="shared" si="10"/>
        <v>2.4493205712711407E-3</v>
      </c>
      <c r="V35" s="171">
        <f t="shared" si="13"/>
        <v>32.24</v>
      </c>
    </row>
    <row r="36" spans="1:22" ht="13.8">
      <c r="A36" s="161" t="str">
        <f>HYPERLINK("https://www.thedividendpig.com/dividend-stocks/consumer-goods/personal-products/kmb-kimberly-clark-corp/","KMB")</f>
        <v>KMB</v>
      </c>
      <c r="B36" s="162">
        <v>44470</v>
      </c>
      <c r="C36" s="163">
        <f t="shared" si="8"/>
        <v>2021</v>
      </c>
      <c r="D36" s="162"/>
      <c r="E36" s="165">
        <f>25+10+5+4</f>
        <v>44</v>
      </c>
      <c r="F36" s="204">
        <v>67</v>
      </c>
      <c r="G36" s="204">
        <f t="shared" si="14"/>
        <v>2948</v>
      </c>
      <c r="H36" s="165">
        <v>44</v>
      </c>
      <c r="I36" s="204">
        <f>2771.5+1158.5+553.95+416.56</f>
        <v>4900.51</v>
      </c>
      <c r="J36" s="204">
        <f t="shared" si="15"/>
        <v>111.37522727272727</v>
      </c>
      <c r="K36" s="204"/>
      <c r="L36" s="166"/>
      <c r="M36" s="166">
        <f t="shared" si="16"/>
        <v>-1952.5100000000002</v>
      </c>
      <c r="N36" s="167">
        <f t="shared" si="17"/>
        <v>-0.39842995933076358</v>
      </c>
      <c r="O36" s="164" t="str">
        <f t="shared" si="9"/>
        <v>High Risk</v>
      </c>
      <c r="P36" s="164" t="s">
        <v>18</v>
      </c>
      <c r="Q36" s="165">
        <v>0.97</v>
      </c>
      <c r="R36" s="165">
        <f t="shared" si="18"/>
        <v>170.72</v>
      </c>
      <c r="S36" s="170">
        <f t="shared" si="11"/>
        <v>5.7910447761194028E-2</v>
      </c>
      <c r="T36" s="170">
        <f t="shared" si="12"/>
        <v>3.4837190414875187E-2</v>
      </c>
      <c r="U36" s="170">
        <f t="shared" si="10"/>
        <v>5.2399107722114098E-3</v>
      </c>
      <c r="V36" s="171">
        <f t="shared" si="13"/>
        <v>170.72</v>
      </c>
    </row>
    <row r="37" spans="1:22" ht="13.8">
      <c r="A37" s="161" t="str">
        <f>HYPERLINK("http://www.thedividendpig.com/dividend-stocks/financial/property-and-casualty-insurance/trv-travelers-companies/","TRV")</f>
        <v>TRV</v>
      </c>
      <c r="B37" s="162">
        <v>44470</v>
      </c>
      <c r="C37" s="163">
        <f t="shared" si="8"/>
        <v>2021</v>
      </c>
      <c r="D37" s="162"/>
      <c r="E37" s="165">
        <f>11+15</f>
        <v>26</v>
      </c>
      <c r="F37" s="204">
        <v>91</v>
      </c>
      <c r="G37" s="204">
        <f t="shared" si="14"/>
        <v>2366</v>
      </c>
      <c r="H37" s="165">
        <v>26</v>
      </c>
      <c r="I37" s="204">
        <f>1209.84+1806</f>
        <v>3015.84</v>
      </c>
      <c r="J37" s="204">
        <f t="shared" si="15"/>
        <v>115.99384615384616</v>
      </c>
      <c r="K37" s="204"/>
      <c r="L37" s="166"/>
      <c r="M37" s="166">
        <f t="shared" si="16"/>
        <v>-649.84000000000015</v>
      </c>
      <c r="N37" s="167">
        <f t="shared" si="17"/>
        <v>-0.2154756220489151</v>
      </c>
      <c r="O37" s="164" t="str">
        <f t="shared" si="9"/>
        <v>High Risk</v>
      </c>
      <c r="P37" s="164" t="s">
        <v>29</v>
      </c>
      <c r="Q37" s="165">
        <v>0.77</v>
      </c>
      <c r="R37" s="165">
        <f t="shared" si="18"/>
        <v>80.08</v>
      </c>
      <c r="S37" s="170">
        <f t="shared" si="11"/>
        <v>3.3846153846153845E-2</v>
      </c>
      <c r="T37" s="170">
        <f t="shared" si="12"/>
        <v>2.6553132792190567E-2</v>
      </c>
      <c r="U37" s="170">
        <f t="shared" si="10"/>
        <v>4.2054372072768634E-3</v>
      </c>
      <c r="V37" s="171">
        <f t="shared" si="13"/>
        <v>80.08</v>
      </c>
    </row>
    <row r="38" spans="1:22" ht="13.8">
      <c r="A38" s="161" t="str">
        <f>HYPERLINK("http://www.thedividendpig.com/dividend-stocks/services/discount-variety-stores/wmt-wal-mart-stores-inc/","WMT")</f>
        <v>WMT</v>
      </c>
      <c r="B38" s="162">
        <v>44470</v>
      </c>
      <c r="C38" s="163">
        <f t="shared" si="8"/>
        <v>2021</v>
      </c>
      <c r="D38" s="162"/>
      <c r="E38" s="163">
        <f>20+20+6</f>
        <v>46</v>
      </c>
      <c r="F38" s="204">
        <v>93</v>
      </c>
      <c r="G38" s="204">
        <f t="shared" si="14"/>
        <v>4278</v>
      </c>
      <c r="H38" s="165">
        <v>40</v>
      </c>
      <c r="I38" s="204">
        <f>1649.6+1444.4+350.82</f>
        <v>3444.82</v>
      </c>
      <c r="J38" s="204">
        <f t="shared" si="15"/>
        <v>86.120500000000007</v>
      </c>
      <c r="K38" s="204">
        <v>8.9499999999999993</v>
      </c>
      <c r="L38" s="166" t="str">
        <f ca="1">IFERROR(__xludf.DUMMYFUNCTION("GoogleFinance(A38,""change"") &amp; ""  ("" &amp; GoogleFinance(A38,""changepct"") &amp; ""%)"""),"0.72  (0.73%)")</f>
        <v>0.72  (0.73%)</v>
      </c>
      <c r="M38" s="166">
        <f t="shared" si="16"/>
        <v>824.23</v>
      </c>
      <c r="N38" s="167">
        <f t="shared" si="17"/>
        <v>0.2418645966988115</v>
      </c>
      <c r="O38" s="164" t="str">
        <f t="shared" si="9"/>
        <v>Medium Risk</v>
      </c>
      <c r="P38" s="164" t="s">
        <v>18</v>
      </c>
      <c r="Q38" s="165">
        <v>0.52</v>
      </c>
      <c r="R38" s="165">
        <f t="shared" si="18"/>
        <v>95.68</v>
      </c>
      <c r="S38" s="170">
        <f t="shared" si="11"/>
        <v>2.2365591397849462E-2</v>
      </c>
      <c r="T38" s="170">
        <f t="shared" si="12"/>
        <v>2.415220534019194E-2</v>
      </c>
      <c r="U38" s="170">
        <f t="shared" si="10"/>
        <v>7.6039139360652682E-3</v>
      </c>
      <c r="V38" s="171">
        <f t="shared" si="13"/>
        <v>95.68</v>
      </c>
    </row>
    <row r="39" spans="1:22" ht="13.8">
      <c r="A39" s="161" t="str">
        <f>HYPERLINK("http://www.thedividendpig.com/dividend-stocks/technology/business-software-and-services/msft-microsoft-corp/","MSFT")</f>
        <v>MSFT</v>
      </c>
      <c r="B39" s="162">
        <v>44470</v>
      </c>
      <c r="C39" s="163">
        <f t="shared" si="8"/>
        <v>2021</v>
      </c>
      <c r="D39" s="162"/>
      <c r="E39" s="163">
        <f>49+7+7+2</f>
        <v>65</v>
      </c>
      <c r="F39" s="204">
        <v>36</v>
      </c>
      <c r="G39" s="204">
        <f t="shared" si="14"/>
        <v>2340</v>
      </c>
      <c r="H39" s="165">
        <v>64</v>
      </c>
      <c r="I39" s="204">
        <f>1950+354.13+360.57+190.9</f>
        <v>2855.6000000000004</v>
      </c>
      <c r="J39" s="204">
        <f t="shared" si="15"/>
        <v>44.618750000000006</v>
      </c>
      <c r="K39" s="204">
        <v>8.9499999999999993</v>
      </c>
      <c r="L39" s="166" t="str">
        <f ca="1">IFERROR(__xludf.DUMMYFUNCTION("GoogleFinance(A38,""change"") &amp; ""  ("" &amp; GoogleFinance(A38,""changepct"") &amp; ""%)"""),"0.72  (0.73%)")</f>
        <v>0.72  (0.73%)</v>
      </c>
      <c r="M39" s="166">
        <f t="shared" si="16"/>
        <v>-524.55000000000018</v>
      </c>
      <c r="N39" s="167">
        <f t="shared" si="17"/>
        <v>-0.18055750105056742</v>
      </c>
      <c r="O39" s="164" t="str">
        <f t="shared" si="9"/>
        <v>High Risk</v>
      </c>
      <c r="P39" s="164" t="s">
        <v>33</v>
      </c>
      <c r="Q39" s="165">
        <v>0.46</v>
      </c>
      <c r="R39" s="165">
        <f t="shared" si="18"/>
        <v>119.60000000000001</v>
      </c>
      <c r="S39" s="170">
        <f t="shared" si="11"/>
        <v>5.1111111111111114E-2</v>
      </c>
      <c r="T39" s="170">
        <f t="shared" si="12"/>
        <v>4.1238268665079139E-2</v>
      </c>
      <c r="U39" s="170">
        <f t="shared" si="10"/>
        <v>4.1592236115925024E-3</v>
      </c>
      <c r="V39" s="171">
        <f t="shared" si="13"/>
        <v>119.60000000000001</v>
      </c>
    </row>
    <row r="40" spans="1:22" ht="13.8">
      <c r="A40" s="161" t="str">
        <f>HYPERLINK("http://www.thedividendpig.com/dividend-stocks/services/railroads/unp-union-pacific/","UNP")</f>
        <v>UNP</v>
      </c>
      <c r="B40" s="162">
        <v>44470</v>
      </c>
      <c r="C40" s="163">
        <f t="shared" si="8"/>
        <v>2021</v>
      </c>
      <c r="D40" s="162"/>
      <c r="E40" s="163">
        <f>15+8+4+4</f>
        <v>31</v>
      </c>
      <c r="F40" s="204">
        <v>92</v>
      </c>
      <c r="G40" s="204">
        <f t="shared" si="14"/>
        <v>2852</v>
      </c>
      <c r="H40" s="165">
        <v>31</v>
      </c>
      <c r="I40" s="204">
        <f>1538.25+761.36+313.64+327.44</f>
        <v>2940.69</v>
      </c>
      <c r="J40" s="204">
        <f t="shared" si="15"/>
        <v>94.860967741935482</v>
      </c>
      <c r="K40" s="204"/>
      <c r="L40" s="166"/>
      <c r="M40" s="166">
        <f t="shared" si="16"/>
        <v>-88.690000000000055</v>
      </c>
      <c r="N40" s="167">
        <f t="shared" si="17"/>
        <v>-3.0159588395920704E-2</v>
      </c>
      <c r="O40" s="164" t="str">
        <f t="shared" si="9"/>
        <v>High Risk</v>
      </c>
      <c r="P40" s="164" t="s">
        <v>19</v>
      </c>
      <c r="Q40" s="165">
        <v>0.8</v>
      </c>
      <c r="R40" s="165">
        <f t="shared" si="18"/>
        <v>99.2</v>
      </c>
      <c r="S40" s="170">
        <f t="shared" si="11"/>
        <v>3.4782608695652174E-2</v>
      </c>
      <c r="T40" s="170">
        <f t="shared" si="12"/>
        <v>3.3733579534054932E-2</v>
      </c>
      <c r="U40" s="170">
        <f t="shared" si="10"/>
        <v>5.0692759573768452E-3</v>
      </c>
      <c r="V40" s="171">
        <f t="shared" si="13"/>
        <v>99.2</v>
      </c>
    </row>
    <row r="41" spans="1:22" ht="13.8">
      <c r="A41" s="161" t="str">
        <f>HYPERLINK("http://www.thedividendpig.com/dividend-stocks/healthcare/health-care-plans/unh-unitedhealth-group-inc/","UNH")</f>
        <v>UNH</v>
      </c>
      <c r="B41" s="162">
        <v>44470</v>
      </c>
      <c r="C41" s="163">
        <f t="shared" si="8"/>
        <v>2021</v>
      </c>
      <c r="D41" s="162"/>
      <c r="E41" s="163">
        <f>5+2+6</f>
        <v>13</v>
      </c>
      <c r="F41" s="204">
        <v>179</v>
      </c>
      <c r="G41" s="204">
        <f t="shared" si="14"/>
        <v>2327</v>
      </c>
      <c r="H41" s="165">
        <v>13</v>
      </c>
      <c r="I41" s="204">
        <f>559.99+495+1500.66</f>
        <v>2555.65</v>
      </c>
      <c r="J41" s="204">
        <f t="shared" si="15"/>
        <v>196.58846153846156</v>
      </c>
      <c r="K41" s="204"/>
      <c r="L41" s="166"/>
      <c r="M41" s="166">
        <f t="shared" si="16"/>
        <v>-228.65000000000009</v>
      </c>
      <c r="N41" s="167">
        <f t="shared" si="17"/>
        <v>-8.9468432688357205E-2</v>
      </c>
      <c r="O41" s="164" t="str">
        <f t="shared" si="9"/>
        <v>High Risk</v>
      </c>
      <c r="P41" s="164" t="s">
        <v>38</v>
      </c>
      <c r="Q41" s="165">
        <v>0.9</v>
      </c>
      <c r="R41" s="165">
        <f t="shared" si="18"/>
        <v>46.800000000000004</v>
      </c>
      <c r="S41" s="170">
        <f t="shared" si="11"/>
        <v>2.0111731843575419E-2</v>
      </c>
      <c r="T41" s="170">
        <f t="shared" si="12"/>
        <v>1.8312366716882199E-2</v>
      </c>
      <c r="U41" s="170">
        <f t="shared" si="10"/>
        <v>4.1361168137503219E-3</v>
      </c>
      <c r="V41" s="171">
        <f t="shared" si="13"/>
        <v>46.800000000000004</v>
      </c>
    </row>
    <row r="42" spans="1:22" ht="13.8">
      <c r="A42" s="161" t="str">
        <f>HYPERLINK("http://www.thedividendpig.com/dividend-stocks/industrial-goods/aerospace-defense-products-and-services/ba-boeing-company/","BA")</f>
        <v>BA</v>
      </c>
      <c r="B42" s="162">
        <v>44470</v>
      </c>
      <c r="C42" s="163">
        <f t="shared" si="8"/>
        <v>2021</v>
      </c>
      <c r="D42" s="162"/>
      <c r="E42" s="163">
        <f>6+3+21+2</f>
        <v>32</v>
      </c>
      <c r="F42" s="204">
        <v>145</v>
      </c>
      <c r="G42" s="204">
        <f t="shared" si="14"/>
        <v>4640</v>
      </c>
      <c r="H42" s="165">
        <v>32</v>
      </c>
      <c r="I42" s="204">
        <f>801.98+356.58+2588.46+727.38</f>
        <v>4474.3999999999996</v>
      </c>
      <c r="J42" s="204">
        <f t="shared" si="15"/>
        <v>139.82499999999999</v>
      </c>
      <c r="K42" s="204"/>
      <c r="L42" s="166"/>
      <c r="M42" s="166">
        <f t="shared" si="16"/>
        <v>165.60000000000036</v>
      </c>
      <c r="N42" s="167">
        <f t="shared" si="17"/>
        <v>3.7010548900411312E-2</v>
      </c>
      <c r="O42" s="164" t="str">
        <f t="shared" si="9"/>
        <v>High Risk</v>
      </c>
      <c r="P42" s="164" t="s">
        <v>19</v>
      </c>
      <c r="Q42" s="165">
        <v>1.71</v>
      </c>
      <c r="R42" s="165">
        <f t="shared" si="18"/>
        <v>218.88</v>
      </c>
      <c r="S42" s="170">
        <f t="shared" si="11"/>
        <v>4.7172413793103447E-2</v>
      </c>
      <c r="T42" s="170">
        <f t="shared" si="12"/>
        <v>4.8918290720543538E-2</v>
      </c>
      <c r="U42" s="170">
        <f t="shared" si="10"/>
        <v>8.2473493836706033E-3</v>
      </c>
      <c r="V42" s="171">
        <f t="shared" si="13"/>
        <v>218.88</v>
      </c>
    </row>
    <row r="43" spans="1:22" ht="13.8">
      <c r="A43" s="161" t="str">
        <f>HYPERLINK("http://www.thedividendpig.com/dividend-stocks/services/staffing-and-outsourcing-services/payx-paychex-inc/","PAYX")</f>
        <v>PAYX</v>
      </c>
      <c r="B43" s="162">
        <v>44562</v>
      </c>
      <c r="C43" s="163">
        <f t="shared" si="8"/>
        <v>2022</v>
      </c>
      <c r="D43" s="162"/>
      <c r="E43" s="163">
        <v>30</v>
      </c>
      <c r="F43" s="204">
        <v>98</v>
      </c>
      <c r="G43" s="204">
        <f t="shared" si="14"/>
        <v>2940</v>
      </c>
      <c r="H43" s="165">
        <v>30</v>
      </c>
      <c r="I43" s="204">
        <v>1739.1</v>
      </c>
      <c r="J43" s="204">
        <f t="shared" si="15"/>
        <v>57.97</v>
      </c>
      <c r="K43" s="204"/>
      <c r="L43" s="166"/>
      <c r="M43" s="166">
        <f t="shared" si="16"/>
        <v>1200.9000000000001</v>
      </c>
      <c r="N43" s="167">
        <f t="shared" si="17"/>
        <v>0.69052958426772482</v>
      </c>
      <c r="O43" s="164" t="str">
        <f t="shared" si="9"/>
        <v>Low Risk</v>
      </c>
      <c r="P43" s="164" t="s">
        <v>33</v>
      </c>
      <c r="Q43" s="165">
        <v>0.56000000000000005</v>
      </c>
      <c r="R43" s="165">
        <f t="shared" si="18"/>
        <v>67.2</v>
      </c>
      <c r="S43" s="170">
        <f t="shared" si="11"/>
        <v>2.2857142857142861E-2</v>
      </c>
      <c r="T43" s="170">
        <f t="shared" si="12"/>
        <v>3.8640676211833709E-2</v>
      </c>
      <c r="U43" s="170">
        <f t="shared" si="10"/>
        <v>5.2256912043085295E-3</v>
      </c>
      <c r="V43" s="171">
        <f t="shared" si="13"/>
        <v>67.2</v>
      </c>
    </row>
    <row r="44" spans="1:22" ht="13.8">
      <c r="A44" s="161" t="str">
        <f>HYPERLINK("http://www.thedividendpig.com/dividend-stocks/healthcare/drug-manufacturers-major/jnj-johnson-and-johnson/","JNJ")</f>
        <v>JNJ</v>
      </c>
      <c r="B44" s="162">
        <v>44562</v>
      </c>
      <c r="C44" s="163">
        <f t="shared" si="8"/>
        <v>2022</v>
      </c>
      <c r="D44" s="162"/>
      <c r="E44" s="163">
        <f>15+8+10+15+5+5+5+4+3+4</f>
        <v>74</v>
      </c>
      <c r="F44" s="204">
        <v>105</v>
      </c>
      <c r="G44" s="204">
        <f t="shared" si="14"/>
        <v>7770</v>
      </c>
      <c r="H44" s="165">
        <v>74</v>
      </c>
      <c r="I44" s="204">
        <f>1498.45+767.5+1323.2+646.45+638.25+607+601.35+510.8+380.58+491.84</f>
        <v>7465.42</v>
      </c>
      <c r="J44" s="204">
        <f t="shared" si="15"/>
        <v>100.88405405405406</v>
      </c>
      <c r="K44" s="204"/>
      <c r="L44" s="166"/>
      <c r="M44" s="166">
        <f t="shared" si="16"/>
        <v>304.57999999999993</v>
      </c>
      <c r="N44" s="167">
        <f t="shared" si="17"/>
        <v>4.0798776224244576E-2</v>
      </c>
      <c r="O44" s="164" t="str">
        <f t="shared" si="9"/>
        <v>High Risk</v>
      </c>
      <c r="P44" s="164" t="s">
        <v>38</v>
      </c>
      <c r="Q44" s="165">
        <v>0.9</v>
      </c>
      <c r="R44" s="165">
        <f t="shared" si="18"/>
        <v>266.40000000000003</v>
      </c>
      <c r="S44" s="170">
        <f t="shared" si="11"/>
        <v>3.4285714285714287E-2</v>
      </c>
      <c r="T44" s="170">
        <f t="shared" si="12"/>
        <v>3.5684529470545526E-2</v>
      </c>
      <c r="U44" s="170">
        <f t="shared" si="10"/>
        <v>1.3810755325672542E-2</v>
      </c>
      <c r="V44" s="171">
        <f t="shared" si="13"/>
        <v>266.40000000000003</v>
      </c>
    </row>
    <row r="45" spans="1:22" ht="13.8">
      <c r="A45" s="161" t="str">
        <f>HYPERLINK("http://www.thedividendpig.com/dividend-stocks/industrial-goods/diversified-machinery/mmm-3m/","MMM")</f>
        <v>MMM</v>
      </c>
      <c r="B45" s="162">
        <v>44562</v>
      </c>
      <c r="C45" s="163">
        <f t="shared" si="8"/>
        <v>2022</v>
      </c>
      <c r="D45" s="162"/>
      <c r="E45" s="163">
        <f>9+7+7+4+5+3+4+5+3+1+8+2+2+4</f>
        <v>64</v>
      </c>
      <c r="F45" s="204">
        <v>152</v>
      </c>
      <c r="G45" s="204">
        <f t="shared" si="14"/>
        <v>9728</v>
      </c>
      <c r="H45" s="165">
        <v>61</v>
      </c>
      <c r="I45" s="204">
        <f>1387.8+586.93+411.58+862.68+1118.85+647.64+788.04+985.25+593.58+198.2+1562.8+395.72+393.72+783.44</f>
        <v>10716.23</v>
      </c>
      <c r="J45" s="204">
        <f t="shared" si="15"/>
        <v>175.67590163934426</v>
      </c>
      <c r="K45" s="204"/>
      <c r="L45" s="166"/>
      <c r="M45" s="166">
        <f t="shared" si="16"/>
        <v>-988.22999999999956</v>
      </c>
      <c r="N45" s="167">
        <f t="shared" si="17"/>
        <v>-9.2218065495048129E-2</v>
      </c>
      <c r="O45" s="164" t="str">
        <f t="shared" si="9"/>
        <v>High Risk</v>
      </c>
      <c r="P45" s="164" t="s">
        <v>19</v>
      </c>
      <c r="Q45" s="165">
        <v>1.36</v>
      </c>
      <c r="R45" s="165">
        <f t="shared" si="18"/>
        <v>348.16</v>
      </c>
      <c r="S45" s="170">
        <f t="shared" si="11"/>
        <v>3.5789473684210531E-2</v>
      </c>
      <c r="T45" s="170">
        <f t="shared" si="12"/>
        <v>3.096611401584326E-2</v>
      </c>
      <c r="U45" s="170">
        <f t="shared" si="10"/>
        <v>1.7290994569902508E-2</v>
      </c>
      <c r="V45" s="171">
        <f t="shared" si="13"/>
        <v>348.16</v>
      </c>
    </row>
    <row r="46" spans="1:22" ht="13.8">
      <c r="A46" s="161" t="str">
        <f>HYPERLINK("http://www.thedividendpig.com/dividend-stocks/financial/money-center-banks/wfc-wells-fargo-and-co/","WFC")</f>
        <v>WFC</v>
      </c>
      <c r="B46" s="162">
        <v>44562</v>
      </c>
      <c r="C46" s="163">
        <f t="shared" si="8"/>
        <v>2022</v>
      </c>
      <c r="D46" s="162"/>
      <c r="E46" s="163">
        <f>16+21+5+10+8</f>
        <v>60</v>
      </c>
      <c r="F46" s="204">
        <v>56</v>
      </c>
      <c r="G46" s="204">
        <f t="shared" si="14"/>
        <v>3360</v>
      </c>
      <c r="H46" s="165">
        <v>60</v>
      </c>
      <c r="I46" s="204">
        <f>887.2+1101.03+224.3+478.6+360.68</f>
        <v>3051.81</v>
      </c>
      <c r="J46" s="204">
        <f t="shared" si="15"/>
        <v>50.863500000000002</v>
      </c>
      <c r="K46" s="204"/>
      <c r="L46" s="166"/>
      <c r="M46" s="166">
        <f t="shared" si="16"/>
        <v>308.19000000000005</v>
      </c>
      <c r="N46" s="167">
        <f t="shared" si="17"/>
        <v>0.10098597225908561</v>
      </c>
      <c r="O46" s="164" t="str">
        <f t="shared" si="9"/>
        <v>Medium Risk</v>
      </c>
      <c r="P46" s="164" t="s">
        <v>29</v>
      </c>
      <c r="Q46" s="165">
        <v>0.43</v>
      </c>
      <c r="R46" s="165">
        <f t="shared" si="18"/>
        <v>103.2</v>
      </c>
      <c r="S46" s="170">
        <f t="shared" si="11"/>
        <v>3.0714285714285715E-2</v>
      </c>
      <c r="T46" s="170">
        <f t="shared" si="12"/>
        <v>3.3815997719386197E-2</v>
      </c>
      <c r="U46" s="170">
        <f t="shared" si="10"/>
        <v>5.9722185192097477E-3</v>
      </c>
      <c r="V46" s="171">
        <f t="shared" si="13"/>
        <v>103.2</v>
      </c>
    </row>
    <row r="47" spans="1:22" ht="13.8">
      <c r="A47" s="172" t="s">
        <v>39</v>
      </c>
      <c r="B47" s="162">
        <v>44562</v>
      </c>
      <c r="C47" s="163">
        <f t="shared" si="8"/>
        <v>2022</v>
      </c>
      <c r="D47" s="162"/>
      <c r="E47" s="165">
        <f>10+3</f>
        <v>13</v>
      </c>
      <c r="F47" s="204">
        <v>73</v>
      </c>
      <c r="G47" s="204">
        <f t="shared" si="14"/>
        <v>949</v>
      </c>
      <c r="H47" s="165">
        <v>13</v>
      </c>
      <c r="I47" s="204">
        <f>514.5+150</f>
        <v>664.5</v>
      </c>
      <c r="J47" s="204">
        <f t="shared" si="15"/>
        <v>51.115384615384613</v>
      </c>
      <c r="K47" s="204"/>
      <c r="L47" s="166"/>
      <c r="M47" s="166">
        <f t="shared" si="16"/>
        <v>284.5</v>
      </c>
      <c r="N47" s="167">
        <f t="shared" si="17"/>
        <v>0.42814145974416856</v>
      </c>
      <c r="O47" s="164" t="str">
        <f t="shared" si="9"/>
        <v>Low Risk</v>
      </c>
      <c r="P47" s="164" t="s">
        <v>29</v>
      </c>
      <c r="Q47" s="165">
        <v>0.28000000000000003</v>
      </c>
      <c r="R47" s="165">
        <f t="shared" si="18"/>
        <v>14.560000000000002</v>
      </c>
      <c r="S47" s="170">
        <f t="shared" si="11"/>
        <v>1.5342465753424659E-2</v>
      </c>
      <c r="T47" s="170">
        <f t="shared" si="12"/>
        <v>2.191121143717081E-2</v>
      </c>
      <c r="U47" s="170">
        <f t="shared" si="10"/>
        <v>1.6867962424791817E-3</v>
      </c>
      <c r="V47" s="171">
        <f t="shared" si="13"/>
        <v>14.560000000000002</v>
      </c>
    </row>
    <row r="48" spans="1:22" ht="13.8">
      <c r="A48" s="161" t="str">
        <f>HYPERLINK("http://www.thedividendpig.com/dividend-stocks/financial/money-center-banks/jpm-jpmorgan-chase-and-co/","JPM")</f>
        <v>JPM</v>
      </c>
      <c r="B48" s="162">
        <v>44562</v>
      </c>
      <c r="C48" s="163">
        <f t="shared" si="8"/>
        <v>2022</v>
      </c>
      <c r="D48" s="162"/>
      <c r="E48" s="165">
        <f>5+3+3+5+3+16</f>
        <v>35</v>
      </c>
      <c r="F48" s="204">
        <v>73</v>
      </c>
      <c r="G48" s="204">
        <f t="shared" si="14"/>
        <v>2555</v>
      </c>
      <c r="H48" s="165">
        <v>35</v>
      </c>
      <c r="I48" s="204">
        <f>268.05+323.58+312.12+519.3+326.58+1661.76</f>
        <v>3411.39</v>
      </c>
      <c r="J48" s="204">
        <f t="shared" si="15"/>
        <v>97.468285714285713</v>
      </c>
      <c r="K48" s="204"/>
      <c r="L48" s="166"/>
      <c r="M48" s="166">
        <f t="shared" si="16"/>
        <v>-856.38999999999987</v>
      </c>
      <c r="N48" s="167">
        <f t="shared" si="17"/>
        <v>-0.25103843301410861</v>
      </c>
      <c r="O48" s="164" t="str">
        <f t="shared" si="9"/>
        <v>High Risk</v>
      </c>
      <c r="P48" s="164" t="s">
        <v>29</v>
      </c>
      <c r="Q48" s="165">
        <v>0.8</v>
      </c>
      <c r="R48" s="165">
        <f t="shared" si="18"/>
        <v>112</v>
      </c>
      <c r="S48" s="170">
        <f t="shared" si="11"/>
        <v>4.3835616438356165E-2</v>
      </c>
      <c r="T48" s="170">
        <f t="shared" si="12"/>
        <v>3.2831191977463731E-2</v>
      </c>
      <c r="U48" s="170">
        <f t="shared" si="10"/>
        <v>4.5413744989824117E-3</v>
      </c>
      <c r="V48" s="171">
        <f t="shared" si="13"/>
        <v>112</v>
      </c>
    </row>
    <row r="49" spans="1:22" ht="13.8">
      <c r="A49" s="172" t="s">
        <v>40</v>
      </c>
      <c r="B49" s="162">
        <v>44562</v>
      </c>
      <c r="C49" s="163">
        <f t="shared" si="8"/>
        <v>2022</v>
      </c>
      <c r="D49" s="162"/>
      <c r="E49" s="165">
        <f>6+4</f>
        <v>10</v>
      </c>
      <c r="F49" s="204">
        <v>72</v>
      </c>
      <c r="G49" s="204">
        <f t="shared" si="14"/>
        <v>720</v>
      </c>
      <c r="H49" s="165">
        <v>10</v>
      </c>
      <c r="I49" s="204">
        <f>339.9+221.12</f>
        <v>561.02</v>
      </c>
      <c r="J49" s="204">
        <f t="shared" si="15"/>
        <v>56.101999999999997</v>
      </c>
      <c r="K49" s="204"/>
      <c r="L49" s="166"/>
      <c r="M49" s="166">
        <f t="shared" si="16"/>
        <v>158.98000000000002</v>
      </c>
      <c r="N49" s="167">
        <f t="shared" si="17"/>
        <v>0.28337670671277321</v>
      </c>
      <c r="O49" s="164" t="str">
        <f t="shared" si="9"/>
        <v>Low Risk</v>
      </c>
      <c r="P49" s="164" t="s">
        <v>29</v>
      </c>
      <c r="Q49" s="165">
        <v>0.51500000000000001</v>
      </c>
      <c r="R49" s="165">
        <f t="shared" si="18"/>
        <v>20.6</v>
      </c>
      <c r="S49" s="170">
        <f t="shared" si="11"/>
        <v>2.8611111111111111E-2</v>
      </c>
      <c r="T49" s="170">
        <f t="shared" si="12"/>
        <v>3.6718833553171015E-2</v>
      </c>
      <c r="U49" s="170">
        <f t="shared" si="10"/>
        <v>1.2797611112592316E-3</v>
      </c>
      <c r="V49" s="171">
        <f t="shared" si="13"/>
        <v>20.6</v>
      </c>
    </row>
    <row r="50" spans="1:22" ht="13.8">
      <c r="A50" s="172" t="s">
        <v>41</v>
      </c>
      <c r="B50" s="162">
        <v>44562</v>
      </c>
      <c r="C50" s="163">
        <f t="shared" si="8"/>
        <v>2022</v>
      </c>
      <c r="D50" s="162"/>
      <c r="E50" s="165">
        <f>6+4+2+5</f>
        <v>17</v>
      </c>
      <c r="F50" s="204">
        <v>95</v>
      </c>
      <c r="G50" s="204">
        <f t="shared" si="14"/>
        <v>1615</v>
      </c>
      <c r="H50" s="165">
        <v>17</v>
      </c>
      <c r="I50" s="204">
        <f>436.44+291.48+141.72+342.9</f>
        <v>1212.54</v>
      </c>
      <c r="J50" s="204">
        <f t="shared" si="15"/>
        <v>71.325882352941179</v>
      </c>
      <c r="K50" s="204"/>
      <c r="L50" s="166"/>
      <c r="M50" s="166">
        <f t="shared" si="16"/>
        <v>402.46000000000004</v>
      </c>
      <c r="N50" s="167">
        <f t="shared" si="17"/>
        <v>0.33191482342850548</v>
      </c>
      <c r="O50" s="164" t="str">
        <f t="shared" si="9"/>
        <v>Low Risk</v>
      </c>
      <c r="P50" s="164" t="s">
        <v>29</v>
      </c>
      <c r="Q50" s="165">
        <v>0.98</v>
      </c>
      <c r="R50" s="165">
        <f t="shared" si="18"/>
        <v>66.64</v>
      </c>
      <c r="S50" s="170">
        <f t="shared" si="11"/>
        <v>4.1263157894736842E-2</v>
      </c>
      <c r="T50" s="170">
        <f t="shared" si="12"/>
        <v>5.4959011661470956E-2</v>
      </c>
      <c r="U50" s="170">
        <f t="shared" si="10"/>
        <v>2.8705752703939709E-3</v>
      </c>
      <c r="V50" s="171">
        <f t="shared" si="13"/>
        <v>66.64</v>
      </c>
    </row>
    <row r="51" spans="1:22" ht="13.8">
      <c r="A51" s="172" t="s">
        <v>42</v>
      </c>
      <c r="B51" s="162">
        <v>44562</v>
      </c>
      <c r="C51" s="163">
        <f t="shared" si="8"/>
        <v>2022</v>
      </c>
      <c r="D51" s="162"/>
      <c r="E51" s="165">
        <f>5</f>
        <v>5</v>
      </c>
      <c r="F51" s="204">
        <v>77</v>
      </c>
      <c r="G51" s="204">
        <f t="shared" si="14"/>
        <v>385</v>
      </c>
      <c r="H51" s="165">
        <v>5</v>
      </c>
      <c r="I51" s="204">
        <f>319.8</f>
        <v>319.8</v>
      </c>
      <c r="J51" s="204">
        <f t="shared" si="15"/>
        <v>63.96</v>
      </c>
      <c r="K51" s="204"/>
      <c r="L51" s="166"/>
      <c r="M51" s="166">
        <f t="shared" si="16"/>
        <v>65.199999999999989</v>
      </c>
      <c r="N51" s="167">
        <f t="shared" si="17"/>
        <v>0.20387742338961848</v>
      </c>
      <c r="O51" s="164" t="str">
        <f t="shared" si="9"/>
        <v>Medium Risk</v>
      </c>
      <c r="P51" s="164" t="s">
        <v>29</v>
      </c>
      <c r="Q51" s="165">
        <v>0.96</v>
      </c>
      <c r="R51" s="165">
        <f t="shared" si="18"/>
        <v>19.2</v>
      </c>
      <c r="S51" s="170">
        <f t="shared" si="11"/>
        <v>4.987012987012987E-2</v>
      </c>
      <c r="T51" s="170">
        <f t="shared" si="12"/>
        <v>6.0037523452157598E-2</v>
      </c>
      <c r="U51" s="170">
        <f t="shared" si="10"/>
        <v>6.8431670532611687E-4</v>
      </c>
      <c r="V51" s="171">
        <f t="shared" si="13"/>
        <v>19.2</v>
      </c>
    </row>
    <row r="52" spans="1:22" ht="13.8">
      <c r="A52" s="172" t="s">
        <v>43</v>
      </c>
      <c r="B52" s="162">
        <v>44562</v>
      </c>
      <c r="C52" s="163">
        <f t="shared" si="8"/>
        <v>2022</v>
      </c>
      <c r="D52" s="162"/>
      <c r="E52" s="165">
        <f>5+2+4+1</f>
        <v>12</v>
      </c>
      <c r="F52" s="204">
        <v>73</v>
      </c>
      <c r="G52" s="204">
        <f t="shared" si="14"/>
        <v>876</v>
      </c>
      <c r="H52" s="165">
        <v>12</v>
      </c>
      <c r="I52" s="204">
        <f>484.3+187.7+331.36+80.86</f>
        <v>1084.22</v>
      </c>
      <c r="J52" s="204">
        <f t="shared" si="15"/>
        <v>90.351666666666674</v>
      </c>
      <c r="K52" s="204"/>
      <c r="L52" s="166"/>
      <c r="M52" s="166">
        <f t="shared" si="16"/>
        <v>-208.22000000000003</v>
      </c>
      <c r="N52" s="167">
        <f t="shared" si="17"/>
        <v>-0.19204589474460904</v>
      </c>
      <c r="O52" s="164" t="str">
        <f t="shared" si="9"/>
        <v>High Risk</v>
      </c>
      <c r="P52" s="164" t="s">
        <v>29</v>
      </c>
      <c r="Q52" s="165">
        <v>0.9</v>
      </c>
      <c r="R52" s="165">
        <f t="shared" si="18"/>
        <v>43.2</v>
      </c>
      <c r="S52" s="170">
        <f t="shared" si="11"/>
        <v>4.9315068493150684E-2</v>
      </c>
      <c r="T52" s="170">
        <f t="shared" si="12"/>
        <v>3.9844312039991885E-2</v>
      </c>
      <c r="U52" s="170">
        <f t="shared" si="10"/>
        <v>1.5570426853653986E-3</v>
      </c>
      <c r="V52" s="171">
        <f t="shared" si="13"/>
        <v>43.2</v>
      </c>
    </row>
    <row r="53" spans="1:22" ht="13.8">
      <c r="A53" s="172" t="s">
        <v>44</v>
      </c>
      <c r="B53" s="162">
        <v>44652</v>
      </c>
      <c r="C53" s="163">
        <f t="shared" si="8"/>
        <v>2022</v>
      </c>
      <c r="D53" s="162"/>
      <c r="E53" s="165">
        <v>10</v>
      </c>
      <c r="F53" s="204">
        <v>76</v>
      </c>
      <c r="G53" s="204">
        <f t="shared" si="14"/>
        <v>760</v>
      </c>
      <c r="H53" s="165">
        <v>10</v>
      </c>
      <c r="I53" s="204">
        <f>304.5</f>
        <v>304.5</v>
      </c>
      <c r="J53" s="204">
        <f t="shared" si="15"/>
        <v>30.45</v>
      </c>
      <c r="K53" s="204"/>
      <c r="L53" s="166"/>
      <c r="M53" s="166">
        <f t="shared" si="16"/>
        <v>455.5</v>
      </c>
      <c r="N53" s="167">
        <f t="shared" si="17"/>
        <v>1.4958949096880132</v>
      </c>
      <c r="O53" s="164" t="str">
        <f t="shared" si="9"/>
        <v>Low Risk</v>
      </c>
      <c r="P53" s="164" t="s">
        <v>24</v>
      </c>
      <c r="Q53" s="165">
        <v>0.125</v>
      </c>
      <c r="R53" s="165">
        <f t="shared" si="18"/>
        <v>5</v>
      </c>
      <c r="S53" s="170">
        <f t="shared" si="11"/>
        <v>6.5789473684210523E-3</v>
      </c>
      <c r="T53" s="170">
        <f t="shared" si="12"/>
        <v>1.6420361247947456E-2</v>
      </c>
      <c r="U53" s="170">
        <f t="shared" si="10"/>
        <v>1.3508589507736334E-3</v>
      </c>
      <c r="V53" s="171">
        <f t="shared" si="13"/>
        <v>5</v>
      </c>
    </row>
    <row r="54" spans="1:22" ht="13.8">
      <c r="A54" s="161" t="str">
        <f>HYPERLINK("http://www.thedividendpig.com/dividend-stocks/consumer-goods/beverages-soft-drinks/pep-pepsico-inc/","PEP")</f>
        <v>PEP</v>
      </c>
      <c r="B54" s="162">
        <v>44652</v>
      </c>
      <c r="C54" s="163">
        <f t="shared" si="8"/>
        <v>2022</v>
      </c>
      <c r="D54" s="162"/>
      <c r="E54" s="165">
        <f>7+10+8+10+5+2</f>
        <v>42</v>
      </c>
      <c r="F54" s="204">
        <v>74</v>
      </c>
      <c r="G54" s="204">
        <f t="shared" si="14"/>
        <v>3108</v>
      </c>
      <c r="H54" s="165">
        <v>42</v>
      </c>
      <c r="I54" s="204">
        <f>674.14+1094.7+896.32+1298.3+501.35+213.28</f>
        <v>4678.09</v>
      </c>
      <c r="J54" s="204">
        <f t="shared" si="15"/>
        <v>111.38309523809524</v>
      </c>
      <c r="K54" s="204"/>
      <c r="L54" s="166"/>
      <c r="M54" s="166">
        <f t="shared" si="16"/>
        <v>-1570.0900000000001</v>
      </c>
      <c r="N54" s="167">
        <f t="shared" si="17"/>
        <v>-0.33562629192683341</v>
      </c>
      <c r="O54" s="164" t="str">
        <f t="shared" si="9"/>
        <v>High Risk</v>
      </c>
      <c r="P54" s="164" t="s">
        <v>18</v>
      </c>
      <c r="Q54" s="165">
        <v>0.93</v>
      </c>
      <c r="R54" s="165">
        <f t="shared" si="18"/>
        <v>156.24</v>
      </c>
      <c r="S54" s="170">
        <f t="shared" si="11"/>
        <v>5.027027027027027E-2</v>
      </c>
      <c r="T54" s="170">
        <f t="shared" si="12"/>
        <v>3.3398245865299728E-2</v>
      </c>
      <c r="U54" s="170">
        <f t="shared" si="10"/>
        <v>5.5243021302690161E-3</v>
      </c>
      <c r="V54" s="171">
        <f t="shared" si="13"/>
        <v>156.24</v>
      </c>
    </row>
    <row r="55" spans="1:22" ht="13.8">
      <c r="A55" s="172" t="s">
        <v>45</v>
      </c>
      <c r="B55" s="162">
        <v>44652</v>
      </c>
      <c r="C55" s="163">
        <f t="shared" si="8"/>
        <v>2022</v>
      </c>
      <c r="D55" s="162"/>
      <c r="E55" s="165">
        <v>20</v>
      </c>
      <c r="F55" s="204">
        <v>74</v>
      </c>
      <c r="G55" s="204">
        <f t="shared" si="14"/>
        <v>1480</v>
      </c>
      <c r="H55" s="165">
        <v>20</v>
      </c>
      <c r="I55" s="204">
        <f>801.94</f>
        <v>801.94</v>
      </c>
      <c r="J55" s="204">
        <f t="shared" si="15"/>
        <v>40.097000000000001</v>
      </c>
      <c r="K55" s="204"/>
      <c r="L55" s="166"/>
      <c r="M55" s="166">
        <f t="shared" si="16"/>
        <v>678.06</v>
      </c>
      <c r="N55" s="167">
        <f t="shared" si="17"/>
        <v>0.84552460283811748</v>
      </c>
      <c r="O55" s="164" t="str">
        <f t="shared" si="9"/>
        <v>Low Risk</v>
      </c>
      <c r="P55" s="164" t="s">
        <v>18</v>
      </c>
      <c r="Q55" s="165">
        <v>0.48</v>
      </c>
      <c r="R55" s="165">
        <f t="shared" si="18"/>
        <v>38.4</v>
      </c>
      <c r="S55" s="170">
        <f t="shared" si="11"/>
        <v>2.5945945945945945E-2</v>
      </c>
      <c r="T55" s="170">
        <f t="shared" si="12"/>
        <v>4.7883881587151157E-2</v>
      </c>
      <c r="U55" s="170">
        <f t="shared" si="10"/>
        <v>2.6306200620328651E-3</v>
      </c>
      <c r="V55" s="171">
        <f t="shared" si="13"/>
        <v>38.4</v>
      </c>
    </row>
    <row r="56" spans="1:22" ht="13.8">
      <c r="A56" s="161" t="str">
        <f>HYPERLINK("http://www.thedividendpig.com/dividend-stocks/industrial-goods/diversified-machinery/cmi-cummins-inc/","CMI")</f>
        <v>CMI</v>
      </c>
      <c r="B56" s="162">
        <v>44652</v>
      </c>
      <c r="C56" s="163">
        <f t="shared" si="8"/>
        <v>2022</v>
      </c>
      <c r="D56" s="162"/>
      <c r="E56" s="165">
        <f>3+3+4+4+2+1+3</f>
        <v>20</v>
      </c>
      <c r="F56" s="204">
        <v>135</v>
      </c>
      <c r="G56" s="204">
        <f t="shared" si="14"/>
        <v>2700</v>
      </c>
      <c r="H56" s="165">
        <v>20</v>
      </c>
      <c r="I56" s="204">
        <f>380.4+320.58+348.44+587.44+291.22+132.91+379.26</f>
        <v>2440.25</v>
      </c>
      <c r="J56" s="204">
        <f t="shared" si="15"/>
        <v>122.0125</v>
      </c>
      <c r="K56" s="204"/>
      <c r="L56" s="166"/>
      <c r="M56" s="166">
        <f t="shared" si="16"/>
        <v>259.75</v>
      </c>
      <c r="N56" s="167">
        <f t="shared" si="17"/>
        <v>0.10644401188402827</v>
      </c>
      <c r="O56" s="164" t="str">
        <f t="shared" si="9"/>
        <v>Medium Risk</v>
      </c>
      <c r="P56" s="164" t="s">
        <v>19</v>
      </c>
      <c r="Q56" s="165">
        <v>1.1399999999999999</v>
      </c>
      <c r="R56" s="165">
        <f t="shared" si="18"/>
        <v>91.199999999999989</v>
      </c>
      <c r="S56" s="170">
        <f t="shared" si="11"/>
        <v>3.3777777777777775E-2</v>
      </c>
      <c r="T56" s="170">
        <f t="shared" si="12"/>
        <v>3.7373219956971619E-2</v>
      </c>
      <c r="U56" s="170">
        <f t="shared" si="10"/>
        <v>4.7991041672221183E-3</v>
      </c>
      <c r="V56" s="171">
        <f t="shared" si="13"/>
        <v>91.199999999999989</v>
      </c>
    </row>
    <row r="57" spans="1:22" ht="13.8">
      <c r="A57" s="172" t="s">
        <v>46</v>
      </c>
      <c r="B57" s="162">
        <v>44652</v>
      </c>
      <c r="C57" s="163">
        <f t="shared" si="8"/>
        <v>2022</v>
      </c>
      <c r="D57" s="162"/>
      <c r="E57" s="165">
        <f>4+7+2+2+2+2</f>
        <v>19</v>
      </c>
      <c r="F57" s="204">
        <v>152</v>
      </c>
      <c r="G57" s="204">
        <f t="shared" si="14"/>
        <v>2888</v>
      </c>
      <c r="H57" s="165">
        <v>19</v>
      </c>
      <c r="I57" s="204">
        <f>539.04+988.96+271.38+262+264.84+236.6</f>
        <v>2562.8200000000002</v>
      </c>
      <c r="J57" s="204">
        <f t="shared" si="15"/>
        <v>134.88526315789474</v>
      </c>
      <c r="K57" s="204"/>
      <c r="L57" s="166"/>
      <c r="M57" s="166">
        <f t="shared" si="16"/>
        <v>325.17999999999984</v>
      </c>
      <c r="N57" s="167">
        <f t="shared" si="17"/>
        <v>0.12688366721033853</v>
      </c>
      <c r="O57" s="164" t="str">
        <f t="shared" si="9"/>
        <v>Medium Risk</v>
      </c>
      <c r="P57" s="164" t="s">
        <v>19</v>
      </c>
      <c r="Q57" s="165">
        <v>1</v>
      </c>
      <c r="R57" s="165">
        <f t="shared" si="18"/>
        <v>76</v>
      </c>
      <c r="S57" s="170">
        <f t="shared" si="11"/>
        <v>2.6315789473684209E-2</v>
      </c>
      <c r="T57" s="170">
        <f t="shared" si="12"/>
        <v>2.9654833347640488E-2</v>
      </c>
      <c r="U57" s="170">
        <f t="shared" si="10"/>
        <v>5.1332640129398066E-3</v>
      </c>
      <c r="V57" s="171">
        <f t="shared" si="13"/>
        <v>76</v>
      </c>
    </row>
    <row r="58" spans="1:22" ht="13.8">
      <c r="A58" s="172" t="s">
        <v>47</v>
      </c>
      <c r="B58" s="162">
        <v>44652</v>
      </c>
      <c r="C58" s="163">
        <f t="shared" si="8"/>
        <v>2022</v>
      </c>
      <c r="D58" s="162"/>
      <c r="E58" s="165">
        <v>5</v>
      </c>
      <c r="F58" s="204">
        <v>115</v>
      </c>
      <c r="G58" s="204">
        <f t="shared" si="14"/>
        <v>575</v>
      </c>
      <c r="H58" s="165">
        <v>5</v>
      </c>
      <c r="I58" s="204">
        <v>634.29999999999995</v>
      </c>
      <c r="J58" s="204">
        <f t="shared" si="15"/>
        <v>126.85999999999999</v>
      </c>
      <c r="K58" s="204"/>
      <c r="L58" s="166"/>
      <c r="M58" s="166">
        <f t="shared" si="16"/>
        <v>-59.299999999999955</v>
      </c>
      <c r="N58" s="167">
        <f t="shared" si="17"/>
        <v>-9.3488885385464224E-2</v>
      </c>
      <c r="O58" s="164" t="str">
        <f t="shared" si="9"/>
        <v>High Risk</v>
      </c>
      <c r="P58" s="164" t="s">
        <v>19</v>
      </c>
      <c r="Q58" s="165">
        <v>0.66</v>
      </c>
      <c r="R58" s="165">
        <f t="shared" si="18"/>
        <v>13.200000000000001</v>
      </c>
      <c r="S58" s="170">
        <f t="shared" si="11"/>
        <v>2.2956521739130435E-2</v>
      </c>
      <c r="T58" s="170">
        <f t="shared" si="12"/>
        <v>2.0810342109411954E-2</v>
      </c>
      <c r="U58" s="170">
        <f t="shared" si="10"/>
        <v>1.0220314430195252E-3</v>
      </c>
      <c r="V58" s="171">
        <f t="shared" si="13"/>
        <v>13.200000000000001</v>
      </c>
    </row>
    <row r="59" spans="1:22" ht="13.8">
      <c r="A59" s="161" t="str">
        <f>HYPERLINK("http://www.thedividendpig.com/dividend-stocks/consumer-goods/textile-apparel-footwear-and-accessories/nke-nike-inc/","NKE")</f>
        <v>NKE</v>
      </c>
      <c r="B59" s="162">
        <v>44652</v>
      </c>
      <c r="C59" s="163">
        <f t="shared" si="8"/>
        <v>2022</v>
      </c>
      <c r="D59" s="162"/>
      <c r="E59" s="165">
        <f>42+50+40+10</f>
        <v>142</v>
      </c>
      <c r="F59" s="204">
        <v>49</v>
      </c>
      <c r="G59" s="204">
        <f t="shared" si="14"/>
        <v>6958</v>
      </c>
      <c r="H59" s="165">
        <v>142</v>
      </c>
      <c r="I59" s="204">
        <f>2372.75+2686.5+2100+521.1</f>
        <v>7680.35</v>
      </c>
      <c r="J59" s="204">
        <f t="shared" si="15"/>
        <v>54.086971830985917</v>
      </c>
      <c r="K59" s="204"/>
      <c r="L59" s="166"/>
      <c r="M59" s="166">
        <f t="shared" si="16"/>
        <v>-722.35000000000036</v>
      </c>
      <c r="N59" s="167">
        <f t="shared" si="17"/>
        <v>-9.4051703372893203E-2</v>
      </c>
      <c r="O59" s="164" t="str">
        <f t="shared" si="9"/>
        <v>High Risk</v>
      </c>
      <c r="P59" s="164" t="s">
        <v>22</v>
      </c>
      <c r="Q59" s="165">
        <v>0.22</v>
      </c>
      <c r="R59" s="165">
        <f t="shared" si="18"/>
        <v>124.96</v>
      </c>
      <c r="S59" s="170">
        <f t="shared" si="11"/>
        <v>1.7959183673469388E-2</v>
      </c>
      <c r="T59" s="170">
        <f t="shared" si="12"/>
        <v>1.6270091857792938E-2</v>
      </c>
      <c r="U59" s="170">
        <f t="shared" si="10"/>
        <v>1.2367469183530185E-2</v>
      </c>
      <c r="V59" s="171">
        <f t="shared" si="13"/>
        <v>124.96</v>
      </c>
    </row>
    <row r="60" spans="1:22" ht="13.8">
      <c r="A60" s="161" t="str">
        <f>HYPERLINK("http://www.thedividendpig.com/dividend-stocks/industrial-goods/lumber-wood-production/wy-weyerhaeuser-company/","WY")</f>
        <v>WY</v>
      </c>
      <c r="B60" s="162">
        <v>44652</v>
      </c>
      <c r="C60" s="163">
        <f t="shared" si="8"/>
        <v>2022</v>
      </c>
      <c r="D60" s="162"/>
      <c r="E60" s="165">
        <v>12</v>
      </c>
      <c r="F60" s="204">
        <v>46</v>
      </c>
      <c r="G60" s="204">
        <f t="shared" si="14"/>
        <v>552</v>
      </c>
      <c r="H60" s="165">
        <v>12</v>
      </c>
      <c r="I60" s="204">
        <v>361.96</v>
      </c>
      <c r="J60" s="204">
        <f t="shared" si="15"/>
        <v>30.16333333333333</v>
      </c>
      <c r="K60" s="204"/>
      <c r="L60" s="166"/>
      <c r="M60" s="166">
        <f t="shared" si="16"/>
        <v>190.04000000000002</v>
      </c>
      <c r="N60" s="167">
        <f t="shared" si="17"/>
        <v>0.52503039009835351</v>
      </c>
      <c r="O60" s="164" t="str">
        <f t="shared" si="9"/>
        <v>Low Risk</v>
      </c>
      <c r="P60" s="164" t="s">
        <v>30</v>
      </c>
      <c r="Q60" s="165">
        <v>0.34</v>
      </c>
      <c r="R60" s="165">
        <f t="shared" si="18"/>
        <v>16.32</v>
      </c>
      <c r="S60" s="170">
        <f t="shared" si="11"/>
        <v>2.9565217391304351E-2</v>
      </c>
      <c r="T60" s="170">
        <f t="shared" si="12"/>
        <v>4.5087855011603499E-2</v>
      </c>
      <c r="U60" s="170">
        <f t="shared" si="10"/>
        <v>9.8115018529874431E-4</v>
      </c>
      <c r="V60" s="171">
        <f t="shared" si="13"/>
        <v>16.32</v>
      </c>
    </row>
    <row r="61" spans="1:22" ht="13.8">
      <c r="A61" s="161" t="str">
        <f>HYPERLINK("http://www.thedividendpig.com/dividend-stocks/financial/asset-management/trow-t-rowe-price-group/","TROW")</f>
        <v>TROW</v>
      </c>
      <c r="B61" s="162">
        <v>44652</v>
      </c>
      <c r="C61" s="163">
        <f t="shared" si="8"/>
        <v>2022</v>
      </c>
      <c r="D61" s="162"/>
      <c r="E61" s="165">
        <f>9+3+5</f>
        <v>17</v>
      </c>
      <c r="F61" s="204">
        <v>64</v>
      </c>
      <c r="G61" s="204">
        <f t="shared" si="14"/>
        <v>1088</v>
      </c>
      <c r="H61" s="165">
        <v>17</v>
      </c>
      <c r="I61" s="204">
        <f>649.93+192.49+343.3</f>
        <v>1185.72</v>
      </c>
      <c r="J61" s="204">
        <f t="shared" si="15"/>
        <v>69.748235294117649</v>
      </c>
      <c r="K61" s="204"/>
      <c r="L61" s="166"/>
      <c r="M61" s="166">
        <f t="shared" si="16"/>
        <v>-97.720000000000027</v>
      </c>
      <c r="N61" s="167">
        <f t="shared" si="17"/>
        <v>-8.2414060655129392E-2</v>
      </c>
      <c r="O61" s="164" t="str">
        <f t="shared" si="9"/>
        <v>High Risk</v>
      </c>
      <c r="P61" s="164" t="s">
        <v>29</v>
      </c>
      <c r="Q61" s="165">
        <v>0.7</v>
      </c>
      <c r="R61" s="165">
        <f t="shared" si="18"/>
        <v>47.599999999999994</v>
      </c>
      <c r="S61" s="170">
        <f t="shared" si="11"/>
        <v>4.3749999999999997E-2</v>
      </c>
      <c r="T61" s="170">
        <f t="shared" si="12"/>
        <v>4.0144384846338088E-2</v>
      </c>
      <c r="U61" s="170">
        <f t="shared" si="10"/>
        <v>1.9338612347917278E-3</v>
      </c>
      <c r="V61" s="171">
        <f t="shared" si="13"/>
        <v>47.599999999999994</v>
      </c>
    </row>
    <row r="62" spans="1:22" ht="13.8">
      <c r="A62" s="161" t="str">
        <f>HYPERLINK("http://www.thedividendpig.com/dividend-stocks/services/industrial-equipment-wholesale/fast-fastenal-company/","FAST")</f>
        <v>FAST</v>
      </c>
      <c r="B62" s="162">
        <v>44652</v>
      </c>
      <c r="C62" s="163">
        <f t="shared" si="8"/>
        <v>2022</v>
      </c>
      <c r="D62" s="162"/>
      <c r="E62" s="165">
        <f>10+40</f>
        <v>50</v>
      </c>
      <c r="F62" s="204">
        <v>75</v>
      </c>
      <c r="G62" s="204">
        <f t="shared" si="14"/>
        <v>3750</v>
      </c>
      <c r="H62" s="165">
        <v>50</v>
      </c>
      <c r="I62" s="204">
        <f>352.1+1705.2</f>
        <v>2057.3000000000002</v>
      </c>
      <c r="J62" s="204">
        <f t="shared" si="15"/>
        <v>41.146000000000001</v>
      </c>
      <c r="K62" s="204"/>
      <c r="L62" s="166"/>
      <c r="M62" s="166">
        <f t="shared" si="16"/>
        <v>1692.6999999999998</v>
      </c>
      <c r="N62" s="167">
        <f t="shared" si="17"/>
        <v>0.82277742672434728</v>
      </c>
      <c r="O62" s="164" t="str">
        <f t="shared" si="9"/>
        <v>Low Risk</v>
      </c>
      <c r="P62" s="164" t="s">
        <v>19</v>
      </c>
      <c r="Q62" s="165">
        <v>0.43</v>
      </c>
      <c r="R62" s="165">
        <f t="shared" si="18"/>
        <v>86</v>
      </c>
      <c r="S62" s="170">
        <f t="shared" si="11"/>
        <v>2.2933333333333333E-2</v>
      </c>
      <c r="T62" s="170">
        <f t="shared" si="12"/>
        <v>4.1802362319545032E-2</v>
      </c>
      <c r="U62" s="170">
        <f t="shared" si="10"/>
        <v>6.6654224544751648E-3</v>
      </c>
      <c r="V62" s="171">
        <f t="shared" si="13"/>
        <v>86</v>
      </c>
    </row>
    <row r="63" spans="1:22" ht="13.8">
      <c r="A63" s="161" t="str">
        <f>HYPERLINK("http://www.thedividendpig.com/dividend-stocks/services/discount-variety-stores/cost-costco-wholesale/","COST")</f>
        <v>COST</v>
      </c>
      <c r="B63" s="162">
        <v>44743</v>
      </c>
      <c r="C63" s="163">
        <f t="shared" si="8"/>
        <v>2022</v>
      </c>
      <c r="D63" s="162"/>
      <c r="E63" s="165">
        <v>52</v>
      </c>
      <c r="F63" s="204">
        <v>96</v>
      </c>
      <c r="G63" s="204">
        <f t="shared" si="14"/>
        <v>4992</v>
      </c>
      <c r="H63" s="165">
        <v>39</v>
      </c>
      <c r="I63" s="204">
        <f>578+1663.3+3147.2+791.2</f>
        <v>6179.7</v>
      </c>
      <c r="J63" s="204">
        <f t="shared" si="15"/>
        <v>158.45384615384614</v>
      </c>
      <c r="K63" s="204"/>
      <c r="L63" s="166"/>
      <c r="M63" s="166">
        <f t="shared" si="16"/>
        <v>-1187.6999999999998</v>
      </c>
      <c r="N63" s="167">
        <f t="shared" si="17"/>
        <v>-0.19219379581533083</v>
      </c>
      <c r="O63" s="164" t="str">
        <f t="shared" si="9"/>
        <v>High Risk</v>
      </c>
      <c r="P63" s="164" t="s">
        <v>18</v>
      </c>
      <c r="Q63" s="165">
        <v>0.56999999999999995</v>
      </c>
      <c r="R63" s="165">
        <f t="shared" si="18"/>
        <v>118.55999999999999</v>
      </c>
      <c r="S63" s="170">
        <f t="shared" si="11"/>
        <v>2.3749999999999997E-2</v>
      </c>
      <c r="T63" s="170">
        <f t="shared" si="12"/>
        <v>1.438904801203942E-2</v>
      </c>
      <c r="U63" s="170">
        <f t="shared" si="10"/>
        <v>8.8730103713973388E-3</v>
      </c>
      <c r="V63" s="171">
        <f t="shared" si="13"/>
        <v>118.55999999999999</v>
      </c>
    </row>
    <row r="64" spans="1:22" ht="13.8">
      <c r="A64" s="172" t="s">
        <v>48</v>
      </c>
      <c r="B64" s="162">
        <v>44743</v>
      </c>
      <c r="C64" s="163">
        <f t="shared" si="8"/>
        <v>2022</v>
      </c>
      <c r="D64" s="162"/>
      <c r="E64" s="165">
        <v>15</v>
      </c>
      <c r="F64" s="204">
        <v>64</v>
      </c>
      <c r="G64" s="204">
        <f t="shared" si="14"/>
        <v>960</v>
      </c>
      <c r="H64" s="165">
        <v>15</v>
      </c>
      <c r="I64" s="204">
        <v>999.6</v>
      </c>
      <c r="J64" s="204">
        <f t="shared" si="15"/>
        <v>66.64</v>
      </c>
      <c r="K64" s="204"/>
      <c r="L64" s="166"/>
      <c r="M64" s="166">
        <f t="shared" si="16"/>
        <v>-39.600000000000023</v>
      </c>
      <c r="N64" s="167">
        <f t="shared" si="17"/>
        <v>-3.9615846338535439E-2</v>
      </c>
      <c r="O64" s="164" t="str">
        <f t="shared" si="9"/>
        <v>High Risk</v>
      </c>
      <c r="P64" s="164" t="s">
        <v>22</v>
      </c>
      <c r="Q64" s="165">
        <v>0.31</v>
      </c>
      <c r="R64" s="165">
        <f t="shared" si="18"/>
        <v>18.600000000000001</v>
      </c>
      <c r="S64" s="170">
        <f t="shared" si="11"/>
        <v>1.9375E-2</v>
      </c>
      <c r="T64" s="170">
        <f t="shared" si="12"/>
        <v>1.8607442977190875E-2</v>
      </c>
      <c r="U64" s="170">
        <f t="shared" si="10"/>
        <v>1.7063481483456421E-3</v>
      </c>
      <c r="V64" s="171">
        <f t="shared" si="13"/>
        <v>18.600000000000001</v>
      </c>
    </row>
    <row r="65" spans="1:22" ht="13.8">
      <c r="A65" s="161" t="str">
        <f>HYPERLINK("http://www.thedividendpig.com/dividend-stocks/consumer-goods/processed-and-packaged-goods/sjm-jm-smucker-co/","SJM")</f>
        <v>SJM</v>
      </c>
      <c r="B65" s="162">
        <v>44743</v>
      </c>
      <c r="C65" s="163">
        <f t="shared" si="8"/>
        <v>2022</v>
      </c>
      <c r="D65" s="162"/>
      <c r="E65" s="165">
        <v>10</v>
      </c>
      <c r="F65" s="204">
        <v>108</v>
      </c>
      <c r="G65" s="204">
        <f t="shared" si="14"/>
        <v>1080</v>
      </c>
      <c r="H65" s="165">
        <v>10</v>
      </c>
      <c r="I65" s="204">
        <v>1150</v>
      </c>
      <c r="J65" s="204">
        <f t="shared" si="15"/>
        <v>115</v>
      </c>
      <c r="K65" s="204"/>
      <c r="L65" s="166"/>
      <c r="M65" s="166">
        <f t="shared" si="16"/>
        <v>-70</v>
      </c>
      <c r="N65" s="167">
        <f t="shared" si="17"/>
        <v>-6.0869565217391307E-2</v>
      </c>
      <c r="O65" s="164" t="str">
        <f t="shared" si="9"/>
        <v>High Risk</v>
      </c>
      <c r="P65" s="164" t="s">
        <v>18</v>
      </c>
      <c r="Q65" s="165">
        <v>0.85</v>
      </c>
      <c r="R65" s="165">
        <f t="shared" si="18"/>
        <v>34</v>
      </c>
      <c r="S65" s="170">
        <f t="shared" si="11"/>
        <v>3.1481481481481478E-2</v>
      </c>
      <c r="T65" s="170">
        <f t="shared" si="12"/>
        <v>2.9565217391304348E-2</v>
      </c>
      <c r="U65" s="170">
        <f t="shared" si="10"/>
        <v>1.9196416668888475E-3</v>
      </c>
      <c r="V65" s="171">
        <f t="shared" si="13"/>
        <v>34</v>
      </c>
    </row>
    <row r="66" spans="1:22" ht="13.8">
      <c r="A66" s="161" t="str">
        <f>HYPERLINK("http://www.thedividendpig.com/dividend-stocks/services/discount-variety-stores/tgt-target-corp/","TGT")</f>
        <v>TGT</v>
      </c>
      <c r="B66" s="162">
        <v>44743</v>
      </c>
      <c r="C66" s="163">
        <f t="shared" si="8"/>
        <v>2022</v>
      </c>
      <c r="D66" s="162"/>
      <c r="E66" s="165">
        <f>7+4+6+5+35</f>
        <v>57</v>
      </c>
      <c r="F66" s="204">
        <v>81</v>
      </c>
      <c r="G66" s="204">
        <f t="shared" si="14"/>
        <v>4617</v>
      </c>
      <c r="H66" s="165">
        <v>57</v>
      </c>
      <c r="I66" s="204">
        <f>518+286.76+443.16+253.95+1867.95</f>
        <v>3369.82</v>
      </c>
      <c r="J66" s="204">
        <f t="shared" si="15"/>
        <v>59.119649122807019</v>
      </c>
      <c r="K66" s="204"/>
      <c r="L66" s="166"/>
      <c r="M66" s="166">
        <f t="shared" si="16"/>
        <v>1247.1799999999998</v>
      </c>
      <c r="N66" s="167">
        <f t="shared" si="17"/>
        <v>0.37010285415838229</v>
      </c>
      <c r="O66" s="164" t="str">
        <f t="shared" si="9"/>
        <v>Low Risk</v>
      </c>
      <c r="P66" s="164" t="s">
        <v>22</v>
      </c>
      <c r="Q66" s="165">
        <v>0.64</v>
      </c>
      <c r="R66" s="165">
        <f t="shared" si="18"/>
        <v>145.92000000000002</v>
      </c>
      <c r="S66" s="170">
        <f t="shared" si="11"/>
        <v>3.1604938271604939E-2</v>
      </c>
      <c r="T66" s="170">
        <f t="shared" si="12"/>
        <v>4.3302016131425418E-2</v>
      </c>
      <c r="U66" s="170">
        <f t="shared" si="10"/>
        <v>8.2064681259498232E-3</v>
      </c>
      <c r="V66" s="171">
        <f t="shared" si="13"/>
        <v>145.92000000000002</v>
      </c>
    </row>
    <row r="67" spans="1:22" ht="13.8">
      <c r="A67" s="161" t="str">
        <f>HYPERLINK("http://www.thedividendpig.com/dividend-stocks/industrial-goods/industrial-electrical-equipment/emr-emerson-electric/","EMR")</f>
        <v>EMR</v>
      </c>
      <c r="B67" s="162">
        <v>44743</v>
      </c>
      <c r="C67" s="163">
        <f t="shared" si="8"/>
        <v>2022</v>
      </c>
      <c r="D67" s="162"/>
      <c r="E67" s="165">
        <f>8+10+10</f>
        <v>28</v>
      </c>
      <c r="F67" s="204">
        <v>57</v>
      </c>
      <c r="G67" s="204">
        <f t="shared" ref="G67:G98" si="19">F67*E67</f>
        <v>1596</v>
      </c>
      <c r="H67" s="165">
        <v>28</v>
      </c>
      <c r="I67" s="204">
        <f>375.84+622+618.6</f>
        <v>1616.44</v>
      </c>
      <c r="J67" s="204">
        <f t="shared" ref="J67:J98" si="20">I67/H67</f>
        <v>57.730000000000004</v>
      </c>
      <c r="K67" s="204"/>
      <c r="L67" s="166"/>
      <c r="M67" s="166">
        <f t="shared" ref="M67:M98" si="21">G67-(I67+K67)</f>
        <v>-20.440000000000055</v>
      </c>
      <c r="N67" s="167">
        <f t="shared" ref="N67:N98" si="22">(G67-I67)/I67</f>
        <v>-1.2645071886367607E-2</v>
      </c>
      <c r="O67" s="164" t="str">
        <f t="shared" si="9"/>
        <v>High Risk</v>
      </c>
      <c r="P67" s="164" t="s">
        <v>19</v>
      </c>
      <c r="Q67" s="165">
        <v>0.49</v>
      </c>
      <c r="R67" s="165">
        <f t="shared" ref="R67:R98" si="23">Q67*4*E67</f>
        <v>54.879999999999995</v>
      </c>
      <c r="S67" s="170">
        <f t="shared" si="11"/>
        <v>3.43859649122807E-2</v>
      </c>
      <c r="T67" s="170">
        <f t="shared" si="12"/>
        <v>3.3951151914082794E-2</v>
      </c>
      <c r="U67" s="170">
        <f t="shared" si="10"/>
        <v>2.8368037966246301E-3</v>
      </c>
      <c r="V67" s="171">
        <f t="shared" si="13"/>
        <v>54.879999999999995</v>
      </c>
    </row>
    <row r="68" spans="1:22" ht="13.8">
      <c r="A68" s="161" t="str">
        <f>HYPERLINK("http://www.thedividendpig.com/dividend-stocks/industrial-goods/diversified-machinery/hon-honeywell-international-inc/","HON")</f>
        <v>HON</v>
      </c>
      <c r="B68" s="162">
        <v>44743</v>
      </c>
      <c r="C68" s="163">
        <f t="shared" ref="C68:C129" si="24">YEAR($B68)</f>
        <v>2022</v>
      </c>
      <c r="D68" s="162"/>
      <c r="E68" s="165">
        <f>7+20</f>
        <v>27</v>
      </c>
      <c r="F68" s="204">
        <v>119</v>
      </c>
      <c r="G68" s="204">
        <f t="shared" si="19"/>
        <v>3213</v>
      </c>
      <c r="H68" s="165">
        <v>27</v>
      </c>
      <c r="I68" s="204">
        <f>682.02+2473.4</f>
        <v>3155.42</v>
      </c>
      <c r="J68" s="204">
        <f t="shared" si="20"/>
        <v>116.86740740740741</v>
      </c>
      <c r="K68" s="204"/>
      <c r="L68" s="166"/>
      <c r="M68" s="166">
        <f t="shared" si="21"/>
        <v>57.579999999999927</v>
      </c>
      <c r="N68" s="167">
        <f t="shared" si="22"/>
        <v>1.8247966990131242E-2</v>
      </c>
      <c r="O68" s="164" t="str">
        <f t="shared" ref="O68:O129" si="25">_xlfn.IFS(N68&lt;0.05,"High Risk",N68&lt;0.25,"Medium Risk",N68&gt;0.25,"Low Risk")</f>
        <v>High Risk</v>
      </c>
      <c r="P68" s="164" t="s">
        <v>19</v>
      </c>
      <c r="Q68" s="165">
        <v>0.82</v>
      </c>
      <c r="R68" s="165">
        <f t="shared" si="23"/>
        <v>88.559999999999988</v>
      </c>
      <c r="S68" s="170">
        <f t="shared" si="11"/>
        <v>2.7563025210084031E-2</v>
      </c>
      <c r="T68" s="170">
        <f t="shared" si="12"/>
        <v>2.80659943842658E-2</v>
      </c>
      <c r="U68" s="170">
        <f t="shared" ref="U68:U129" si="26">$G68/SUM($G$3:$G$129)</f>
        <v>5.7109339589943211E-3</v>
      </c>
      <c r="V68" s="171">
        <f t="shared" si="13"/>
        <v>88.559999999999988</v>
      </c>
    </row>
    <row r="69" spans="1:22" ht="13.8">
      <c r="A69" s="161" t="str">
        <f>HYPERLINK("http://www.thedividendpig.com/dividend-stocks/consumer-goods/auto-parts/jci-johnson-controls-inc/","JCI")</f>
        <v>JCI</v>
      </c>
      <c r="B69" s="162">
        <v>44743</v>
      </c>
      <c r="C69" s="163">
        <f t="shared" si="24"/>
        <v>2022</v>
      </c>
      <c r="D69" s="162"/>
      <c r="E69" s="165">
        <f>40+40</f>
        <v>80</v>
      </c>
      <c r="F69" s="204">
        <v>68</v>
      </c>
      <c r="G69" s="204">
        <f t="shared" si="19"/>
        <v>5440</v>
      </c>
      <c r="H69" s="165">
        <v>80</v>
      </c>
      <c r="I69" s="204">
        <f>1688.8+1580</f>
        <v>3268.8</v>
      </c>
      <c r="J69" s="204">
        <f t="shared" si="20"/>
        <v>40.86</v>
      </c>
      <c r="K69" s="204"/>
      <c r="L69" s="166"/>
      <c r="M69" s="166">
        <f t="shared" si="21"/>
        <v>2171.1999999999998</v>
      </c>
      <c r="N69" s="167">
        <f t="shared" si="22"/>
        <v>0.66421928536465968</v>
      </c>
      <c r="O69" s="164" t="str">
        <f t="shared" si="25"/>
        <v>Low Risk</v>
      </c>
      <c r="P69" s="164" t="s">
        <v>19</v>
      </c>
      <c r="Q69" s="165">
        <v>0.26</v>
      </c>
      <c r="R69" s="165">
        <f t="shared" si="23"/>
        <v>83.2</v>
      </c>
      <c r="S69" s="170">
        <f t="shared" si="11"/>
        <v>1.5294117647058824E-2</v>
      </c>
      <c r="T69" s="170">
        <f t="shared" si="12"/>
        <v>2.545276554087127E-2</v>
      </c>
      <c r="U69" s="170">
        <f t="shared" si="26"/>
        <v>9.6693061739586382E-3</v>
      </c>
      <c r="V69" s="171">
        <f t="shared" si="13"/>
        <v>83.2</v>
      </c>
    </row>
    <row r="70" spans="1:22" ht="13.8">
      <c r="A70" s="172" t="s">
        <v>49</v>
      </c>
      <c r="B70" s="162">
        <v>44743</v>
      </c>
      <c r="C70" s="163">
        <f t="shared" si="24"/>
        <v>2022</v>
      </c>
      <c r="D70" s="162"/>
      <c r="E70" s="165">
        <f>25+35+20+1</f>
        <v>81</v>
      </c>
      <c r="F70" s="204">
        <v>53</v>
      </c>
      <c r="G70" s="204">
        <f t="shared" si="19"/>
        <v>4293</v>
      </c>
      <c r="H70" s="165">
        <v>80</v>
      </c>
      <c r="I70" s="204">
        <f>726.5+1049.65+553.2</f>
        <v>2329.3500000000004</v>
      </c>
      <c r="J70" s="204">
        <f t="shared" si="20"/>
        <v>29.116875000000004</v>
      </c>
      <c r="K70" s="204"/>
      <c r="L70" s="166"/>
      <c r="M70" s="166">
        <f t="shared" si="21"/>
        <v>1963.6499999999996</v>
      </c>
      <c r="N70" s="167">
        <f t="shared" si="22"/>
        <v>0.84300341296928294</v>
      </c>
      <c r="O70" s="164" t="str">
        <f t="shared" si="25"/>
        <v>Low Risk</v>
      </c>
      <c r="P70" s="164" t="s">
        <v>38</v>
      </c>
      <c r="Q70" s="165">
        <v>1.1299999999999999</v>
      </c>
      <c r="R70" s="165">
        <f t="shared" si="23"/>
        <v>366.11999999999995</v>
      </c>
      <c r="S70" s="170">
        <f>(Q70*1)/F70</f>
        <v>2.1320754716981132E-2</v>
      </c>
      <c r="T70" s="170">
        <f>(Q70*1)/(I70/H70)</f>
        <v>3.8809109837508307E-2</v>
      </c>
      <c r="U70" s="170">
        <f t="shared" si="26"/>
        <v>7.6305756258831688E-3</v>
      </c>
      <c r="V70" s="171">
        <f>(Q70*1)*E70</f>
        <v>91.529999999999987</v>
      </c>
    </row>
    <row r="71" spans="1:22" ht="13.8">
      <c r="A71" s="172" t="s">
        <v>50</v>
      </c>
      <c r="B71" s="162">
        <v>44743</v>
      </c>
      <c r="C71" s="163">
        <f t="shared" si="24"/>
        <v>2022</v>
      </c>
      <c r="D71" s="162"/>
      <c r="E71" s="165">
        <f>10</f>
        <v>10</v>
      </c>
      <c r="F71" s="204">
        <v>89</v>
      </c>
      <c r="G71" s="204">
        <f t="shared" si="19"/>
        <v>890</v>
      </c>
      <c r="H71" s="165">
        <v>10</v>
      </c>
      <c r="I71" s="204">
        <f>788.9</f>
        <v>788.9</v>
      </c>
      <c r="J71" s="204">
        <f t="shared" si="20"/>
        <v>78.89</v>
      </c>
      <c r="K71" s="204"/>
      <c r="L71" s="166"/>
      <c r="M71" s="166">
        <f t="shared" si="21"/>
        <v>101.10000000000002</v>
      </c>
      <c r="N71" s="167">
        <f t="shared" si="22"/>
        <v>0.12815312460387884</v>
      </c>
      <c r="O71" s="164" t="str">
        <f t="shared" si="25"/>
        <v>Medium Risk</v>
      </c>
      <c r="P71" s="164" t="s">
        <v>18</v>
      </c>
      <c r="Q71" s="165">
        <v>2.52</v>
      </c>
      <c r="R71" s="165">
        <f t="shared" si="23"/>
        <v>100.8</v>
      </c>
      <c r="S71" s="170">
        <f>(Q71*1)/F71</f>
        <v>2.8314606741573035E-2</v>
      </c>
      <c r="T71" s="170">
        <f>(Q71*1)/(I71/H71)</f>
        <v>3.1943212067435667E-2</v>
      </c>
      <c r="U71" s="170">
        <f t="shared" si="26"/>
        <v>1.5819269291954391E-3</v>
      </c>
      <c r="V71" s="171">
        <f>(Q71*1)*E71</f>
        <v>25.2</v>
      </c>
    </row>
    <row r="72" spans="1:22" ht="13.8">
      <c r="A72" s="172" t="s">
        <v>51</v>
      </c>
      <c r="B72" s="162">
        <v>44743</v>
      </c>
      <c r="C72" s="163">
        <f t="shared" si="24"/>
        <v>2022</v>
      </c>
      <c r="D72" s="162"/>
      <c r="E72" s="165">
        <v>25</v>
      </c>
      <c r="F72" s="204">
        <v>35</v>
      </c>
      <c r="G72" s="204">
        <f t="shared" si="19"/>
        <v>875</v>
      </c>
      <c r="H72" s="165">
        <v>25</v>
      </c>
      <c r="I72" s="204">
        <v>472.25</v>
      </c>
      <c r="J72" s="204">
        <f t="shared" si="20"/>
        <v>18.89</v>
      </c>
      <c r="K72" s="204"/>
      <c r="L72" s="166"/>
      <c r="M72" s="166">
        <f t="shared" si="21"/>
        <v>402.75</v>
      </c>
      <c r="N72" s="167">
        <f t="shared" si="22"/>
        <v>0.85283218634197988</v>
      </c>
      <c r="O72" s="164" t="str">
        <f t="shared" si="25"/>
        <v>Low Risk</v>
      </c>
      <c r="P72" s="164" t="s">
        <v>18</v>
      </c>
      <c r="Q72" s="165">
        <v>0.3589</v>
      </c>
      <c r="R72" s="165">
        <f t="shared" si="23"/>
        <v>35.89</v>
      </c>
      <c r="S72" s="170">
        <f>(Q72*2)/F72</f>
        <v>2.0508571428571428E-2</v>
      </c>
      <c r="T72" s="170">
        <f>(Q72*1)/(I72/H72)</f>
        <v>1.899947061937533E-2</v>
      </c>
      <c r="U72" s="170">
        <f t="shared" si="26"/>
        <v>1.5552652393775383E-3</v>
      </c>
      <c r="V72" s="171">
        <f>(Q72*1)*E72</f>
        <v>8.9725000000000001</v>
      </c>
    </row>
    <row r="73" spans="1:22" ht="13.8">
      <c r="A73" s="172" t="s">
        <v>52</v>
      </c>
      <c r="B73" s="162">
        <v>44835</v>
      </c>
      <c r="C73" s="163">
        <f t="shared" si="24"/>
        <v>2022</v>
      </c>
      <c r="D73" s="162"/>
      <c r="E73" s="165">
        <v>15</v>
      </c>
      <c r="F73" s="204">
        <v>96</v>
      </c>
      <c r="G73" s="204">
        <f t="shared" si="19"/>
        <v>1440</v>
      </c>
      <c r="H73" s="165">
        <v>15</v>
      </c>
      <c r="I73" s="204">
        <f>1987.05</f>
        <v>1987.05</v>
      </c>
      <c r="J73" s="204">
        <f t="shared" si="20"/>
        <v>132.47</v>
      </c>
      <c r="K73" s="204"/>
      <c r="L73" s="166"/>
      <c r="M73" s="166">
        <f t="shared" si="21"/>
        <v>-547.04999999999995</v>
      </c>
      <c r="N73" s="167">
        <f t="shared" si="22"/>
        <v>-0.27530761681890237</v>
      </c>
      <c r="O73" s="164" t="str">
        <f t="shared" si="25"/>
        <v>High Risk</v>
      </c>
      <c r="P73" s="164" t="s">
        <v>18</v>
      </c>
      <c r="Q73" s="165">
        <v>1.413</v>
      </c>
      <c r="R73" s="165">
        <f t="shared" si="23"/>
        <v>84.78</v>
      </c>
      <c r="S73" s="170">
        <f t="shared" ref="S73:S104" si="27">(Q73*4)/F73</f>
        <v>5.8875000000000004E-2</v>
      </c>
      <c r="T73" s="170">
        <f t="shared" ref="T73:T104" si="28">(Q73*4)/(I73/H73)</f>
        <v>4.2666264059787122E-2</v>
      </c>
      <c r="U73" s="170">
        <f t="shared" si="26"/>
        <v>2.5595222225184631E-3</v>
      </c>
      <c r="V73" s="171">
        <f t="shared" ref="V73:V104" si="29">(Q73*4)*E73</f>
        <v>84.78</v>
      </c>
    </row>
    <row r="74" spans="1:22" ht="13.8">
      <c r="A74" s="172" t="s">
        <v>53</v>
      </c>
      <c r="B74" s="162">
        <v>44835</v>
      </c>
      <c r="C74" s="163">
        <f t="shared" si="24"/>
        <v>2022</v>
      </c>
      <c r="D74" s="162"/>
      <c r="E74" s="165">
        <f>15+10+10+15+5+10+5+5+15</f>
        <v>90</v>
      </c>
      <c r="F74" s="204">
        <v>80</v>
      </c>
      <c r="G74" s="204">
        <f t="shared" si="19"/>
        <v>7200</v>
      </c>
      <c r="H74" s="165">
        <v>90</v>
      </c>
      <c r="I74" s="204">
        <f>880.5+528.5+517+739.5+240.35+485+175.95+172+477.9</f>
        <v>4216.7</v>
      </c>
      <c r="J74" s="204">
        <f t="shared" si="20"/>
        <v>46.852222222222217</v>
      </c>
      <c r="K74" s="204"/>
      <c r="L74" s="166"/>
      <c r="M74" s="166">
        <f t="shared" si="21"/>
        <v>2983.3</v>
      </c>
      <c r="N74" s="167">
        <f t="shared" si="22"/>
        <v>0.70749638342779908</v>
      </c>
      <c r="O74" s="164" t="str">
        <f t="shared" si="25"/>
        <v>Low Risk</v>
      </c>
      <c r="P74" s="164" t="s">
        <v>18</v>
      </c>
      <c r="Q74" s="165">
        <v>0.62809999999999999</v>
      </c>
      <c r="R74" s="165">
        <f t="shared" si="23"/>
        <v>226.11599999999999</v>
      </c>
      <c r="S74" s="170">
        <f t="shared" si="27"/>
        <v>3.1405000000000002E-2</v>
      </c>
      <c r="T74" s="170">
        <f t="shared" si="28"/>
        <v>5.3623923921550035E-2</v>
      </c>
      <c r="U74" s="170">
        <f t="shared" si="26"/>
        <v>1.2797611112592316E-2</v>
      </c>
      <c r="V74" s="171">
        <f t="shared" si="29"/>
        <v>226.11599999999999</v>
      </c>
    </row>
    <row r="75" spans="1:22" ht="13.8">
      <c r="A75" s="172" t="s">
        <v>54</v>
      </c>
      <c r="B75" s="162">
        <v>44835</v>
      </c>
      <c r="C75" s="163">
        <f t="shared" si="24"/>
        <v>2022</v>
      </c>
      <c r="D75" s="162"/>
      <c r="E75" s="165">
        <v>25</v>
      </c>
      <c r="F75" s="204">
        <v>47</v>
      </c>
      <c r="G75" s="204">
        <f t="shared" si="19"/>
        <v>1175</v>
      </c>
      <c r="H75" s="165">
        <v>25</v>
      </c>
      <c r="I75" s="204">
        <v>611.75</v>
      </c>
      <c r="J75" s="204">
        <f t="shared" si="20"/>
        <v>24.47</v>
      </c>
      <c r="K75" s="204">
        <v>21.9</v>
      </c>
      <c r="L75" s="166" t="str">
        <f ca="1">IFERROR(__xludf.DUMMYFUNCTION("GoogleFinance(A75,""change"") &amp; ""  ("" &amp; GoogleFinance(A75,""changepct"") &amp; ""%)"""),"-0.52  (-2.76%)")</f>
        <v>-0.52  (-2.76%)</v>
      </c>
      <c r="M75" s="166">
        <f t="shared" si="21"/>
        <v>541.35</v>
      </c>
      <c r="N75" s="167">
        <f t="shared" si="22"/>
        <v>0.92071924805884753</v>
      </c>
      <c r="O75" s="164" t="str">
        <f t="shared" si="25"/>
        <v>Low Risk</v>
      </c>
      <c r="P75" s="164" t="s">
        <v>16</v>
      </c>
      <c r="Q75" s="165">
        <v>1.82</v>
      </c>
      <c r="R75" s="165">
        <f t="shared" si="23"/>
        <v>182</v>
      </c>
      <c r="S75" s="170">
        <f t="shared" si="27"/>
        <v>0.1548936170212766</v>
      </c>
      <c r="T75" s="170">
        <f t="shared" si="28"/>
        <v>0.29750715161422153</v>
      </c>
      <c r="U75" s="170">
        <f t="shared" si="26"/>
        <v>2.0884990357355514E-3</v>
      </c>
      <c r="V75" s="171">
        <f t="shared" si="29"/>
        <v>182</v>
      </c>
    </row>
    <row r="76" spans="1:22" ht="13.8">
      <c r="A76" s="161" t="str">
        <f>HYPERLINK("http://www.thedividendpig.com/dividend-stocks/utilities/electric-utilities/so-southern-company/","SO")</f>
        <v>SO</v>
      </c>
      <c r="B76" s="162">
        <v>44835</v>
      </c>
      <c r="C76" s="163">
        <f t="shared" si="24"/>
        <v>2022</v>
      </c>
      <c r="D76" s="162"/>
      <c r="E76" s="165">
        <f>50+25+25+1+1+1+1</f>
        <v>104</v>
      </c>
      <c r="F76" s="204">
        <v>79</v>
      </c>
      <c r="G76" s="204">
        <f t="shared" si="19"/>
        <v>8216</v>
      </c>
      <c r="H76" s="165">
        <v>100</v>
      </c>
      <c r="I76" s="204">
        <f>2488.5+1107.5+1090.75</f>
        <v>4686.75</v>
      </c>
      <c r="J76" s="204">
        <f t="shared" si="20"/>
        <v>46.8675</v>
      </c>
      <c r="K76" s="204"/>
      <c r="L76" s="166"/>
      <c r="M76" s="166">
        <f t="shared" si="21"/>
        <v>3529.25</v>
      </c>
      <c r="N76" s="167">
        <f t="shared" si="22"/>
        <v>0.7530271510108284</v>
      </c>
      <c r="O76" s="164" t="str">
        <f t="shared" si="25"/>
        <v>Low Risk</v>
      </c>
      <c r="P76" s="164" t="s">
        <v>17</v>
      </c>
      <c r="Q76" s="165">
        <v>0.57999999999999996</v>
      </c>
      <c r="R76" s="165">
        <f t="shared" si="23"/>
        <v>241.27999999999997</v>
      </c>
      <c r="S76" s="170">
        <f t="shared" si="27"/>
        <v>2.9367088607594936E-2</v>
      </c>
      <c r="T76" s="170">
        <f t="shared" si="28"/>
        <v>4.9501253533898754E-2</v>
      </c>
      <c r="U76" s="170">
        <f t="shared" si="26"/>
        <v>1.4603496236258121E-2</v>
      </c>
      <c r="V76" s="171">
        <f t="shared" si="29"/>
        <v>241.27999999999997</v>
      </c>
    </row>
    <row r="77" spans="1:22" ht="13.8">
      <c r="A77" s="161" t="str">
        <f>HYPERLINK("http://www.thedividendpig.com/dividend-stocks/services/home-improvement-stores/low-lowes-companies/","LOW")</f>
        <v>LOW</v>
      </c>
      <c r="B77" s="162">
        <v>44835</v>
      </c>
      <c r="C77" s="163">
        <f t="shared" si="24"/>
        <v>2022</v>
      </c>
      <c r="D77" s="162"/>
      <c r="E77" s="165">
        <f>16+20+40+20+20+20+2+8</f>
        <v>146</v>
      </c>
      <c r="F77" s="204">
        <v>55</v>
      </c>
      <c r="G77" s="204">
        <f t="shared" si="19"/>
        <v>8030</v>
      </c>
      <c r="H77" s="165">
        <v>146</v>
      </c>
      <c r="I77" s="204">
        <f>1092.18+1615.2+3045.2+1458.6+1480+1750+198.56+702.88</f>
        <v>11342.619999999999</v>
      </c>
      <c r="J77" s="204">
        <f t="shared" si="20"/>
        <v>77.689178082191773</v>
      </c>
      <c r="K77" s="204"/>
      <c r="L77" s="166"/>
      <c r="M77" s="166">
        <f t="shared" si="21"/>
        <v>-3312.619999999999</v>
      </c>
      <c r="N77" s="167">
        <f t="shared" si="22"/>
        <v>-0.29205069022853619</v>
      </c>
      <c r="O77" s="164" t="str">
        <f t="shared" si="25"/>
        <v>High Risk</v>
      </c>
      <c r="P77" s="164" t="s">
        <v>22</v>
      </c>
      <c r="Q77" s="165">
        <v>0.48</v>
      </c>
      <c r="R77" s="165">
        <f t="shared" si="23"/>
        <v>280.32</v>
      </c>
      <c r="S77" s="170">
        <f t="shared" si="27"/>
        <v>3.490909090909091E-2</v>
      </c>
      <c r="T77" s="170">
        <f t="shared" si="28"/>
        <v>2.4713866813840191E-2</v>
      </c>
      <c r="U77" s="170">
        <f t="shared" si="26"/>
        <v>1.4272891282516152E-2</v>
      </c>
      <c r="V77" s="171">
        <f t="shared" si="29"/>
        <v>280.32</v>
      </c>
    </row>
    <row r="78" spans="1:22" ht="13.8">
      <c r="A78" s="161" t="str">
        <f>HYPERLINK("http://www.thedividendpig.com/dividend-stocks/services/home-improvement-stores/hd-home-depot-inc/","HD")</f>
        <v>HD</v>
      </c>
      <c r="B78" s="162">
        <v>44835</v>
      </c>
      <c r="C78" s="163">
        <f t="shared" si="24"/>
        <v>2022</v>
      </c>
      <c r="D78" s="162"/>
      <c r="E78" s="165">
        <f>3+4+20+20+10+10+10+10+2+5+3+3+2+8</f>
        <v>110</v>
      </c>
      <c r="F78" s="204">
        <v>142</v>
      </c>
      <c r="G78" s="204">
        <f t="shared" si="19"/>
        <v>15620</v>
      </c>
      <c r="H78" s="165">
        <v>110</v>
      </c>
      <c r="I78" s="204">
        <f>335.58+496.96+3047.8+3030.8+1514.5+1516+1472.6+1488.6+359.42+867.8+490.74+554.58+366.56+1468.96</f>
        <v>17010.899999999998</v>
      </c>
      <c r="J78" s="204">
        <f t="shared" si="20"/>
        <v>154.64454545454544</v>
      </c>
      <c r="K78" s="204"/>
      <c r="L78" s="166"/>
      <c r="M78" s="166">
        <f t="shared" si="21"/>
        <v>-1390.8999999999978</v>
      </c>
      <c r="N78" s="167">
        <f t="shared" si="22"/>
        <v>-8.1765221122926945E-2</v>
      </c>
      <c r="O78" s="164" t="str">
        <f t="shared" si="25"/>
        <v>High Risk</v>
      </c>
      <c r="P78" s="164" t="s">
        <v>22</v>
      </c>
      <c r="Q78" s="165">
        <v>1.36</v>
      </c>
      <c r="R78" s="165">
        <f t="shared" si="23"/>
        <v>598.40000000000009</v>
      </c>
      <c r="S78" s="170">
        <f t="shared" si="27"/>
        <v>3.8309859154929578E-2</v>
      </c>
      <c r="T78" s="170">
        <f t="shared" si="28"/>
        <v>3.5177445049938576E-2</v>
      </c>
      <c r="U78" s="170">
        <f t="shared" si="26"/>
        <v>2.7763706330373887E-2</v>
      </c>
      <c r="V78" s="171">
        <f t="shared" si="29"/>
        <v>598.40000000000009</v>
      </c>
    </row>
    <row r="79" spans="1:22" ht="13.8">
      <c r="A79" s="172" t="s">
        <v>55</v>
      </c>
      <c r="B79" s="162">
        <v>44835</v>
      </c>
      <c r="C79" s="163">
        <f t="shared" si="24"/>
        <v>2022</v>
      </c>
      <c r="D79" s="162"/>
      <c r="E79" s="165">
        <v>12</v>
      </c>
      <c r="F79" s="204">
        <v>50</v>
      </c>
      <c r="G79" s="204">
        <f t="shared" si="19"/>
        <v>600</v>
      </c>
      <c r="H79" s="165">
        <v>12</v>
      </c>
      <c r="I79" s="204">
        <v>341.16</v>
      </c>
      <c r="J79" s="204">
        <f t="shared" si="20"/>
        <v>28.430000000000003</v>
      </c>
      <c r="K79" s="204"/>
      <c r="L79" s="166"/>
      <c r="M79" s="166">
        <f t="shared" si="21"/>
        <v>258.83999999999997</v>
      </c>
      <c r="N79" s="167">
        <f t="shared" si="22"/>
        <v>0.75870559268378457</v>
      </c>
      <c r="O79" s="164" t="str">
        <f t="shared" si="25"/>
        <v>Low Risk</v>
      </c>
      <c r="P79" s="164" t="s">
        <v>33</v>
      </c>
      <c r="Q79" s="165">
        <v>0.3</v>
      </c>
      <c r="R79" s="165">
        <f t="shared" si="23"/>
        <v>14.399999999999999</v>
      </c>
      <c r="S79" s="170">
        <f t="shared" si="27"/>
        <v>2.4E-2</v>
      </c>
      <c r="T79" s="170">
        <f t="shared" si="28"/>
        <v>4.2208934224410827E-2</v>
      </c>
      <c r="U79" s="170">
        <f t="shared" si="26"/>
        <v>1.0664675927160264E-3</v>
      </c>
      <c r="V79" s="171">
        <f t="shared" si="29"/>
        <v>14.399999999999999</v>
      </c>
    </row>
    <row r="80" spans="1:22" ht="13.8">
      <c r="A80" s="172" t="s">
        <v>56</v>
      </c>
      <c r="B80" s="162">
        <v>44835</v>
      </c>
      <c r="C80" s="163">
        <f t="shared" si="24"/>
        <v>2022</v>
      </c>
      <c r="D80" s="162"/>
      <c r="E80" s="165">
        <f>3+5</f>
        <v>8</v>
      </c>
      <c r="F80" s="204">
        <v>198</v>
      </c>
      <c r="G80" s="204">
        <f t="shared" si="19"/>
        <v>1584</v>
      </c>
      <c r="H80" s="165">
        <v>8</v>
      </c>
      <c r="I80" s="204">
        <f>617.7+1134.3</f>
        <v>1752</v>
      </c>
      <c r="J80" s="204">
        <f t="shared" si="20"/>
        <v>219</v>
      </c>
      <c r="K80" s="204"/>
      <c r="L80" s="166"/>
      <c r="M80" s="166">
        <f t="shared" si="21"/>
        <v>-168</v>
      </c>
      <c r="N80" s="167">
        <f t="shared" si="22"/>
        <v>-9.5890410958904104E-2</v>
      </c>
      <c r="O80" s="164" t="str">
        <f t="shared" si="25"/>
        <v>High Risk</v>
      </c>
      <c r="P80" s="164" t="s">
        <v>33</v>
      </c>
      <c r="Q80" s="165">
        <v>2.65</v>
      </c>
      <c r="R80" s="165">
        <f t="shared" si="23"/>
        <v>84.8</v>
      </c>
      <c r="S80" s="170">
        <f t="shared" si="27"/>
        <v>5.3535353535353533E-2</v>
      </c>
      <c r="T80" s="170">
        <f t="shared" si="28"/>
        <v>4.8401826484018265E-2</v>
      </c>
      <c r="U80" s="170">
        <f t="shared" si="26"/>
        <v>2.8154744447703097E-3</v>
      </c>
      <c r="V80" s="171">
        <f t="shared" si="29"/>
        <v>84.8</v>
      </c>
    </row>
    <row r="81" spans="1:22" ht="13.8">
      <c r="A81" s="161" t="str">
        <f>HYPERLINK("http://www.thedividendpig.com/dividend-stocks/financial/credit-services/ma-mastercard-inc/","MA")</f>
        <v>MA</v>
      </c>
      <c r="B81" s="162">
        <v>44835</v>
      </c>
      <c r="C81" s="163">
        <f t="shared" si="24"/>
        <v>2022</v>
      </c>
      <c r="D81" s="162"/>
      <c r="E81" s="165">
        <f>2+6+2</f>
        <v>10</v>
      </c>
      <c r="F81" s="204">
        <v>185</v>
      </c>
      <c r="G81" s="204">
        <f t="shared" si="19"/>
        <v>1850</v>
      </c>
      <c r="H81" s="165">
        <v>10</v>
      </c>
      <c r="I81" s="204">
        <f>193.12+1107.24+367.04</f>
        <v>1667.4</v>
      </c>
      <c r="J81" s="204">
        <f t="shared" si="20"/>
        <v>166.74</v>
      </c>
      <c r="K81" s="204"/>
      <c r="L81" s="166"/>
      <c r="M81" s="166">
        <f t="shared" si="21"/>
        <v>182.59999999999991</v>
      </c>
      <c r="N81" s="167">
        <f t="shared" si="22"/>
        <v>0.10951181480148728</v>
      </c>
      <c r="O81" s="164" t="str">
        <f t="shared" si="25"/>
        <v>Medium Risk</v>
      </c>
      <c r="P81" s="164" t="s">
        <v>33</v>
      </c>
      <c r="Q81" s="165">
        <v>0.33</v>
      </c>
      <c r="R81" s="165">
        <f t="shared" si="23"/>
        <v>13.200000000000001</v>
      </c>
      <c r="S81" s="170">
        <f t="shared" si="27"/>
        <v>7.1351351351351356E-3</v>
      </c>
      <c r="T81" s="170">
        <f t="shared" si="28"/>
        <v>7.91651673263764E-3</v>
      </c>
      <c r="U81" s="170">
        <f t="shared" si="26"/>
        <v>3.2882750775410814E-3</v>
      </c>
      <c r="V81" s="171">
        <f t="shared" si="29"/>
        <v>13.200000000000001</v>
      </c>
    </row>
    <row r="82" spans="1:22" ht="13.8">
      <c r="A82" s="172" t="s">
        <v>57</v>
      </c>
      <c r="B82" s="162">
        <v>44835</v>
      </c>
      <c r="C82" s="163">
        <f t="shared" si="24"/>
        <v>2022</v>
      </c>
      <c r="D82" s="162"/>
      <c r="E82" s="165">
        <f>10+10+20+25</f>
        <v>65</v>
      </c>
      <c r="F82" s="204">
        <v>43</v>
      </c>
      <c r="G82" s="204">
        <f t="shared" si="19"/>
        <v>2795</v>
      </c>
      <c r="H82" s="165">
        <v>65</v>
      </c>
      <c r="I82" s="204">
        <f>343.4+373.2+776.4+981</f>
        <v>2474</v>
      </c>
      <c r="J82" s="204">
        <f t="shared" si="20"/>
        <v>38.061538461538461</v>
      </c>
      <c r="K82" s="204"/>
      <c r="L82" s="166"/>
      <c r="M82" s="166">
        <f t="shared" si="21"/>
        <v>321</v>
      </c>
      <c r="N82" s="167">
        <f t="shared" si="22"/>
        <v>0.12974939369442198</v>
      </c>
      <c r="O82" s="164" t="str">
        <f t="shared" si="25"/>
        <v>Medium Risk</v>
      </c>
      <c r="P82" s="164" t="s">
        <v>29</v>
      </c>
      <c r="Q82" s="165">
        <v>0.26</v>
      </c>
      <c r="R82" s="165">
        <f t="shared" si="23"/>
        <v>67.600000000000009</v>
      </c>
      <c r="S82" s="170">
        <f t="shared" si="27"/>
        <v>2.4186046511627909E-2</v>
      </c>
      <c r="T82" s="170">
        <f t="shared" si="28"/>
        <v>2.7324171382376718E-2</v>
      </c>
      <c r="U82" s="170">
        <f t="shared" si="26"/>
        <v>4.9679615360688229E-3</v>
      </c>
      <c r="V82" s="171">
        <f t="shared" si="29"/>
        <v>67.600000000000009</v>
      </c>
    </row>
    <row r="83" spans="1:22" ht="13.8">
      <c r="A83" s="172" t="s">
        <v>58</v>
      </c>
      <c r="B83" s="162">
        <v>44927</v>
      </c>
      <c r="C83" s="163">
        <f t="shared" si="24"/>
        <v>2023</v>
      </c>
      <c r="D83" s="162"/>
      <c r="E83" s="165">
        <f>10+3</f>
        <v>13</v>
      </c>
      <c r="F83" s="204">
        <v>102</v>
      </c>
      <c r="G83" s="204">
        <f t="shared" si="19"/>
        <v>1326</v>
      </c>
      <c r="H83" s="165">
        <v>13</v>
      </c>
      <c r="I83" s="204">
        <f>1922.1+587.58</f>
        <v>2509.6799999999998</v>
      </c>
      <c r="J83" s="204">
        <f t="shared" si="20"/>
        <v>193.05230769230769</v>
      </c>
      <c r="K83" s="204"/>
      <c r="L83" s="166"/>
      <c r="M83" s="166">
        <f t="shared" si="21"/>
        <v>-1183.6799999999998</v>
      </c>
      <c r="N83" s="167">
        <f t="shared" si="22"/>
        <v>-0.47164578751075831</v>
      </c>
      <c r="O83" s="164" t="str">
        <f t="shared" si="25"/>
        <v>High Risk</v>
      </c>
      <c r="P83" s="164" t="s">
        <v>30</v>
      </c>
      <c r="Q83" s="165">
        <v>2</v>
      </c>
      <c r="R83" s="165">
        <f t="shared" si="23"/>
        <v>104</v>
      </c>
      <c r="S83" s="170">
        <f t="shared" si="27"/>
        <v>7.8431372549019607E-2</v>
      </c>
      <c r="T83" s="170">
        <f t="shared" si="28"/>
        <v>4.1439546077587583E-2</v>
      </c>
      <c r="U83" s="170">
        <f t="shared" si="26"/>
        <v>2.3568933799024182E-3</v>
      </c>
      <c r="V83" s="171">
        <f t="shared" si="29"/>
        <v>104</v>
      </c>
    </row>
    <row r="84" spans="1:22" ht="13.8">
      <c r="A84" s="172" t="s">
        <v>59</v>
      </c>
      <c r="B84" s="162">
        <v>44927</v>
      </c>
      <c r="C84" s="163">
        <f t="shared" si="24"/>
        <v>2023</v>
      </c>
      <c r="D84" s="162"/>
      <c r="E84" s="165">
        <f>15+40</f>
        <v>55</v>
      </c>
      <c r="F84" s="204">
        <v>91</v>
      </c>
      <c r="G84" s="204">
        <f t="shared" si="19"/>
        <v>5005</v>
      </c>
      <c r="H84" s="165">
        <v>55</v>
      </c>
      <c r="I84" s="204">
        <f>1140.2+3074.4</f>
        <v>4214.6000000000004</v>
      </c>
      <c r="J84" s="204">
        <f t="shared" si="20"/>
        <v>76.62909090909092</v>
      </c>
      <c r="K84" s="204"/>
      <c r="L84" s="166"/>
      <c r="M84" s="166">
        <f t="shared" si="21"/>
        <v>790.39999999999964</v>
      </c>
      <c r="N84" s="167">
        <f t="shared" si="22"/>
        <v>0.18753855644663778</v>
      </c>
      <c r="O84" s="164" t="str">
        <f t="shared" si="25"/>
        <v>Medium Risk</v>
      </c>
      <c r="P84" s="164" t="s">
        <v>24</v>
      </c>
      <c r="Q84" s="165">
        <v>0.8</v>
      </c>
      <c r="R84" s="165">
        <f t="shared" si="23"/>
        <v>176</v>
      </c>
      <c r="S84" s="170">
        <f t="shared" si="27"/>
        <v>3.5164835164835165E-2</v>
      </c>
      <c r="T84" s="170">
        <f t="shared" si="28"/>
        <v>4.1759597589332315E-2</v>
      </c>
      <c r="U84" s="170">
        <f t="shared" si="26"/>
        <v>8.8961171692395202E-3</v>
      </c>
      <c r="V84" s="171">
        <f t="shared" si="29"/>
        <v>176</v>
      </c>
    </row>
    <row r="85" spans="1:22" ht="13.8">
      <c r="A85" s="172" t="s">
        <v>60</v>
      </c>
      <c r="B85" s="162">
        <v>44927</v>
      </c>
      <c r="C85" s="163">
        <f t="shared" si="24"/>
        <v>2023</v>
      </c>
      <c r="D85" s="162"/>
      <c r="E85" s="165">
        <v>13</v>
      </c>
      <c r="F85" s="204">
        <v>68</v>
      </c>
      <c r="G85" s="204">
        <f t="shared" si="19"/>
        <v>884</v>
      </c>
      <c r="H85" s="165">
        <v>13</v>
      </c>
      <c r="I85" s="204">
        <f>480.9+178.6</f>
        <v>659.5</v>
      </c>
      <c r="J85" s="204">
        <f t="shared" si="20"/>
        <v>50.730769230769234</v>
      </c>
      <c r="K85" s="204"/>
      <c r="L85" s="166"/>
      <c r="M85" s="166">
        <f t="shared" si="21"/>
        <v>224.5</v>
      </c>
      <c r="N85" s="167">
        <f t="shared" si="22"/>
        <v>0.34040940106141016</v>
      </c>
      <c r="O85" s="164" t="str">
        <f t="shared" si="25"/>
        <v>Low Risk</v>
      </c>
      <c r="P85" s="164" t="s">
        <v>19</v>
      </c>
      <c r="Q85" s="165">
        <v>0.4</v>
      </c>
      <c r="R85" s="165">
        <f t="shared" si="23"/>
        <v>20.8</v>
      </c>
      <c r="S85" s="170">
        <f t="shared" si="27"/>
        <v>2.3529411764705882E-2</v>
      </c>
      <c r="T85" s="170">
        <f t="shared" si="28"/>
        <v>3.1539044730856711E-2</v>
      </c>
      <c r="U85" s="170">
        <f t="shared" si="26"/>
        <v>1.5712622532682789E-3</v>
      </c>
      <c r="V85" s="171">
        <f t="shared" si="29"/>
        <v>20.8</v>
      </c>
    </row>
    <row r="86" spans="1:22" ht="13.8">
      <c r="A86" s="161" t="str">
        <f>HYPERLINK("http://www.thedividendpig.com/dividend-stocks/services/specialty-retail-other/gpc-genuine-parts-co/","GPC")</f>
        <v>GPC</v>
      </c>
      <c r="B86" s="162">
        <v>44927</v>
      </c>
      <c r="C86" s="163">
        <f t="shared" si="24"/>
        <v>2023</v>
      </c>
      <c r="D86" s="162"/>
      <c r="E86" s="165">
        <f>4+20+25+25+30+15</f>
        <v>119</v>
      </c>
      <c r="F86" s="204">
        <v>100</v>
      </c>
      <c r="G86" s="204">
        <f t="shared" si="19"/>
        <v>11900</v>
      </c>
      <c r="H86" s="165">
        <v>119</v>
      </c>
      <c r="I86" s="204">
        <f>312.44+1842.2+2155+2071.5+2425.8+1334.7</f>
        <v>10141.64</v>
      </c>
      <c r="J86" s="204">
        <f t="shared" si="20"/>
        <v>85.223865546218477</v>
      </c>
      <c r="K86" s="204"/>
      <c r="L86" s="166"/>
      <c r="M86" s="166">
        <f t="shared" si="21"/>
        <v>1758.3600000000006</v>
      </c>
      <c r="N86" s="167">
        <f t="shared" si="22"/>
        <v>0.17338024224878823</v>
      </c>
      <c r="O86" s="164" t="str">
        <f t="shared" si="25"/>
        <v>Medium Risk</v>
      </c>
      <c r="P86" s="164" t="s">
        <v>22</v>
      </c>
      <c r="Q86" s="165">
        <v>0.72</v>
      </c>
      <c r="R86" s="165">
        <f t="shared" si="23"/>
        <v>342.71999999999997</v>
      </c>
      <c r="S86" s="170">
        <f t="shared" si="27"/>
        <v>2.8799999999999999E-2</v>
      </c>
      <c r="T86" s="170">
        <f t="shared" si="28"/>
        <v>3.3793350976765099E-2</v>
      </c>
      <c r="U86" s="170">
        <f t="shared" si="26"/>
        <v>2.1151607255534523E-2</v>
      </c>
      <c r="V86" s="171">
        <f t="shared" si="29"/>
        <v>342.71999999999997</v>
      </c>
    </row>
    <row r="87" spans="1:22" ht="13.8">
      <c r="A87" s="172" t="s">
        <v>61</v>
      </c>
      <c r="B87" s="162">
        <v>44927</v>
      </c>
      <c r="C87" s="163">
        <f t="shared" si="24"/>
        <v>2023</v>
      </c>
      <c r="D87" s="162"/>
      <c r="E87" s="165">
        <f>20+10</f>
        <v>30</v>
      </c>
      <c r="F87" s="204">
        <v>29</v>
      </c>
      <c r="G87" s="204">
        <f t="shared" si="19"/>
        <v>870</v>
      </c>
      <c r="H87" s="165">
        <v>30</v>
      </c>
      <c r="I87" s="204">
        <f>369+176.1</f>
        <v>545.1</v>
      </c>
      <c r="J87" s="204">
        <f t="shared" si="20"/>
        <v>18.170000000000002</v>
      </c>
      <c r="K87" s="204"/>
      <c r="L87" s="166"/>
      <c r="M87" s="166">
        <f t="shared" si="21"/>
        <v>324.89999999999998</v>
      </c>
      <c r="N87" s="167">
        <f t="shared" si="22"/>
        <v>0.59603742432581175</v>
      </c>
      <c r="O87" s="164" t="str">
        <f t="shared" si="25"/>
        <v>Low Risk</v>
      </c>
      <c r="P87" s="164" t="s">
        <v>22</v>
      </c>
      <c r="Q87" s="165">
        <v>0.16</v>
      </c>
      <c r="R87" s="165">
        <f t="shared" si="23"/>
        <v>19.2</v>
      </c>
      <c r="S87" s="170">
        <f t="shared" si="27"/>
        <v>2.2068965517241381E-2</v>
      </c>
      <c r="T87" s="170">
        <f t="shared" si="28"/>
        <v>3.5222894881673086E-2</v>
      </c>
      <c r="U87" s="170">
        <f t="shared" si="26"/>
        <v>1.5463780094382381E-3</v>
      </c>
      <c r="V87" s="171">
        <f t="shared" si="29"/>
        <v>19.2</v>
      </c>
    </row>
    <row r="88" spans="1:22" ht="13.8">
      <c r="A88" s="161" t="str">
        <f>HYPERLINK("http://www.thedividendpig.com/dividend-stocks/financial/credit-services/v-visa-inc/","V")</f>
        <v>V</v>
      </c>
      <c r="B88" s="162">
        <v>44927</v>
      </c>
      <c r="C88" s="163">
        <f t="shared" si="24"/>
        <v>2023</v>
      </c>
      <c r="D88" s="162"/>
      <c r="E88" s="165">
        <f>4+10+15+15+2+5+1+10+5</f>
        <v>67</v>
      </c>
      <c r="F88" s="204">
        <v>143</v>
      </c>
      <c r="G88" s="204">
        <f t="shared" si="19"/>
        <v>9581</v>
      </c>
      <c r="H88" s="165">
        <v>67</v>
      </c>
      <c r="I88" s="204">
        <f>306.48+712+1405.5+1691.1+277.08+691.9+136.91+1365.6+654.3</f>
        <v>7240.87</v>
      </c>
      <c r="J88" s="204">
        <f t="shared" si="20"/>
        <v>108.07268656716418</v>
      </c>
      <c r="K88" s="204"/>
      <c r="L88" s="166"/>
      <c r="M88" s="166">
        <f t="shared" si="21"/>
        <v>2340.13</v>
      </c>
      <c r="N88" s="167">
        <f t="shared" si="22"/>
        <v>0.32318354009946321</v>
      </c>
      <c r="O88" s="164" t="str">
        <f t="shared" si="25"/>
        <v>Low Risk</v>
      </c>
      <c r="P88" s="164" t="s">
        <v>33</v>
      </c>
      <c r="Q88" s="165">
        <v>0.25</v>
      </c>
      <c r="R88" s="165">
        <f t="shared" si="23"/>
        <v>67</v>
      </c>
      <c r="S88" s="170">
        <f t="shared" si="27"/>
        <v>6.993006993006993E-3</v>
      </c>
      <c r="T88" s="170">
        <f t="shared" si="28"/>
        <v>9.2530317489472949E-3</v>
      </c>
      <c r="U88" s="170">
        <f t="shared" si="26"/>
        <v>1.7029710009687081E-2</v>
      </c>
      <c r="V88" s="171">
        <f t="shared" si="29"/>
        <v>67</v>
      </c>
    </row>
    <row r="89" spans="1:22" ht="13.8">
      <c r="A89" s="172" t="s">
        <v>62</v>
      </c>
      <c r="B89" s="162">
        <v>44927</v>
      </c>
      <c r="C89" s="163">
        <f t="shared" si="24"/>
        <v>2023</v>
      </c>
      <c r="D89" s="162"/>
      <c r="E89" s="165">
        <f>10+10+7</f>
        <v>27</v>
      </c>
      <c r="F89" s="204">
        <v>103</v>
      </c>
      <c r="G89" s="204">
        <f t="shared" si="19"/>
        <v>2781</v>
      </c>
      <c r="H89" s="165">
        <v>27</v>
      </c>
      <c r="I89" s="204">
        <f>619.7+565.8+ 416.5</f>
        <v>1602</v>
      </c>
      <c r="J89" s="204">
        <f t="shared" si="20"/>
        <v>59.333333333333336</v>
      </c>
      <c r="K89" s="204"/>
      <c r="L89" s="166"/>
      <c r="M89" s="166">
        <f t="shared" si="21"/>
        <v>1179</v>
      </c>
      <c r="N89" s="167">
        <f t="shared" si="22"/>
        <v>0.7359550561797753</v>
      </c>
      <c r="O89" s="164" t="str">
        <f t="shared" si="25"/>
        <v>Low Risk</v>
      </c>
      <c r="P89" s="164" t="s">
        <v>18</v>
      </c>
      <c r="Q89" s="165">
        <v>0.4</v>
      </c>
      <c r="R89" s="165">
        <f t="shared" si="23"/>
        <v>43.2</v>
      </c>
      <c r="S89" s="170">
        <f t="shared" si="27"/>
        <v>1.5533980582524273E-2</v>
      </c>
      <c r="T89" s="170">
        <f t="shared" si="28"/>
        <v>2.6966292134831461E-2</v>
      </c>
      <c r="U89" s="170">
        <f t="shared" si="26"/>
        <v>4.9430772922387824E-3</v>
      </c>
      <c r="V89" s="171">
        <f t="shared" si="29"/>
        <v>43.2</v>
      </c>
    </row>
    <row r="90" spans="1:22" ht="13.8">
      <c r="A90" s="161" t="str">
        <f>HYPERLINK("http://www.thedividendpig.com/dividend-stocks/services/air-delivery-and-freight-services/ups-united-parcel-service-inc/","UPS")</f>
        <v>UPS</v>
      </c>
      <c r="B90" s="162">
        <v>44927</v>
      </c>
      <c r="C90" s="163">
        <f t="shared" si="24"/>
        <v>2023</v>
      </c>
      <c r="D90" s="162"/>
      <c r="E90" s="165">
        <f>3+4+20+6+2</f>
        <v>35</v>
      </c>
      <c r="F90" s="204">
        <v>94</v>
      </c>
      <c r="G90" s="204">
        <f t="shared" si="19"/>
        <v>3290</v>
      </c>
      <c r="H90" s="165">
        <v>35</v>
      </c>
      <c r="I90" s="204">
        <f>309.57+380.44+2087.2+562.08+181.4</f>
        <v>3520.69</v>
      </c>
      <c r="J90" s="204">
        <f t="shared" si="20"/>
        <v>100.59114285714286</v>
      </c>
      <c r="K90" s="204"/>
      <c r="L90" s="166"/>
      <c r="M90" s="166">
        <f t="shared" si="21"/>
        <v>-230.69000000000005</v>
      </c>
      <c r="N90" s="167">
        <f t="shared" si="22"/>
        <v>-6.5524087607826895E-2</v>
      </c>
      <c r="O90" s="164" t="str">
        <f t="shared" si="25"/>
        <v>High Risk</v>
      </c>
      <c r="P90" s="164" t="s">
        <v>19</v>
      </c>
      <c r="Q90" s="165">
        <v>0.91</v>
      </c>
      <c r="R90" s="165">
        <f t="shared" si="23"/>
        <v>127.4</v>
      </c>
      <c r="S90" s="170">
        <f t="shared" si="27"/>
        <v>3.8723404255319151E-2</v>
      </c>
      <c r="T90" s="170">
        <f t="shared" si="28"/>
        <v>3.618608852242032E-2</v>
      </c>
      <c r="U90" s="170">
        <f t="shared" si="26"/>
        <v>5.8477973000595441E-3</v>
      </c>
      <c r="V90" s="171">
        <f t="shared" si="29"/>
        <v>127.4</v>
      </c>
    </row>
    <row r="91" spans="1:22" ht="13.8">
      <c r="A91" s="172" t="s">
        <v>63</v>
      </c>
      <c r="B91" s="162">
        <v>44927</v>
      </c>
      <c r="C91" s="163">
        <f t="shared" si="24"/>
        <v>2023</v>
      </c>
      <c r="D91" s="162"/>
      <c r="E91" s="165">
        <f>4+2+2+2</f>
        <v>10</v>
      </c>
      <c r="F91" s="204">
        <v>184</v>
      </c>
      <c r="G91" s="204">
        <f t="shared" si="19"/>
        <v>1840</v>
      </c>
      <c r="H91" s="165">
        <v>10</v>
      </c>
      <c r="I91" s="204">
        <f>727.44+335.72+325.72+303.3</f>
        <v>1692.18</v>
      </c>
      <c r="J91" s="204">
        <f t="shared" si="20"/>
        <v>169.21800000000002</v>
      </c>
      <c r="K91" s="204"/>
      <c r="L91" s="166"/>
      <c r="M91" s="166">
        <f t="shared" si="21"/>
        <v>147.81999999999994</v>
      </c>
      <c r="N91" s="167">
        <f t="shared" si="22"/>
        <v>8.7354773132881799E-2</v>
      </c>
      <c r="O91" s="164" t="str">
        <f t="shared" si="25"/>
        <v>Medium Risk</v>
      </c>
      <c r="P91" s="164" t="s">
        <v>19</v>
      </c>
      <c r="Q91" s="165">
        <v>0.65</v>
      </c>
      <c r="R91" s="165">
        <f t="shared" si="23"/>
        <v>26</v>
      </c>
      <c r="S91" s="170">
        <f t="shared" si="27"/>
        <v>1.4130434782608696E-2</v>
      </c>
      <c r="T91" s="170">
        <f t="shared" si="28"/>
        <v>1.5364795707312459E-2</v>
      </c>
      <c r="U91" s="170">
        <f t="shared" si="26"/>
        <v>3.2705006176624806E-3</v>
      </c>
      <c r="V91" s="171">
        <f t="shared" si="29"/>
        <v>26</v>
      </c>
    </row>
    <row r="92" spans="1:22" ht="13.8">
      <c r="A92" s="172" t="s">
        <v>64</v>
      </c>
      <c r="B92" s="162">
        <v>44927</v>
      </c>
      <c r="C92" s="163">
        <f t="shared" si="24"/>
        <v>2023</v>
      </c>
      <c r="D92" s="162"/>
      <c r="E92" s="165">
        <f>8+25</f>
        <v>33</v>
      </c>
      <c r="F92" s="204">
        <v>104</v>
      </c>
      <c r="G92" s="204">
        <f t="shared" si="19"/>
        <v>3432</v>
      </c>
      <c r="H92" s="165">
        <v>33</v>
      </c>
      <c r="I92" s="204">
        <f>606.96+1972.75</f>
        <v>2579.71</v>
      </c>
      <c r="J92" s="204">
        <f t="shared" si="20"/>
        <v>78.173030303030302</v>
      </c>
      <c r="K92" s="204"/>
      <c r="L92" s="166"/>
      <c r="M92" s="166">
        <f t="shared" si="21"/>
        <v>852.29</v>
      </c>
      <c r="N92" s="167">
        <f t="shared" si="22"/>
        <v>0.33038209721247735</v>
      </c>
      <c r="O92" s="164" t="str">
        <f t="shared" si="25"/>
        <v>Low Risk</v>
      </c>
      <c r="P92" s="164" t="s">
        <v>29</v>
      </c>
      <c r="Q92" s="165">
        <v>0.39</v>
      </c>
      <c r="R92" s="165">
        <f t="shared" si="23"/>
        <v>51.480000000000004</v>
      </c>
      <c r="S92" s="170">
        <f t="shared" si="27"/>
        <v>1.5000000000000001E-2</v>
      </c>
      <c r="T92" s="170">
        <f t="shared" si="28"/>
        <v>1.9955731458187163E-2</v>
      </c>
      <c r="U92" s="170">
        <f t="shared" si="26"/>
        <v>6.1001946303356706E-3</v>
      </c>
      <c r="V92" s="171">
        <f t="shared" si="29"/>
        <v>51.480000000000004</v>
      </c>
    </row>
    <row r="93" spans="1:22" ht="13.8">
      <c r="A93" s="161" t="str">
        <f>HYPERLINK("http://www.thedividendpig.com/dividend-stocks/consumer-goods/textile-apparel-clothing/vfc-vf-corp/","VFC")</f>
        <v>VFC</v>
      </c>
      <c r="B93" s="162">
        <v>45017</v>
      </c>
      <c r="C93" s="163">
        <f t="shared" si="24"/>
        <v>2023</v>
      </c>
      <c r="D93" s="162"/>
      <c r="E93" s="165">
        <v>20</v>
      </c>
      <c r="F93" s="204">
        <v>54</v>
      </c>
      <c r="G93" s="204">
        <f t="shared" si="19"/>
        <v>1080</v>
      </c>
      <c r="H93" s="165">
        <v>20</v>
      </c>
      <c r="I93" s="204">
        <v>1015.8</v>
      </c>
      <c r="J93" s="204">
        <f t="shared" si="20"/>
        <v>50.79</v>
      </c>
      <c r="K93" s="204"/>
      <c r="L93" s="166"/>
      <c r="M93" s="166">
        <f t="shared" si="21"/>
        <v>64.200000000000045</v>
      </c>
      <c r="N93" s="167">
        <f t="shared" si="22"/>
        <v>6.3201417601890186E-2</v>
      </c>
      <c r="O93" s="164" t="str">
        <f t="shared" si="25"/>
        <v>Medium Risk</v>
      </c>
      <c r="P93" s="164" t="s">
        <v>22</v>
      </c>
      <c r="Q93" s="165">
        <v>0.51</v>
      </c>
      <c r="R93" s="165">
        <f t="shared" si="23"/>
        <v>40.799999999999997</v>
      </c>
      <c r="S93" s="170">
        <f t="shared" si="27"/>
        <v>3.7777777777777778E-2</v>
      </c>
      <c r="T93" s="170">
        <f t="shared" si="28"/>
        <v>4.0165386887182519E-2</v>
      </c>
      <c r="U93" s="170">
        <f t="shared" si="26"/>
        <v>1.9196416668888475E-3</v>
      </c>
      <c r="V93" s="171">
        <f t="shared" si="29"/>
        <v>40.799999999999997</v>
      </c>
    </row>
    <row r="94" spans="1:22" ht="13.8">
      <c r="A94" s="161" t="str">
        <f>HYPERLINK("http://www.thedividendpig.com/dividend-stocks/healthcare/drug-manufacturers-major/pfe-pfizer-inc/","PFE")</f>
        <v>PFE</v>
      </c>
      <c r="B94" s="162">
        <v>45017</v>
      </c>
      <c r="C94" s="163">
        <f t="shared" si="24"/>
        <v>2023</v>
      </c>
      <c r="D94" s="162"/>
      <c r="E94" s="165">
        <f>17+10+7+75+35+30+1+1+1+1</f>
        <v>178</v>
      </c>
      <c r="F94" s="204">
        <v>55</v>
      </c>
      <c r="G94" s="204">
        <f t="shared" si="19"/>
        <v>9790</v>
      </c>
      <c r="H94" s="165">
        <v>174</v>
      </c>
      <c r="I94" s="204">
        <f>525.9+288.6+207.27+2430+1202.25+1013.7</f>
        <v>5667.72</v>
      </c>
      <c r="J94" s="204">
        <f t="shared" si="20"/>
        <v>32.573103448275866</v>
      </c>
      <c r="K94" s="204"/>
      <c r="L94" s="166"/>
      <c r="M94" s="166">
        <f t="shared" si="21"/>
        <v>4122.28</v>
      </c>
      <c r="N94" s="167">
        <f t="shared" si="22"/>
        <v>0.72732597940618093</v>
      </c>
      <c r="O94" s="164" t="str">
        <f t="shared" si="25"/>
        <v>Low Risk</v>
      </c>
      <c r="P94" s="164" t="s">
        <v>38</v>
      </c>
      <c r="Q94" s="165">
        <v>0.32</v>
      </c>
      <c r="R94" s="165">
        <f t="shared" si="23"/>
        <v>227.84</v>
      </c>
      <c r="S94" s="170">
        <f t="shared" si="27"/>
        <v>2.3272727272727275E-2</v>
      </c>
      <c r="T94" s="170">
        <f t="shared" si="28"/>
        <v>3.9296224937011702E-2</v>
      </c>
      <c r="U94" s="170">
        <f t="shared" si="26"/>
        <v>1.7401196221149828E-2</v>
      </c>
      <c r="V94" s="171">
        <f t="shared" si="29"/>
        <v>227.84</v>
      </c>
    </row>
    <row r="95" spans="1:22" ht="13.8">
      <c r="A95" s="172" t="s">
        <v>65</v>
      </c>
      <c r="B95" s="162">
        <v>45017</v>
      </c>
      <c r="C95" s="163">
        <f t="shared" si="24"/>
        <v>2023</v>
      </c>
      <c r="D95" s="162"/>
      <c r="E95" s="165">
        <f>7+3+4+8</f>
        <v>22</v>
      </c>
      <c r="F95" s="204">
        <v>90</v>
      </c>
      <c r="G95" s="204">
        <f t="shared" si="19"/>
        <v>1980</v>
      </c>
      <c r="H95" s="165">
        <v>22</v>
      </c>
      <c r="I95" s="204">
        <f>422.8+344.58+319.44+615.44</f>
        <v>1702.26</v>
      </c>
      <c r="J95" s="204">
        <f t="shared" si="20"/>
        <v>77.375454545454545</v>
      </c>
      <c r="K95" s="204"/>
      <c r="L95" s="166"/>
      <c r="M95" s="166">
        <f t="shared" si="21"/>
        <v>277.74</v>
      </c>
      <c r="N95" s="167">
        <f t="shared" si="22"/>
        <v>0.16315956434387227</v>
      </c>
      <c r="O95" s="164" t="str">
        <f t="shared" si="25"/>
        <v>Medium Risk</v>
      </c>
      <c r="P95" s="164" t="s">
        <v>38</v>
      </c>
      <c r="Q95" s="165">
        <v>1.07</v>
      </c>
      <c r="R95" s="165">
        <f t="shared" si="23"/>
        <v>94.160000000000011</v>
      </c>
      <c r="S95" s="170">
        <f t="shared" si="27"/>
        <v>4.7555555555555559E-2</v>
      </c>
      <c r="T95" s="170">
        <f t="shared" si="28"/>
        <v>5.5314699282130821E-2</v>
      </c>
      <c r="U95" s="170">
        <f t="shared" si="26"/>
        <v>3.519343055962887E-3</v>
      </c>
      <c r="V95" s="171">
        <f t="shared" si="29"/>
        <v>94.160000000000011</v>
      </c>
    </row>
    <row r="96" spans="1:22" ht="13.8">
      <c r="A96" s="172" t="s">
        <v>66</v>
      </c>
      <c r="B96" s="162">
        <v>45017</v>
      </c>
      <c r="C96" s="163">
        <f t="shared" si="24"/>
        <v>2023</v>
      </c>
      <c r="D96" s="162"/>
      <c r="E96" s="165">
        <v>5</v>
      </c>
      <c r="F96" s="204">
        <v>71</v>
      </c>
      <c r="G96" s="204">
        <f t="shared" si="19"/>
        <v>355</v>
      </c>
      <c r="H96" s="165">
        <v>5</v>
      </c>
      <c r="I96" s="204">
        <v>281.25</v>
      </c>
      <c r="J96" s="204">
        <f t="shared" si="20"/>
        <v>56.25</v>
      </c>
      <c r="K96" s="204"/>
      <c r="L96" s="166"/>
      <c r="M96" s="166">
        <f t="shared" si="21"/>
        <v>73.75</v>
      </c>
      <c r="N96" s="167">
        <f t="shared" si="22"/>
        <v>0.26222222222222225</v>
      </c>
      <c r="O96" s="164" t="str">
        <f t="shared" si="25"/>
        <v>Low Risk</v>
      </c>
      <c r="P96" s="164" t="s">
        <v>38</v>
      </c>
      <c r="Q96" s="165">
        <v>0.55000000000000004</v>
      </c>
      <c r="R96" s="165">
        <f t="shared" si="23"/>
        <v>11</v>
      </c>
      <c r="S96" s="170">
        <f t="shared" si="27"/>
        <v>3.098591549295775E-2</v>
      </c>
      <c r="T96" s="170">
        <f t="shared" si="28"/>
        <v>3.9111111111111117E-2</v>
      </c>
      <c r="U96" s="170">
        <f t="shared" si="26"/>
        <v>6.3099332569031559E-4</v>
      </c>
      <c r="V96" s="171">
        <f t="shared" si="29"/>
        <v>11</v>
      </c>
    </row>
    <row r="97" spans="1:22" ht="13.8">
      <c r="A97" s="161" t="str">
        <f>HYPERLINK("http://www.thedividendpig.com/dividend-stocks/technology/business-software-and-services/irm-iron-mountain-inc/","IRM")</f>
        <v>IRM</v>
      </c>
      <c r="B97" s="162">
        <v>45017</v>
      </c>
      <c r="C97" s="163">
        <f t="shared" si="24"/>
        <v>2023</v>
      </c>
      <c r="D97" s="162"/>
      <c r="E97" s="165">
        <f>35+35+30+40+25+2+2+8+2</f>
        <v>179</v>
      </c>
      <c r="F97" s="204">
        <v>106</v>
      </c>
      <c r="G97" s="204">
        <f t="shared" si="19"/>
        <v>18974</v>
      </c>
      <c r="H97" s="165">
        <v>177</v>
      </c>
      <c r="I97" s="204">
        <f>1197+1219.75+1071.3+1412+802.25+69.28+246.88</f>
        <v>6018.46</v>
      </c>
      <c r="J97" s="204">
        <f t="shared" si="20"/>
        <v>34.002598870056495</v>
      </c>
      <c r="K97" s="204"/>
      <c r="L97" s="166"/>
      <c r="M97" s="166">
        <f t="shared" si="21"/>
        <v>12955.54</v>
      </c>
      <c r="N97" s="167">
        <f t="shared" si="22"/>
        <v>2.1526337302233465</v>
      </c>
      <c r="O97" s="164" t="str">
        <f t="shared" si="25"/>
        <v>Low Risk</v>
      </c>
      <c r="P97" s="164" t="s">
        <v>30</v>
      </c>
      <c r="Q97" s="165">
        <v>0.61099999999999999</v>
      </c>
      <c r="R97" s="165">
        <f t="shared" si="23"/>
        <v>437.476</v>
      </c>
      <c r="S97" s="170">
        <f t="shared" si="27"/>
        <v>2.3056603773584906E-2</v>
      </c>
      <c r="T97" s="170">
        <f t="shared" si="28"/>
        <v>7.1876858864227733E-2</v>
      </c>
      <c r="U97" s="170">
        <f t="shared" si="26"/>
        <v>3.3725260173656471E-2</v>
      </c>
      <c r="V97" s="171">
        <f t="shared" si="29"/>
        <v>437.476</v>
      </c>
    </row>
    <row r="98" spans="1:22" ht="13.8">
      <c r="A98" s="161" t="str">
        <f>HYPERLINK("http://www.thedividendpig.com/dividend-stocks/consumer-goods/meat-products/hrl-hormel-foods-corp/","HRL")</f>
        <v>HRL</v>
      </c>
      <c r="B98" s="162">
        <v>45017</v>
      </c>
      <c r="C98" s="163">
        <f t="shared" si="24"/>
        <v>2023</v>
      </c>
      <c r="D98" s="162"/>
      <c r="E98" s="165">
        <f>65+25</f>
        <v>90</v>
      </c>
      <c r="F98" s="204">
        <v>61</v>
      </c>
      <c r="G98" s="204">
        <f t="shared" si="19"/>
        <v>5490</v>
      </c>
      <c r="H98" s="165">
        <v>90</v>
      </c>
      <c r="I98" s="204">
        <f>2219.75+791.5</f>
        <v>3011.25</v>
      </c>
      <c r="J98" s="204">
        <f t="shared" si="20"/>
        <v>33.458333333333336</v>
      </c>
      <c r="K98" s="204"/>
      <c r="L98" s="166"/>
      <c r="M98" s="166">
        <f t="shared" si="21"/>
        <v>2478.75</v>
      </c>
      <c r="N98" s="167">
        <f t="shared" si="22"/>
        <v>0.82316313823163134</v>
      </c>
      <c r="O98" s="164" t="str">
        <f t="shared" si="25"/>
        <v>Low Risk</v>
      </c>
      <c r="P98" s="164" t="s">
        <v>18</v>
      </c>
      <c r="Q98" s="165">
        <v>0.21</v>
      </c>
      <c r="R98" s="165">
        <f t="shared" si="23"/>
        <v>75.599999999999994</v>
      </c>
      <c r="S98" s="170">
        <f t="shared" si="27"/>
        <v>1.3770491803278688E-2</v>
      </c>
      <c r="T98" s="170">
        <f t="shared" si="28"/>
        <v>2.5105853051058526E-2</v>
      </c>
      <c r="U98" s="170">
        <f t="shared" si="26"/>
        <v>9.7581784733516402E-3</v>
      </c>
      <c r="V98" s="171">
        <f t="shared" si="29"/>
        <v>75.599999999999994</v>
      </c>
    </row>
    <row r="99" spans="1:22" ht="13.8">
      <c r="A99" s="161" t="str">
        <f>HYPERLINK("http://www.thedividendpig.com/dividend-stocks/consumer-goods/processed-and-packaged-goods/k-kellogg-company/","K")</f>
        <v>K</v>
      </c>
      <c r="B99" s="162">
        <v>45017</v>
      </c>
      <c r="C99" s="163">
        <f t="shared" si="24"/>
        <v>2023</v>
      </c>
      <c r="D99" s="162"/>
      <c r="E99" s="165">
        <f>25+15+8+2+7</f>
        <v>57</v>
      </c>
      <c r="F99" s="204">
        <v>109</v>
      </c>
      <c r="G99" s="204">
        <f t="shared" ref="G99:G129" si="30">F99*E99</f>
        <v>6213</v>
      </c>
      <c r="H99" s="165">
        <v>57</v>
      </c>
      <c r="I99" s="204">
        <f>1718.5+916.05+498.88+112+382.83</f>
        <v>3628.26</v>
      </c>
      <c r="J99" s="204">
        <f t="shared" ref="J99:J129" si="31">I99/H99</f>
        <v>63.653684210526322</v>
      </c>
      <c r="K99" s="204"/>
      <c r="L99" s="166"/>
      <c r="M99" s="166">
        <f t="shared" ref="M99:M129" si="32">G99-(I99+K99)</f>
        <v>2584.7399999999998</v>
      </c>
      <c r="N99" s="167">
        <f t="shared" ref="N99:N129" si="33">(G99-I99)/I99</f>
        <v>0.71239106348497616</v>
      </c>
      <c r="O99" s="164" t="str">
        <f t="shared" si="25"/>
        <v>Low Risk</v>
      </c>
      <c r="P99" s="164" t="s">
        <v>18</v>
      </c>
      <c r="Q99" s="165">
        <v>0.56000000000000005</v>
      </c>
      <c r="R99" s="165">
        <f t="shared" ref="R99:R129" si="34">Q99*4*E99</f>
        <v>127.68</v>
      </c>
      <c r="S99" s="170">
        <f t="shared" si="27"/>
        <v>2.0550458715596333E-2</v>
      </c>
      <c r="T99" s="170">
        <f t="shared" si="28"/>
        <v>3.5190421855104098E-2</v>
      </c>
      <c r="U99" s="170">
        <f t="shared" si="26"/>
        <v>1.1043271922574453E-2</v>
      </c>
      <c r="V99" s="171">
        <f t="shared" si="29"/>
        <v>127.68</v>
      </c>
    </row>
    <row r="100" spans="1:22" ht="13.8">
      <c r="A100" s="172" t="s">
        <v>67</v>
      </c>
      <c r="B100" s="162">
        <v>45017</v>
      </c>
      <c r="C100" s="163">
        <f t="shared" si="24"/>
        <v>2023</v>
      </c>
      <c r="D100" s="162"/>
      <c r="E100" s="165">
        <f>8+5+8+6+3</f>
        <v>30</v>
      </c>
      <c r="F100" s="204">
        <v>74</v>
      </c>
      <c r="G100" s="204">
        <f t="shared" si="30"/>
        <v>2220</v>
      </c>
      <c r="H100" s="165">
        <v>30</v>
      </c>
      <c r="I100" s="204">
        <f>479.2+306.3+486.88+353.1+167.1</f>
        <v>1792.58</v>
      </c>
      <c r="J100" s="204">
        <f t="shared" si="31"/>
        <v>59.752666666666663</v>
      </c>
      <c r="K100" s="204"/>
      <c r="L100" s="166"/>
      <c r="M100" s="166">
        <f t="shared" si="32"/>
        <v>427.42000000000007</v>
      </c>
      <c r="N100" s="167">
        <f t="shared" si="33"/>
        <v>0.23843845184036422</v>
      </c>
      <c r="O100" s="164" t="str">
        <f t="shared" si="25"/>
        <v>Medium Risk</v>
      </c>
      <c r="P100" s="164" t="s">
        <v>18</v>
      </c>
      <c r="Q100" s="165">
        <v>0.4</v>
      </c>
      <c r="R100" s="165">
        <f t="shared" si="34"/>
        <v>48</v>
      </c>
      <c r="S100" s="170">
        <f t="shared" si="27"/>
        <v>2.1621621621621623E-2</v>
      </c>
      <c r="T100" s="170">
        <f t="shared" si="28"/>
        <v>2.6777047607359227E-2</v>
      </c>
      <c r="U100" s="170">
        <f t="shared" si="26"/>
        <v>3.9459300930492977E-3</v>
      </c>
      <c r="V100" s="171">
        <f t="shared" si="29"/>
        <v>48</v>
      </c>
    </row>
    <row r="101" spans="1:22" ht="13.8">
      <c r="A101" s="172" t="s">
        <v>68</v>
      </c>
      <c r="B101" s="162">
        <v>45017</v>
      </c>
      <c r="C101" s="163">
        <f t="shared" si="24"/>
        <v>2023</v>
      </c>
      <c r="D101" s="162"/>
      <c r="E101" s="165">
        <f>5+2+2+2+2</f>
        <v>13</v>
      </c>
      <c r="F101" s="204">
        <v>151</v>
      </c>
      <c r="G101" s="204">
        <f t="shared" si="30"/>
        <v>1963</v>
      </c>
      <c r="H101" s="165">
        <v>13</v>
      </c>
      <c r="I101" s="204">
        <f>976.7+379.72+366.08+359.72+332.72</f>
        <v>2414.9400000000005</v>
      </c>
      <c r="J101" s="204">
        <f t="shared" si="31"/>
        <v>185.76461538461541</v>
      </c>
      <c r="K101" s="204"/>
      <c r="L101" s="166"/>
      <c r="M101" s="166">
        <f t="shared" si="32"/>
        <v>-451.94000000000051</v>
      </c>
      <c r="N101" s="167">
        <f t="shared" si="33"/>
        <v>-0.187143365880726</v>
      </c>
      <c r="O101" s="164" t="str">
        <f t="shared" si="25"/>
        <v>High Risk</v>
      </c>
      <c r="P101" s="164" t="s">
        <v>18</v>
      </c>
      <c r="Q101" s="165">
        <v>0.74</v>
      </c>
      <c r="R101" s="165">
        <f t="shared" si="34"/>
        <v>38.479999999999997</v>
      </c>
      <c r="S101" s="170">
        <f t="shared" si="27"/>
        <v>1.9602649006622515E-2</v>
      </c>
      <c r="T101" s="170">
        <f t="shared" si="28"/>
        <v>1.593414329134471E-2</v>
      </c>
      <c r="U101" s="170">
        <f t="shared" si="26"/>
        <v>3.4891264741692663E-3</v>
      </c>
      <c r="V101" s="171">
        <f t="shared" si="29"/>
        <v>38.479999999999997</v>
      </c>
    </row>
    <row r="102" spans="1:22" ht="13.8">
      <c r="A102" s="172" t="s">
        <v>69</v>
      </c>
      <c r="B102" s="162">
        <v>45017</v>
      </c>
      <c r="C102" s="163">
        <f t="shared" si="24"/>
        <v>2023</v>
      </c>
      <c r="D102" s="162"/>
      <c r="E102" s="165">
        <f>8+5+2+5+5-10</f>
        <v>15</v>
      </c>
      <c r="F102" s="204">
        <v>110</v>
      </c>
      <c r="G102" s="204">
        <f t="shared" si="30"/>
        <v>1650</v>
      </c>
      <c r="H102" s="165">
        <v>15</v>
      </c>
      <c r="I102" s="204">
        <f>757.6+454.3+177.12+442.8+432.9-748.8</f>
        <v>1515.9199999999998</v>
      </c>
      <c r="J102" s="204">
        <f t="shared" si="31"/>
        <v>101.06133333333332</v>
      </c>
      <c r="K102" s="204"/>
      <c r="L102" s="166"/>
      <c r="M102" s="166">
        <f t="shared" si="32"/>
        <v>134.08000000000015</v>
      </c>
      <c r="N102" s="167">
        <f t="shared" si="33"/>
        <v>8.8447939205235221E-2</v>
      </c>
      <c r="O102" s="164" t="str">
        <f t="shared" si="25"/>
        <v>Medium Risk</v>
      </c>
      <c r="P102" s="164" t="s">
        <v>18</v>
      </c>
      <c r="Q102" s="165">
        <v>2.39</v>
      </c>
      <c r="R102" s="165">
        <f t="shared" si="34"/>
        <v>143.4</v>
      </c>
      <c r="S102" s="170">
        <f t="shared" si="27"/>
        <v>8.6909090909090908E-2</v>
      </c>
      <c r="T102" s="170">
        <f t="shared" si="28"/>
        <v>9.4596020898200447E-2</v>
      </c>
      <c r="U102" s="170">
        <f t="shared" si="26"/>
        <v>2.9327858799690723E-3</v>
      </c>
      <c r="V102" s="171">
        <f t="shared" si="29"/>
        <v>143.4</v>
      </c>
    </row>
    <row r="103" spans="1:22" ht="13.8">
      <c r="A103" s="172" t="s">
        <v>70</v>
      </c>
      <c r="B103" s="162">
        <v>45108</v>
      </c>
      <c r="C103" s="163">
        <f t="shared" si="24"/>
        <v>2023</v>
      </c>
      <c r="D103" s="162"/>
      <c r="E103" s="165">
        <f>30+15</f>
        <v>45</v>
      </c>
      <c r="F103" s="204">
        <v>78</v>
      </c>
      <c r="G103" s="204">
        <f t="shared" si="30"/>
        <v>3510</v>
      </c>
      <c r="H103" s="165">
        <v>45</v>
      </c>
      <c r="I103" s="204">
        <f>1201.5+563.25</f>
        <v>1764.75</v>
      </c>
      <c r="J103" s="204">
        <f t="shared" si="31"/>
        <v>39.216666666666669</v>
      </c>
      <c r="K103" s="204"/>
      <c r="L103" s="166"/>
      <c r="M103" s="166">
        <f t="shared" si="32"/>
        <v>1745.25</v>
      </c>
      <c r="N103" s="167">
        <f t="shared" si="33"/>
        <v>0.98895027624309395</v>
      </c>
      <c r="O103" s="164" t="str">
        <f t="shared" si="25"/>
        <v>Low Risk</v>
      </c>
      <c r="P103" s="164" t="s">
        <v>18</v>
      </c>
      <c r="Q103" s="165">
        <v>0.26</v>
      </c>
      <c r="R103" s="165">
        <f t="shared" si="34"/>
        <v>46.800000000000004</v>
      </c>
      <c r="S103" s="170">
        <f t="shared" si="27"/>
        <v>1.3333333333333334E-2</v>
      </c>
      <c r="T103" s="170">
        <f t="shared" si="28"/>
        <v>2.6519337016574586E-2</v>
      </c>
      <c r="U103" s="170">
        <f t="shared" si="26"/>
        <v>6.2388354173887545E-3</v>
      </c>
      <c r="V103" s="171">
        <f t="shared" si="29"/>
        <v>46.800000000000004</v>
      </c>
    </row>
    <row r="104" spans="1:22" ht="13.8">
      <c r="A104" s="161" t="str">
        <f>HYPERLINK("http://www.thedividendpig.com/dividend-stocks/industrial-goods/aerospace-defense-products-and-services/utx-united-technologies/","UTX")</f>
        <v>UTX</v>
      </c>
      <c r="B104" s="162">
        <v>45108</v>
      </c>
      <c r="C104" s="163">
        <f t="shared" si="24"/>
        <v>2023</v>
      </c>
      <c r="D104" s="162"/>
      <c r="E104" s="165">
        <f>4+5</f>
        <v>9</v>
      </c>
      <c r="F104" s="204">
        <v>75</v>
      </c>
      <c r="G104" s="204">
        <f t="shared" si="30"/>
        <v>675</v>
      </c>
      <c r="H104" s="165">
        <v>9</v>
      </c>
      <c r="I104" s="204">
        <f>392.08+509.9</f>
        <v>901.98</v>
      </c>
      <c r="J104" s="204">
        <f t="shared" si="31"/>
        <v>100.22</v>
      </c>
      <c r="K104" s="204"/>
      <c r="L104" s="166"/>
      <c r="M104" s="166">
        <f t="shared" si="32"/>
        <v>-226.98000000000002</v>
      </c>
      <c r="N104" s="167">
        <f t="shared" si="33"/>
        <v>-0.25164637796846939</v>
      </c>
      <c r="O104" s="164" t="str">
        <f t="shared" si="25"/>
        <v>High Risk</v>
      </c>
      <c r="P104" s="164" t="s">
        <v>19</v>
      </c>
      <c r="Q104" s="165">
        <v>0.73499999999999999</v>
      </c>
      <c r="R104" s="165">
        <f t="shared" si="34"/>
        <v>26.46</v>
      </c>
      <c r="S104" s="170">
        <f t="shared" si="27"/>
        <v>3.9199999999999999E-2</v>
      </c>
      <c r="T104" s="170">
        <f t="shared" si="28"/>
        <v>2.9335461983635999E-2</v>
      </c>
      <c r="U104" s="170">
        <f t="shared" si="26"/>
        <v>1.1997760418055296E-3</v>
      </c>
      <c r="V104" s="171">
        <f t="shared" si="29"/>
        <v>26.46</v>
      </c>
    </row>
    <row r="105" spans="1:22" ht="13.8">
      <c r="A105" s="161" t="str">
        <f>HYPERLINK("http://www.thedividendpig.com/dividend-stocks/industrial-goods/farm-and-construction-machinery/de-deere-and-company/","DE")</f>
        <v>DE</v>
      </c>
      <c r="B105" s="162">
        <v>45108</v>
      </c>
      <c r="C105" s="163">
        <f t="shared" si="24"/>
        <v>2023</v>
      </c>
      <c r="D105" s="162"/>
      <c r="E105" s="165">
        <f>5+4</f>
        <v>9</v>
      </c>
      <c r="F105" s="204">
        <v>101</v>
      </c>
      <c r="G105" s="204">
        <f t="shared" si="30"/>
        <v>909</v>
      </c>
      <c r="H105" s="165">
        <v>9</v>
      </c>
      <c r="I105" s="204">
        <f>388.8+296.44</f>
        <v>685.24</v>
      </c>
      <c r="J105" s="204">
        <f t="shared" si="31"/>
        <v>76.137777777777785</v>
      </c>
      <c r="K105" s="204"/>
      <c r="L105" s="166"/>
      <c r="M105" s="166">
        <f t="shared" si="32"/>
        <v>223.76</v>
      </c>
      <c r="N105" s="167">
        <f t="shared" si="33"/>
        <v>0.32654252524662891</v>
      </c>
      <c r="O105" s="164" t="str">
        <f t="shared" si="25"/>
        <v>Low Risk</v>
      </c>
      <c r="P105" s="164" t="s">
        <v>19</v>
      </c>
      <c r="Q105" s="165">
        <v>0.76</v>
      </c>
      <c r="R105" s="165">
        <f t="shared" si="34"/>
        <v>27.36</v>
      </c>
      <c r="S105" s="170">
        <f t="shared" ref="S105:S126" si="35">(Q105*4)/F105</f>
        <v>3.0099009900990098E-2</v>
      </c>
      <c r="T105" s="170">
        <f t="shared" ref="T105:T126" si="36">(Q105*4)/(I105/H105)</f>
        <v>3.9927616601482689E-2</v>
      </c>
      <c r="U105" s="170">
        <f t="shared" si="26"/>
        <v>1.6156984029647799E-3</v>
      </c>
      <c r="V105" s="171">
        <f t="shared" ref="V105:V126" si="37">(Q105*4)*E105</f>
        <v>27.36</v>
      </c>
    </row>
    <row r="106" spans="1:22" ht="13.8">
      <c r="A106" s="161" t="str">
        <f>HYPERLINK("https://www.thedividendpig.com/dividend-stocks/utilities/electric-utilities/d-dominion-resources/","D")</f>
        <v>D</v>
      </c>
      <c r="B106" s="162">
        <v>45108</v>
      </c>
      <c r="C106" s="163">
        <f t="shared" si="24"/>
        <v>2023</v>
      </c>
      <c r="D106" s="162"/>
      <c r="E106" s="165">
        <f>10+10+6+35+2+12</f>
        <v>75</v>
      </c>
      <c r="F106" s="204">
        <v>76</v>
      </c>
      <c r="G106" s="204">
        <f t="shared" si="30"/>
        <v>5700</v>
      </c>
      <c r="H106" s="165">
        <v>75</v>
      </c>
      <c r="I106" s="204">
        <f>776.4+759.5+448.44+2620.1+134.18+842.28</f>
        <v>5580.9000000000005</v>
      </c>
      <c r="J106" s="204">
        <f t="shared" si="31"/>
        <v>74.412000000000006</v>
      </c>
      <c r="K106" s="204"/>
      <c r="L106" s="166"/>
      <c r="M106" s="166">
        <f t="shared" si="32"/>
        <v>119.09999999999945</v>
      </c>
      <c r="N106" s="167">
        <f t="shared" si="33"/>
        <v>2.1340643982153316E-2</v>
      </c>
      <c r="O106" s="164" t="str">
        <f t="shared" si="25"/>
        <v>High Risk</v>
      </c>
      <c r="P106" s="164" t="s">
        <v>17</v>
      </c>
      <c r="Q106" s="165">
        <v>0.83499999999999996</v>
      </c>
      <c r="R106" s="165">
        <f t="shared" si="34"/>
        <v>250.5</v>
      </c>
      <c r="S106" s="170">
        <f t="shared" si="35"/>
        <v>4.3947368421052631E-2</v>
      </c>
      <c r="T106" s="170">
        <f t="shared" si="36"/>
        <v>4.4885233564478842E-2</v>
      </c>
      <c r="U106" s="170">
        <f t="shared" si="26"/>
        <v>1.013144213080225E-2</v>
      </c>
      <c r="V106" s="171">
        <f t="shared" si="37"/>
        <v>250.5</v>
      </c>
    </row>
    <row r="107" spans="1:22" ht="13.8">
      <c r="A107" s="161" t="str">
        <f>HYPERLINK("http://www.thedividendpig.com/dividend-stocks/financial/reit-office/dlr-digital-realty-trust/","DLR")</f>
        <v>DLR</v>
      </c>
      <c r="B107" s="162">
        <v>45108</v>
      </c>
      <c r="C107" s="163">
        <f t="shared" si="24"/>
        <v>2023</v>
      </c>
      <c r="D107" s="162"/>
      <c r="E107" s="165">
        <f>5+2</f>
        <v>7</v>
      </c>
      <c r="F107" s="204">
        <v>109</v>
      </c>
      <c r="G107" s="204">
        <f t="shared" si="30"/>
        <v>763</v>
      </c>
      <c r="H107" s="165">
        <v>7</v>
      </c>
      <c r="I107" s="204">
        <f>318.05+216</f>
        <v>534.04999999999995</v>
      </c>
      <c r="J107" s="204">
        <f t="shared" si="31"/>
        <v>76.29285714285713</v>
      </c>
      <c r="K107" s="204"/>
      <c r="L107" s="166"/>
      <c r="M107" s="166">
        <f t="shared" si="32"/>
        <v>228.95000000000005</v>
      </c>
      <c r="N107" s="167">
        <f t="shared" si="33"/>
        <v>0.42870517741784492</v>
      </c>
      <c r="O107" s="164" t="str">
        <f t="shared" si="25"/>
        <v>Low Risk</v>
      </c>
      <c r="P107" s="164" t="s">
        <v>30</v>
      </c>
      <c r="Q107" s="165">
        <v>1.01</v>
      </c>
      <c r="R107" s="165">
        <f t="shared" si="34"/>
        <v>28.28</v>
      </c>
      <c r="S107" s="170">
        <f t="shared" si="35"/>
        <v>3.7064220183486242E-2</v>
      </c>
      <c r="T107" s="170">
        <f t="shared" si="36"/>
        <v>5.2953843273101778E-2</v>
      </c>
      <c r="U107" s="170">
        <f t="shared" si="26"/>
        <v>1.3561912887372135E-3</v>
      </c>
      <c r="V107" s="171">
        <f t="shared" si="37"/>
        <v>28.28</v>
      </c>
    </row>
    <row r="108" spans="1:22" ht="13.8">
      <c r="A108" s="161" t="str">
        <f>HYPERLINK("http://www.thedividendpig.com/dividend-stocks/financial/reit-diversified/nnn-national-retail-properties/","NNN")</f>
        <v>NNN</v>
      </c>
      <c r="B108" s="162">
        <v>45108</v>
      </c>
      <c r="C108" s="163">
        <f t="shared" si="24"/>
        <v>2023</v>
      </c>
      <c r="D108" s="162"/>
      <c r="E108" s="165">
        <f>8+30+35+1+1+1+1</f>
        <v>77</v>
      </c>
      <c r="F108" s="204">
        <v>100</v>
      </c>
      <c r="G108" s="204">
        <f t="shared" si="30"/>
        <v>7700</v>
      </c>
      <c r="H108" s="165">
        <v>73</v>
      </c>
      <c r="I108" s="204">
        <f>279.68+1213.5+1398.6</f>
        <v>2891.7799999999997</v>
      </c>
      <c r="J108" s="204">
        <f t="shared" si="31"/>
        <v>39.613424657534246</v>
      </c>
      <c r="K108" s="204"/>
      <c r="L108" s="166"/>
      <c r="M108" s="166">
        <f t="shared" si="32"/>
        <v>4808.22</v>
      </c>
      <c r="N108" s="167">
        <f t="shared" si="33"/>
        <v>1.6627198472912879</v>
      </c>
      <c r="O108" s="164" t="str">
        <f t="shared" si="25"/>
        <v>Low Risk</v>
      </c>
      <c r="P108" s="164" t="s">
        <v>30</v>
      </c>
      <c r="Q108" s="165">
        <v>0.5</v>
      </c>
      <c r="R108" s="165">
        <f t="shared" si="34"/>
        <v>154</v>
      </c>
      <c r="S108" s="170">
        <f t="shared" si="35"/>
        <v>0.02</v>
      </c>
      <c r="T108" s="170">
        <f t="shared" si="36"/>
        <v>5.048793476682182E-2</v>
      </c>
      <c r="U108" s="170">
        <f t="shared" si="26"/>
        <v>1.3686334106522337E-2</v>
      </c>
      <c r="V108" s="171">
        <f t="shared" si="37"/>
        <v>154</v>
      </c>
    </row>
    <row r="109" spans="1:22" ht="13.8">
      <c r="A109" s="172" t="s">
        <v>71</v>
      </c>
      <c r="B109" s="162">
        <v>45108</v>
      </c>
      <c r="C109" s="163">
        <f t="shared" si="24"/>
        <v>2023</v>
      </c>
      <c r="D109" s="162"/>
      <c r="E109" s="165">
        <f>20</f>
        <v>20</v>
      </c>
      <c r="F109" s="204">
        <v>50</v>
      </c>
      <c r="G109" s="204">
        <f t="shared" si="30"/>
        <v>1000</v>
      </c>
      <c r="H109" s="165">
        <v>20</v>
      </c>
      <c r="I109" s="204">
        <f>563</f>
        <v>563</v>
      </c>
      <c r="J109" s="204">
        <f t="shared" si="31"/>
        <v>28.15</v>
      </c>
      <c r="K109" s="204"/>
      <c r="L109" s="166"/>
      <c r="M109" s="166">
        <f t="shared" si="32"/>
        <v>437</v>
      </c>
      <c r="N109" s="167">
        <f t="shared" si="33"/>
        <v>0.77619893428063946</v>
      </c>
      <c r="O109" s="164" t="str">
        <f t="shared" si="25"/>
        <v>Low Risk</v>
      </c>
      <c r="P109" s="164" t="s">
        <v>30</v>
      </c>
      <c r="Q109" s="165">
        <v>0.39500000000000002</v>
      </c>
      <c r="R109" s="165">
        <f t="shared" si="34"/>
        <v>31.6</v>
      </c>
      <c r="S109" s="170">
        <f t="shared" si="35"/>
        <v>3.1600000000000003E-2</v>
      </c>
      <c r="T109" s="170">
        <f t="shared" si="36"/>
        <v>5.6127886323268213E-2</v>
      </c>
      <c r="U109" s="170">
        <f t="shared" si="26"/>
        <v>1.7774459878600439E-3</v>
      </c>
      <c r="V109" s="171">
        <f t="shared" si="37"/>
        <v>31.6</v>
      </c>
    </row>
    <row r="110" spans="1:22" ht="13.8">
      <c r="A110" s="161" t="str">
        <f>HYPERLINK("http://www.thedividendpig.com/dividend-stocks/industrial-goods/aerospace-defense-products-and-services/lmt-lockheed-martin/","LMT")</f>
        <v>LMT</v>
      </c>
      <c r="B110" s="162">
        <v>45108</v>
      </c>
      <c r="C110" s="163">
        <f t="shared" si="24"/>
        <v>2023</v>
      </c>
      <c r="D110" s="162"/>
      <c r="E110" s="165">
        <f>3+2</f>
        <v>5</v>
      </c>
      <c r="F110" s="204">
        <v>246</v>
      </c>
      <c r="G110" s="204">
        <f t="shared" si="30"/>
        <v>1230</v>
      </c>
      <c r="H110" s="165">
        <v>8</v>
      </c>
      <c r="I110" s="204">
        <v>1146.06</v>
      </c>
      <c r="J110" s="204">
        <f t="shared" si="31"/>
        <v>143.25749999999999</v>
      </c>
      <c r="K110" s="204"/>
      <c r="L110" s="166"/>
      <c r="M110" s="166">
        <f t="shared" si="32"/>
        <v>83.940000000000055</v>
      </c>
      <c r="N110" s="167">
        <f t="shared" si="33"/>
        <v>7.3242238626249984E-2</v>
      </c>
      <c r="O110" s="164" t="str">
        <f t="shared" si="25"/>
        <v>Medium Risk</v>
      </c>
      <c r="P110" s="164" t="s">
        <v>19</v>
      </c>
      <c r="Q110" s="165">
        <v>2.2000000000000002</v>
      </c>
      <c r="R110" s="165">
        <f t="shared" si="34"/>
        <v>44</v>
      </c>
      <c r="S110" s="170">
        <f t="shared" si="35"/>
        <v>3.5772357723577237E-2</v>
      </c>
      <c r="T110" s="170">
        <f t="shared" si="36"/>
        <v>6.1427848454705697E-2</v>
      </c>
      <c r="U110" s="170">
        <f t="shared" si="26"/>
        <v>2.186258565067854E-3</v>
      </c>
      <c r="V110" s="171">
        <f t="shared" si="37"/>
        <v>44</v>
      </c>
    </row>
    <row r="111" spans="1:22" ht="13.8">
      <c r="A111" s="161" t="str">
        <f>HYPERLINK("http://www.thedividendpig.com/dividend-stocks/consumer-goods/confectioners/hsy-hershey-company/","HSY")</f>
        <v>HSY</v>
      </c>
      <c r="B111" s="162">
        <v>45108</v>
      </c>
      <c r="C111" s="163">
        <f t="shared" si="24"/>
        <v>2023</v>
      </c>
      <c r="D111" s="162"/>
      <c r="E111" s="165">
        <f>5+7+10</f>
        <v>22</v>
      </c>
      <c r="F111" s="204">
        <v>109</v>
      </c>
      <c r="G111" s="204">
        <f t="shared" si="30"/>
        <v>2398</v>
      </c>
      <c r="H111" s="165">
        <v>22</v>
      </c>
      <c r="I111" s="204">
        <v>2050.59</v>
      </c>
      <c r="J111" s="204">
        <f t="shared" si="31"/>
        <v>93.208636363636373</v>
      </c>
      <c r="K111" s="204"/>
      <c r="L111" s="166"/>
      <c r="M111" s="166">
        <f t="shared" si="32"/>
        <v>347.40999999999985</v>
      </c>
      <c r="N111" s="167">
        <f t="shared" si="33"/>
        <v>0.1694195329149171</v>
      </c>
      <c r="O111" s="164" t="str">
        <f t="shared" si="25"/>
        <v>Medium Risk</v>
      </c>
      <c r="P111" s="164" t="s">
        <v>18</v>
      </c>
      <c r="Q111" s="165">
        <v>0.72199999999999998</v>
      </c>
      <c r="R111" s="165">
        <f t="shared" si="34"/>
        <v>63.536000000000001</v>
      </c>
      <c r="S111" s="170">
        <f t="shared" si="35"/>
        <v>2.6495412844036698E-2</v>
      </c>
      <c r="T111" s="170">
        <f t="shared" si="36"/>
        <v>3.0984253312461286E-2</v>
      </c>
      <c r="U111" s="170">
        <f t="shared" si="26"/>
        <v>4.2623154788883856E-3</v>
      </c>
      <c r="V111" s="171">
        <f t="shared" si="37"/>
        <v>63.536000000000001</v>
      </c>
    </row>
    <row r="112" spans="1:22" ht="13.8">
      <c r="A112" s="172" t="s">
        <v>72</v>
      </c>
      <c r="B112" s="162">
        <v>45108</v>
      </c>
      <c r="C112" s="163">
        <f t="shared" si="24"/>
        <v>2023</v>
      </c>
      <c r="D112" s="162"/>
      <c r="E112" s="165">
        <f>20</f>
        <v>20</v>
      </c>
      <c r="F112" s="204">
        <v>107</v>
      </c>
      <c r="G112" s="204">
        <f t="shared" si="30"/>
        <v>2140</v>
      </c>
      <c r="H112" s="165">
        <v>20</v>
      </c>
      <c r="I112" s="204">
        <v>989</v>
      </c>
      <c r="J112" s="204">
        <f t="shared" si="31"/>
        <v>49.45</v>
      </c>
      <c r="K112" s="204"/>
      <c r="L112" s="166"/>
      <c r="M112" s="166">
        <f t="shared" si="32"/>
        <v>1151</v>
      </c>
      <c r="N112" s="167">
        <f t="shared" si="33"/>
        <v>1.1638018200202225</v>
      </c>
      <c r="O112" s="164" t="str">
        <f t="shared" si="25"/>
        <v>Low Risk</v>
      </c>
      <c r="P112" s="164" t="s">
        <v>30</v>
      </c>
      <c r="Q112" s="165">
        <v>0.79500000000000004</v>
      </c>
      <c r="R112" s="165">
        <f t="shared" si="34"/>
        <v>63.6</v>
      </c>
      <c r="S112" s="170">
        <f t="shared" si="35"/>
        <v>2.9719626168224302E-2</v>
      </c>
      <c r="T112" s="170">
        <f t="shared" si="36"/>
        <v>6.4307381193124374E-2</v>
      </c>
      <c r="U112" s="170">
        <f t="shared" si="26"/>
        <v>3.8037344140204941E-3</v>
      </c>
      <c r="V112" s="171">
        <f t="shared" si="37"/>
        <v>63.6</v>
      </c>
    </row>
    <row r="113" spans="1:22" ht="13.8">
      <c r="A113" s="161" t="str">
        <f>HYPERLINK("http://www.thedividendpig.com/dividend-stocks/healthcare/health-care-plans/cvs-cvs-health-corp/","CVS")</f>
        <v>CVS</v>
      </c>
      <c r="B113" s="162">
        <v>45200</v>
      </c>
      <c r="C113" s="163">
        <f t="shared" si="24"/>
        <v>2023</v>
      </c>
      <c r="D113" s="162"/>
      <c r="E113" s="163">
        <f>12+60+85+15+10+1+1</f>
        <v>184</v>
      </c>
      <c r="F113" s="204">
        <v>44</v>
      </c>
      <c r="G113" s="204">
        <f t="shared" si="30"/>
        <v>8096</v>
      </c>
      <c r="H113" s="165">
        <v>183</v>
      </c>
      <c r="I113" s="204">
        <v>13296.66</v>
      </c>
      <c r="J113" s="204">
        <f t="shared" si="31"/>
        <v>72.659344262295079</v>
      </c>
      <c r="K113" s="204"/>
      <c r="L113" s="166"/>
      <c r="M113" s="166">
        <f t="shared" si="32"/>
        <v>-5200.66</v>
      </c>
      <c r="N113" s="167">
        <f t="shared" si="33"/>
        <v>-0.39112529011044878</v>
      </c>
      <c r="O113" s="164" t="str">
        <f t="shared" si="25"/>
        <v>High Risk</v>
      </c>
      <c r="P113" s="164" t="s">
        <v>18</v>
      </c>
      <c r="Q113" s="165">
        <v>0.5</v>
      </c>
      <c r="R113" s="165">
        <f t="shared" si="34"/>
        <v>368</v>
      </c>
      <c r="S113" s="170">
        <f t="shared" si="35"/>
        <v>4.5454545454545456E-2</v>
      </c>
      <c r="T113" s="170">
        <f t="shared" si="36"/>
        <v>2.7525709463880405E-2</v>
      </c>
      <c r="U113" s="170">
        <f t="shared" si="26"/>
        <v>1.4390202717714915E-2</v>
      </c>
      <c r="V113" s="171">
        <f t="shared" si="37"/>
        <v>368</v>
      </c>
    </row>
    <row r="114" spans="1:22" ht="13.8">
      <c r="A114" s="161" t="str">
        <f>HYPERLINK("https://www.thedividendpig.com/dividend-stocks/services/drug-stores/wba-walgreens-boots-alliance-inc/","WBA")</f>
        <v>WBA</v>
      </c>
      <c r="B114" s="162">
        <v>45200</v>
      </c>
      <c r="C114" s="163">
        <f t="shared" si="24"/>
        <v>2023</v>
      </c>
      <c r="D114" s="162"/>
      <c r="E114" s="165">
        <f>25+20+5</f>
        <v>50</v>
      </c>
      <c r="F114" s="204">
        <v>59</v>
      </c>
      <c r="G114" s="204">
        <f t="shared" si="30"/>
        <v>2950</v>
      </c>
      <c r="H114" s="165">
        <v>50</v>
      </c>
      <c r="I114" s="204">
        <v>3576.9500000000003</v>
      </c>
      <c r="J114" s="204">
        <f t="shared" si="31"/>
        <v>71.539000000000001</v>
      </c>
      <c r="K114" s="204"/>
      <c r="L114" s="166"/>
      <c r="M114" s="166">
        <f t="shared" si="32"/>
        <v>-626.95000000000027</v>
      </c>
      <c r="N114" s="167">
        <f t="shared" si="33"/>
        <v>-0.17527502481164126</v>
      </c>
      <c r="O114" s="164" t="str">
        <f t="shared" si="25"/>
        <v>High Risk</v>
      </c>
      <c r="P114" s="164" t="s">
        <v>18</v>
      </c>
      <c r="Q114" s="165">
        <v>0.44</v>
      </c>
      <c r="R114" s="165">
        <f t="shared" si="34"/>
        <v>88</v>
      </c>
      <c r="S114" s="170">
        <f t="shared" si="35"/>
        <v>2.9830508474576273E-2</v>
      </c>
      <c r="T114" s="170">
        <f t="shared" si="36"/>
        <v>2.4601965361551043E-2</v>
      </c>
      <c r="U114" s="170">
        <f t="shared" si="26"/>
        <v>5.2434656641871299E-3</v>
      </c>
      <c r="V114" s="171">
        <f t="shared" si="37"/>
        <v>88</v>
      </c>
    </row>
    <row r="115" spans="1:22" ht="13.8">
      <c r="A115" s="172" t="s">
        <v>73</v>
      </c>
      <c r="B115" s="162">
        <v>45200</v>
      </c>
      <c r="C115" s="163">
        <f t="shared" si="24"/>
        <v>2023</v>
      </c>
      <c r="D115" s="162"/>
      <c r="E115" s="165">
        <v>10</v>
      </c>
      <c r="F115" s="204">
        <v>69</v>
      </c>
      <c r="G115" s="204">
        <f t="shared" si="30"/>
        <v>690</v>
      </c>
      <c r="H115" s="165">
        <v>10</v>
      </c>
      <c r="I115" s="204">
        <v>616.1</v>
      </c>
      <c r="J115" s="204">
        <f t="shared" si="31"/>
        <v>61.61</v>
      </c>
      <c r="K115" s="204"/>
      <c r="L115" s="166"/>
      <c r="M115" s="166">
        <f t="shared" si="32"/>
        <v>73.899999999999977</v>
      </c>
      <c r="N115" s="167">
        <f t="shared" si="33"/>
        <v>0.11994806037980843</v>
      </c>
      <c r="O115" s="164" t="str">
        <f t="shared" si="25"/>
        <v>Medium Risk</v>
      </c>
      <c r="P115" s="164" t="s">
        <v>30</v>
      </c>
      <c r="Q115" s="165">
        <v>1.03</v>
      </c>
      <c r="R115" s="165">
        <f t="shared" si="34"/>
        <v>41.2</v>
      </c>
      <c r="S115" s="170">
        <f t="shared" si="35"/>
        <v>5.9710144927536235E-2</v>
      </c>
      <c r="T115" s="170">
        <f t="shared" si="36"/>
        <v>6.6872260996591465E-2</v>
      </c>
      <c r="U115" s="170">
        <f t="shared" si="26"/>
        <v>1.2264377316234304E-3</v>
      </c>
      <c r="V115" s="171">
        <f t="shared" si="37"/>
        <v>41.2</v>
      </c>
    </row>
    <row r="116" spans="1:22" ht="13.8">
      <c r="A116" s="172" t="s">
        <v>74</v>
      </c>
      <c r="B116" s="162">
        <v>45200</v>
      </c>
      <c r="C116" s="163">
        <f t="shared" si="24"/>
        <v>2023</v>
      </c>
      <c r="D116" s="162"/>
      <c r="E116" s="165">
        <v>8</v>
      </c>
      <c r="F116" s="204">
        <v>103</v>
      </c>
      <c r="G116" s="204">
        <f t="shared" si="30"/>
        <v>824</v>
      </c>
      <c r="H116" s="165">
        <v>8</v>
      </c>
      <c r="I116" s="204">
        <v>808.88</v>
      </c>
      <c r="J116" s="204">
        <f t="shared" si="31"/>
        <v>101.11</v>
      </c>
      <c r="K116" s="204"/>
      <c r="L116" s="166"/>
      <c r="M116" s="166">
        <f t="shared" si="32"/>
        <v>15.120000000000005</v>
      </c>
      <c r="N116" s="167">
        <f t="shared" si="33"/>
        <v>1.8692513104539617E-2</v>
      </c>
      <c r="O116" s="164" t="str">
        <f t="shared" si="25"/>
        <v>High Risk</v>
      </c>
      <c r="P116" s="164" t="s">
        <v>30</v>
      </c>
      <c r="Q116" s="165">
        <v>1.125</v>
      </c>
      <c r="R116" s="165">
        <f t="shared" si="34"/>
        <v>36</v>
      </c>
      <c r="S116" s="170">
        <f t="shared" si="35"/>
        <v>4.3689320388349516E-2</v>
      </c>
      <c r="T116" s="170">
        <f t="shared" si="36"/>
        <v>4.4505983582237167E-2</v>
      </c>
      <c r="U116" s="170">
        <f t="shared" si="26"/>
        <v>1.4646154939966761E-3</v>
      </c>
      <c r="V116" s="171">
        <f t="shared" si="37"/>
        <v>36</v>
      </c>
    </row>
    <row r="117" spans="1:22" ht="13.8">
      <c r="A117" s="161" t="str">
        <f>HYPERLINK("http://www.thedividendpig.com/dividend-stocks/technology/communication-equipment/qcom-qualcomm-inc/","QCOM")</f>
        <v>QCOM</v>
      </c>
      <c r="B117" s="162">
        <v>45200</v>
      </c>
      <c r="C117" s="163">
        <f t="shared" si="24"/>
        <v>2023</v>
      </c>
      <c r="D117" s="162"/>
      <c r="E117" s="165">
        <f>7+5+35+4</f>
        <v>51</v>
      </c>
      <c r="F117" s="204">
        <v>93</v>
      </c>
      <c r="G117" s="204">
        <f t="shared" si="30"/>
        <v>4743</v>
      </c>
      <c r="H117" s="165">
        <v>51</v>
      </c>
      <c r="I117" s="204">
        <v>2878.2599999999998</v>
      </c>
      <c r="J117" s="204">
        <f t="shared" si="31"/>
        <v>56.436470588235288</v>
      </c>
      <c r="K117" s="204"/>
      <c r="L117" s="166"/>
      <c r="M117" s="166">
        <f t="shared" si="32"/>
        <v>1864.7400000000002</v>
      </c>
      <c r="N117" s="167">
        <f t="shared" si="33"/>
        <v>0.64787058848054047</v>
      </c>
      <c r="O117" s="164" t="str">
        <f t="shared" si="25"/>
        <v>Low Risk</v>
      </c>
      <c r="P117" s="164" t="s">
        <v>33</v>
      </c>
      <c r="Q117" s="165">
        <v>0.62</v>
      </c>
      <c r="R117" s="165">
        <f t="shared" si="34"/>
        <v>126.48</v>
      </c>
      <c r="S117" s="170">
        <f t="shared" si="35"/>
        <v>2.6666666666666665E-2</v>
      </c>
      <c r="T117" s="170">
        <f t="shared" si="36"/>
        <v>4.3943215692814411E-2</v>
      </c>
      <c r="U117" s="170">
        <f t="shared" si="26"/>
        <v>8.4304263204201882E-3</v>
      </c>
      <c r="V117" s="171">
        <f t="shared" si="37"/>
        <v>126.48</v>
      </c>
    </row>
    <row r="118" spans="1:22" ht="13.8">
      <c r="A118" s="172" t="s">
        <v>75</v>
      </c>
      <c r="B118" s="162">
        <v>45200</v>
      </c>
      <c r="C118" s="163">
        <f t="shared" si="24"/>
        <v>2023</v>
      </c>
      <c r="D118" s="162"/>
      <c r="E118" s="165">
        <f>25+2+6+5+2</f>
        <v>40</v>
      </c>
      <c r="F118" s="204">
        <v>98</v>
      </c>
      <c r="G118" s="204">
        <f t="shared" si="30"/>
        <v>3920</v>
      </c>
      <c r="H118" s="165">
        <v>40</v>
      </c>
      <c r="I118" s="204">
        <v>4142.84</v>
      </c>
      <c r="J118" s="204">
        <f t="shared" si="31"/>
        <v>103.571</v>
      </c>
      <c r="K118" s="204"/>
      <c r="L118" s="166"/>
      <c r="M118" s="166">
        <f t="shared" si="32"/>
        <v>-222.84000000000015</v>
      </c>
      <c r="N118" s="167">
        <f t="shared" si="33"/>
        <v>-5.3789188093192143E-2</v>
      </c>
      <c r="O118" s="164" t="str">
        <f t="shared" si="25"/>
        <v>High Risk</v>
      </c>
      <c r="P118" s="164" t="s">
        <v>33</v>
      </c>
      <c r="Q118" s="165">
        <v>0.62</v>
      </c>
      <c r="R118" s="165">
        <f t="shared" si="34"/>
        <v>99.2</v>
      </c>
      <c r="S118" s="170">
        <f t="shared" si="35"/>
        <v>2.530612244897959E-2</v>
      </c>
      <c r="T118" s="170">
        <f t="shared" si="36"/>
        <v>2.3944926668662079E-2</v>
      </c>
      <c r="U118" s="170">
        <f t="shared" si="26"/>
        <v>6.9675882724113724E-3</v>
      </c>
      <c r="V118" s="171">
        <f t="shared" si="37"/>
        <v>99.2</v>
      </c>
    </row>
    <row r="119" spans="1:22" ht="13.8">
      <c r="A119" s="161" t="str">
        <f>HYPERLINK("http://www.thedividendpig.com/dividend-stocks/technology/networking-and-communication-devices/csco-cisco-systems-inc/","CSCO")</f>
        <v>CSCO</v>
      </c>
      <c r="B119" s="162">
        <v>45200</v>
      </c>
      <c r="C119" s="163">
        <f t="shared" si="24"/>
        <v>2023</v>
      </c>
      <c r="D119" s="162"/>
      <c r="E119" s="165">
        <v>50</v>
      </c>
      <c r="F119" s="204">
        <v>63</v>
      </c>
      <c r="G119" s="204">
        <f t="shared" si="30"/>
        <v>3150</v>
      </c>
      <c r="H119" s="165">
        <v>50</v>
      </c>
      <c r="I119" s="204">
        <v>1529.5</v>
      </c>
      <c r="J119" s="204">
        <f t="shared" si="31"/>
        <v>30.59</v>
      </c>
      <c r="K119" s="204"/>
      <c r="L119" s="166"/>
      <c r="M119" s="166">
        <f t="shared" si="32"/>
        <v>1620.5</v>
      </c>
      <c r="N119" s="167">
        <f t="shared" si="33"/>
        <v>1.0594965675057209</v>
      </c>
      <c r="O119" s="164" t="str">
        <f t="shared" si="25"/>
        <v>Low Risk</v>
      </c>
      <c r="P119" s="164" t="s">
        <v>33</v>
      </c>
      <c r="Q119" s="165">
        <v>0.33</v>
      </c>
      <c r="R119" s="165">
        <f t="shared" si="34"/>
        <v>66</v>
      </c>
      <c r="S119" s="170">
        <f t="shared" si="35"/>
        <v>2.0952380952380955E-2</v>
      </c>
      <c r="T119" s="170">
        <f t="shared" si="36"/>
        <v>4.3151356652500819E-2</v>
      </c>
      <c r="U119" s="170">
        <f t="shared" si="26"/>
        <v>5.5989548617591386E-3</v>
      </c>
      <c r="V119" s="171">
        <f t="shared" si="37"/>
        <v>66</v>
      </c>
    </row>
    <row r="120" spans="1:22" ht="13.8">
      <c r="A120" s="161" t="str">
        <f>HYPERLINK("http://www.thedividendpig.com/dividend-stocks/technology/information-technology-services/ibm-international-business-machines/","IBM")</f>
        <v>IBM</v>
      </c>
      <c r="B120" s="162">
        <v>45200</v>
      </c>
      <c r="C120" s="163">
        <f t="shared" si="24"/>
        <v>2023</v>
      </c>
      <c r="D120" s="162"/>
      <c r="E120" s="165">
        <f>35+10+20</f>
        <v>65</v>
      </c>
      <c r="F120" s="204">
        <v>177</v>
      </c>
      <c r="G120" s="204">
        <f t="shared" si="30"/>
        <v>11505</v>
      </c>
      <c r="H120" s="165">
        <v>65</v>
      </c>
      <c r="I120" s="204">
        <v>9698.2000000000007</v>
      </c>
      <c r="J120" s="204">
        <f t="shared" si="31"/>
        <v>149.20307692307694</v>
      </c>
      <c r="K120" s="204"/>
      <c r="L120" s="166"/>
      <c r="M120" s="166">
        <f t="shared" si="32"/>
        <v>1806.7999999999993</v>
      </c>
      <c r="N120" s="167">
        <f t="shared" si="33"/>
        <v>0.18630261285599381</v>
      </c>
      <c r="O120" s="164" t="str">
        <f t="shared" si="25"/>
        <v>Medium Risk</v>
      </c>
      <c r="P120" s="164" t="s">
        <v>33</v>
      </c>
      <c r="Q120" s="165">
        <v>1.57</v>
      </c>
      <c r="R120" s="165">
        <f t="shared" si="34"/>
        <v>408.2</v>
      </c>
      <c r="S120" s="170">
        <f t="shared" si="35"/>
        <v>3.5480225988700563E-2</v>
      </c>
      <c r="T120" s="170">
        <f t="shared" si="36"/>
        <v>4.2090284795116617E-2</v>
      </c>
      <c r="U120" s="170">
        <f t="shared" si="26"/>
        <v>2.0449516090329804E-2</v>
      </c>
      <c r="V120" s="171">
        <f t="shared" si="37"/>
        <v>408.2</v>
      </c>
    </row>
    <row r="121" spans="1:22" ht="13.8">
      <c r="A121" s="172" t="s">
        <v>76</v>
      </c>
      <c r="B121" s="162">
        <v>45200</v>
      </c>
      <c r="C121" s="163">
        <f t="shared" si="24"/>
        <v>2023</v>
      </c>
      <c r="D121" s="162"/>
      <c r="E121" s="163">
        <v>44</v>
      </c>
      <c r="F121" s="204">
        <v>15</v>
      </c>
      <c r="G121" s="204">
        <f t="shared" si="30"/>
        <v>660</v>
      </c>
      <c r="H121" s="165">
        <v>35</v>
      </c>
      <c r="I121" s="204">
        <v>508.9</v>
      </c>
      <c r="J121" s="204">
        <f t="shared" si="31"/>
        <v>14.54</v>
      </c>
      <c r="K121" s="204">
        <v>0</v>
      </c>
      <c r="L121" s="166" t="str">
        <f ca="1">IFERROR(__xludf.DUMMYFUNCTION("GoogleFinance(A121,""change"") &amp; ""  ("" &amp; GoogleFinance(A121,""changepct"") &amp; ""%)"""),"0.04  (0.27%)")</f>
        <v>0.04  (0.27%)</v>
      </c>
      <c r="M121" s="166">
        <f t="shared" si="32"/>
        <v>151.10000000000002</v>
      </c>
      <c r="N121" s="167">
        <f t="shared" si="33"/>
        <v>0.29691491452151708</v>
      </c>
      <c r="O121" s="164" t="str">
        <f t="shared" si="25"/>
        <v>Low Risk</v>
      </c>
      <c r="P121" s="164" t="s">
        <v>77</v>
      </c>
      <c r="Q121" s="165">
        <v>6.9000000000000006E-2</v>
      </c>
      <c r="R121" s="165">
        <f t="shared" si="34"/>
        <v>12.144000000000002</v>
      </c>
      <c r="S121" s="170">
        <f t="shared" si="35"/>
        <v>1.8400000000000003E-2</v>
      </c>
      <c r="T121" s="170">
        <f t="shared" si="36"/>
        <v>1.8982118294360389E-2</v>
      </c>
      <c r="U121" s="170">
        <f t="shared" si="26"/>
        <v>1.173114351987629E-3</v>
      </c>
      <c r="V121" s="171">
        <f t="shared" si="37"/>
        <v>12.144000000000002</v>
      </c>
    </row>
    <row r="122" spans="1:22" ht="13.8">
      <c r="A122" s="172" t="s">
        <v>78</v>
      </c>
      <c r="B122" s="162">
        <v>45200</v>
      </c>
      <c r="C122" s="163">
        <f t="shared" si="24"/>
        <v>2023</v>
      </c>
      <c r="D122" s="162"/>
      <c r="E122" s="165">
        <v>10</v>
      </c>
      <c r="F122" s="204">
        <v>153</v>
      </c>
      <c r="G122" s="204">
        <f t="shared" si="30"/>
        <v>1530</v>
      </c>
      <c r="H122" s="165">
        <v>10</v>
      </c>
      <c r="I122" s="204">
        <v>1588</v>
      </c>
      <c r="J122" s="204">
        <f t="shared" si="31"/>
        <v>158.80000000000001</v>
      </c>
      <c r="K122" s="204"/>
      <c r="L122" s="166"/>
      <c r="M122" s="166">
        <f t="shared" si="32"/>
        <v>-58</v>
      </c>
      <c r="N122" s="167">
        <f t="shared" si="33"/>
        <v>-3.6523929471032744E-2</v>
      </c>
      <c r="O122" s="164" t="str">
        <f t="shared" si="25"/>
        <v>High Risk</v>
      </c>
      <c r="P122" s="164" t="s">
        <v>22</v>
      </c>
      <c r="Q122" s="165">
        <v>1.25</v>
      </c>
      <c r="R122" s="165">
        <f t="shared" si="34"/>
        <v>50</v>
      </c>
      <c r="S122" s="170">
        <f t="shared" si="35"/>
        <v>3.2679738562091505E-2</v>
      </c>
      <c r="T122" s="170">
        <f t="shared" si="36"/>
        <v>3.1486146095717885E-2</v>
      </c>
      <c r="U122" s="170">
        <f t="shared" si="26"/>
        <v>2.7194923614258671E-3</v>
      </c>
      <c r="V122" s="171">
        <f t="shared" si="37"/>
        <v>50</v>
      </c>
    </row>
    <row r="123" spans="1:22" ht="13.8">
      <c r="A123" s="161" t="str">
        <f>HYPERLINK("http://www.thedividendpig.com/dividend-stocks/services/restaurants/mcd-mcdonalds-corp/","MCD")</f>
        <v>MCD</v>
      </c>
      <c r="B123" s="162">
        <v>45292</v>
      </c>
      <c r="C123" s="163">
        <f t="shared" si="24"/>
        <v>2024</v>
      </c>
      <c r="D123" s="162"/>
      <c r="E123" s="163">
        <f>19+3</f>
        <v>22</v>
      </c>
      <c r="F123" s="204">
        <v>147</v>
      </c>
      <c r="G123" s="204">
        <f t="shared" si="30"/>
        <v>3234</v>
      </c>
      <c r="H123" s="165">
        <v>21</v>
      </c>
      <c r="I123" s="204">
        <v>2112.1799999999998</v>
      </c>
      <c r="J123" s="204">
        <f t="shared" si="31"/>
        <v>100.58</v>
      </c>
      <c r="K123" s="204">
        <v>8.9499999999999993</v>
      </c>
      <c r="L123" s="166" t="str">
        <f ca="1">IFERROR(__xludf.DUMMYFUNCTION("GoogleFinance(A123,""change"") &amp; ""  ("" &amp; GoogleFinance(A123,""changepct"") &amp; ""%)"""),"0.84  (0.44%)")</f>
        <v>0.84  (0.44%)</v>
      </c>
      <c r="M123" s="166">
        <f t="shared" si="32"/>
        <v>1112.8700000000003</v>
      </c>
      <c r="N123" s="167">
        <f t="shared" si="33"/>
        <v>0.53111950686021092</v>
      </c>
      <c r="O123" s="164" t="str">
        <f t="shared" si="25"/>
        <v>Low Risk</v>
      </c>
      <c r="P123" s="164" t="s">
        <v>22</v>
      </c>
      <c r="Q123" s="165">
        <v>1.1599999999999999</v>
      </c>
      <c r="R123" s="165">
        <f t="shared" si="34"/>
        <v>102.08</v>
      </c>
      <c r="S123" s="170">
        <f t="shared" si="35"/>
        <v>3.1564625850340131E-2</v>
      </c>
      <c r="T123" s="170">
        <f t="shared" si="36"/>
        <v>4.6132431895008943E-2</v>
      </c>
      <c r="U123" s="170">
        <f t="shared" si="26"/>
        <v>5.7482603247393819E-3</v>
      </c>
      <c r="V123" s="171">
        <f t="shared" si="37"/>
        <v>102.08</v>
      </c>
    </row>
    <row r="124" spans="1:22" ht="13.8">
      <c r="A124" s="161" t="str">
        <f>HYPERLINK("http://www.thedividendpig.com/dividend-stocks/consumer-goods/cigarettes/pm-philip-morris-international/","PM")</f>
        <v>PM</v>
      </c>
      <c r="B124" s="162">
        <v>45292</v>
      </c>
      <c r="C124" s="163">
        <f t="shared" si="24"/>
        <v>2024</v>
      </c>
      <c r="D124" s="162"/>
      <c r="E124" s="163">
        <f>10+5+10+10+6+4+4+5+4</f>
        <v>58</v>
      </c>
      <c r="F124" s="204">
        <v>80</v>
      </c>
      <c r="G124" s="204">
        <f t="shared" si="30"/>
        <v>4640</v>
      </c>
      <c r="H124" s="165">
        <v>58</v>
      </c>
      <c r="I124" s="204">
        <v>4954.8</v>
      </c>
      <c r="J124" s="204">
        <f t="shared" si="31"/>
        <v>85.427586206896549</v>
      </c>
      <c r="K124" s="204">
        <v>8.9499999999999993</v>
      </c>
      <c r="L124" s="166" t="str">
        <f ca="1">IFERROR(__xludf.DUMMYFUNCTION("GoogleFinance(A123,""change"") &amp; ""  ("" &amp; GoogleFinance(A123,""changepct"") &amp; ""%)"""),"0.84  (0.44%)")</f>
        <v>0.84  (0.44%)</v>
      </c>
      <c r="M124" s="166">
        <f t="shared" si="32"/>
        <v>-323.75</v>
      </c>
      <c r="N124" s="167">
        <f t="shared" si="33"/>
        <v>-6.3534350528780204E-2</v>
      </c>
      <c r="O124" s="164" t="str">
        <f t="shared" si="25"/>
        <v>High Risk</v>
      </c>
      <c r="P124" s="164" t="s">
        <v>18</v>
      </c>
      <c r="Q124" s="165">
        <v>1.1399999999999999</v>
      </c>
      <c r="R124" s="165">
        <f t="shared" si="34"/>
        <v>264.47999999999996</v>
      </c>
      <c r="S124" s="170">
        <f t="shared" si="35"/>
        <v>5.6999999999999995E-2</v>
      </c>
      <c r="T124" s="170">
        <f t="shared" si="36"/>
        <v>5.3378542019859525E-2</v>
      </c>
      <c r="U124" s="170">
        <f t="shared" si="26"/>
        <v>8.2473493836706033E-3</v>
      </c>
      <c r="V124" s="171">
        <f t="shared" si="37"/>
        <v>264.47999999999996</v>
      </c>
    </row>
    <row r="125" spans="1:22" ht="13.8">
      <c r="A125" s="173" t="str">
        <f>HYPERLINK("http://www.thedividendpig.com/dividend-stocks/financial/credit-services/dfs-discover-financial-services/","DFS")</f>
        <v>DFS</v>
      </c>
      <c r="B125" s="162">
        <v>45292</v>
      </c>
      <c r="C125" s="163">
        <f t="shared" si="24"/>
        <v>2024</v>
      </c>
      <c r="D125" s="162"/>
      <c r="E125" s="165">
        <f>30+10+2+15+10+1</f>
        <v>68</v>
      </c>
      <c r="F125" s="204">
        <v>46</v>
      </c>
      <c r="G125" s="204">
        <f t="shared" si="30"/>
        <v>3128</v>
      </c>
      <c r="H125" s="165">
        <v>68</v>
      </c>
      <c r="I125" s="204">
        <v>4408.8200000000006</v>
      </c>
      <c r="J125" s="204">
        <f t="shared" si="31"/>
        <v>64.835588235294125</v>
      </c>
      <c r="K125" s="204"/>
      <c r="L125" s="166"/>
      <c r="M125" s="166">
        <f t="shared" si="32"/>
        <v>-1280.8200000000006</v>
      </c>
      <c r="N125" s="167">
        <f t="shared" si="33"/>
        <v>-0.29051310781569684</v>
      </c>
      <c r="O125" s="164" t="str">
        <f t="shared" si="25"/>
        <v>High Risk</v>
      </c>
      <c r="P125" s="164" t="s">
        <v>29</v>
      </c>
      <c r="Q125" s="165">
        <v>0.4</v>
      </c>
      <c r="R125" s="165">
        <f t="shared" si="34"/>
        <v>108.80000000000001</v>
      </c>
      <c r="S125" s="170">
        <f t="shared" si="35"/>
        <v>3.4782608695652174E-2</v>
      </c>
      <c r="T125" s="170">
        <f t="shared" si="36"/>
        <v>2.4677804945540983E-2</v>
      </c>
      <c r="U125" s="170">
        <f t="shared" si="26"/>
        <v>5.5598510500262177E-3</v>
      </c>
      <c r="V125" s="171">
        <f t="shared" si="37"/>
        <v>108.80000000000001</v>
      </c>
    </row>
    <row r="126" spans="1:22" ht="13.8">
      <c r="A126" s="173" t="str">
        <f>HYPERLINK("http://www.thedividendpig.com/dividend-stocks/services/grocery-stores/kr-kroger-company/","KR")</f>
        <v>KR</v>
      </c>
      <c r="B126" s="162">
        <v>45292</v>
      </c>
      <c r="C126" s="163">
        <f t="shared" si="24"/>
        <v>2024</v>
      </c>
      <c r="D126" s="162"/>
      <c r="E126" s="165">
        <f>75+25+65+40+1</f>
        <v>206</v>
      </c>
      <c r="F126" s="204">
        <v>51</v>
      </c>
      <c r="G126" s="204">
        <f t="shared" si="30"/>
        <v>10506</v>
      </c>
      <c r="H126" s="165">
        <v>205</v>
      </c>
      <c r="I126" s="204">
        <v>5020.5</v>
      </c>
      <c r="J126" s="204">
        <f t="shared" si="31"/>
        <v>24.490243902439026</v>
      </c>
      <c r="K126" s="204"/>
      <c r="L126" s="166"/>
      <c r="M126" s="166">
        <f t="shared" si="32"/>
        <v>5485.5</v>
      </c>
      <c r="N126" s="167">
        <f t="shared" si="33"/>
        <v>1.0926202569465193</v>
      </c>
      <c r="O126" s="164" t="str">
        <f t="shared" si="25"/>
        <v>Low Risk</v>
      </c>
      <c r="P126" s="164" t="s">
        <v>18</v>
      </c>
      <c r="Q126" s="165">
        <v>0.14000000000000001</v>
      </c>
      <c r="R126" s="165">
        <f t="shared" si="34"/>
        <v>115.36000000000001</v>
      </c>
      <c r="S126" s="170">
        <f t="shared" si="35"/>
        <v>1.0980392156862745E-2</v>
      </c>
      <c r="T126" s="170">
        <f t="shared" si="36"/>
        <v>2.2866248381635295E-2</v>
      </c>
      <c r="U126" s="170">
        <f t="shared" si="26"/>
        <v>1.867384754845762E-2</v>
      </c>
      <c r="V126" s="171">
        <f t="shared" si="37"/>
        <v>115.36000000000001</v>
      </c>
    </row>
    <row r="127" spans="1:22" ht="13.8">
      <c r="A127" s="172" t="s">
        <v>79</v>
      </c>
      <c r="B127" s="162">
        <v>45292</v>
      </c>
      <c r="C127" s="163">
        <f t="shared" si="24"/>
        <v>2024</v>
      </c>
      <c r="D127" s="162"/>
      <c r="E127" s="165">
        <v>41</v>
      </c>
      <c r="F127" s="204">
        <v>148</v>
      </c>
      <c r="G127" s="204">
        <f t="shared" si="30"/>
        <v>6068</v>
      </c>
      <c r="H127" s="165">
        <v>41</v>
      </c>
      <c r="I127" s="204">
        <v>6548.93</v>
      </c>
      <c r="J127" s="204">
        <f t="shared" si="31"/>
        <v>159.73000000000002</v>
      </c>
      <c r="K127" s="204"/>
      <c r="L127" s="166"/>
      <c r="M127" s="166">
        <f t="shared" si="32"/>
        <v>-480.93000000000029</v>
      </c>
      <c r="N127" s="167">
        <f t="shared" si="33"/>
        <v>-7.3436423965441727E-2</v>
      </c>
      <c r="O127" s="164" t="str">
        <f t="shared" si="25"/>
        <v>High Risk</v>
      </c>
      <c r="P127" s="164" t="s">
        <v>80</v>
      </c>
      <c r="Q127" s="165">
        <v>1.41</v>
      </c>
      <c r="R127" s="165">
        <f t="shared" si="34"/>
        <v>231.23999999999998</v>
      </c>
      <c r="S127" s="170">
        <f>(Q127*1)/F127</f>
        <v>9.5270270270270269E-3</v>
      </c>
      <c r="T127" s="170">
        <f>(Q127*1)/(I127/H127)</f>
        <v>8.8273962311400476E-3</v>
      </c>
      <c r="U127" s="170">
        <f t="shared" si="26"/>
        <v>1.0785542254334746E-2</v>
      </c>
      <c r="V127" s="171">
        <f>(Q127*1)*E127</f>
        <v>57.809999999999995</v>
      </c>
    </row>
    <row r="128" spans="1:22" ht="13.8">
      <c r="A128" s="172" t="s">
        <v>81</v>
      </c>
      <c r="B128" s="162">
        <v>45292</v>
      </c>
      <c r="C128" s="163">
        <f t="shared" si="24"/>
        <v>2024</v>
      </c>
      <c r="D128" s="162"/>
      <c r="E128" s="165">
        <v>264</v>
      </c>
      <c r="F128" s="204">
        <v>97</v>
      </c>
      <c r="G128" s="204">
        <f t="shared" si="30"/>
        <v>25608</v>
      </c>
      <c r="H128" s="165">
        <v>264</v>
      </c>
      <c r="I128" s="204">
        <v>12731.2</v>
      </c>
      <c r="J128" s="204">
        <f t="shared" si="31"/>
        <v>48.224242424242426</v>
      </c>
      <c r="K128" s="204"/>
      <c r="L128" s="166"/>
      <c r="M128" s="166">
        <f t="shared" si="32"/>
        <v>12876.8</v>
      </c>
      <c r="N128" s="167">
        <f t="shared" si="33"/>
        <v>1.0114364710317958</v>
      </c>
      <c r="O128" s="164" t="str">
        <f t="shared" si="25"/>
        <v>Low Risk</v>
      </c>
      <c r="P128" s="164" t="s">
        <v>80</v>
      </c>
      <c r="Q128" s="165">
        <v>1.44</v>
      </c>
      <c r="R128" s="165">
        <f t="shared" si="34"/>
        <v>1520.6399999999999</v>
      </c>
      <c r="S128" s="170">
        <f>(Q128*1)/F128</f>
        <v>1.4845360824742268E-2</v>
      </c>
      <c r="T128" s="170">
        <f>(Q128*1)/(I128/H128)</f>
        <v>2.9860500188513255E-2</v>
      </c>
      <c r="U128" s="170">
        <f t="shared" si="26"/>
        <v>4.5516836857120005E-2</v>
      </c>
      <c r="V128" s="171">
        <f>(Q128*1)*E128</f>
        <v>380.15999999999997</v>
      </c>
    </row>
    <row r="129" spans="1:22" ht="13.8">
      <c r="A129" s="174" t="s">
        <v>82</v>
      </c>
      <c r="B129" s="175">
        <v>45292</v>
      </c>
      <c r="C129" s="176">
        <f t="shared" si="24"/>
        <v>2024</v>
      </c>
      <c r="D129" s="175"/>
      <c r="E129" s="177">
        <v>125</v>
      </c>
      <c r="F129" s="205">
        <v>32</v>
      </c>
      <c r="G129" s="205">
        <f t="shared" si="30"/>
        <v>4000</v>
      </c>
      <c r="H129" s="177">
        <v>125</v>
      </c>
      <c r="I129" s="205">
        <v>2711.25</v>
      </c>
      <c r="J129" s="205">
        <f t="shared" si="31"/>
        <v>21.69</v>
      </c>
      <c r="K129" s="205"/>
      <c r="L129" s="179"/>
      <c r="M129" s="179">
        <f t="shared" si="32"/>
        <v>1288.75</v>
      </c>
      <c r="N129" s="180">
        <f t="shared" si="33"/>
        <v>0.47533425541724295</v>
      </c>
      <c r="O129" s="178" t="str">
        <f t="shared" si="25"/>
        <v>Low Risk</v>
      </c>
      <c r="P129" s="178" t="s">
        <v>80</v>
      </c>
      <c r="Q129" s="177">
        <v>0.79</v>
      </c>
      <c r="R129" s="177">
        <f t="shared" si="34"/>
        <v>395</v>
      </c>
      <c r="S129" s="181">
        <f>(Q129*1)/F129</f>
        <v>2.4687500000000001E-2</v>
      </c>
      <c r="T129" s="181">
        <f>(Q129*1)/(I129/H129)</f>
        <v>3.6422314430613188E-2</v>
      </c>
      <c r="U129" s="181">
        <f t="shared" si="26"/>
        <v>7.1097839514401755E-3</v>
      </c>
      <c r="V129" s="182">
        <f>(Q129*1)*E129</f>
        <v>98.75</v>
      </c>
    </row>
  </sheetData>
  <conditionalFormatting sqref="L1:L129 M1:M1048576">
    <cfRule type="cellIs" dxfId="11" priority="5" operator="lessThan">
      <formula>0</formula>
    </cfRule>
  </conditionalFormatting>
  <conditionalFormatting sqref="L1:L1048576">
    <cfRule type="containsText" dxfId="10" priority="13" operator="containsText" text="-">
      <formula>NOT(ISERROR(SEARCH(("-"),(L1))))</formula>
    </cfRule>
  </conditionalFormatting>
  <conditionalFormatting sqref="L3:L129">
    <cfRule type="notContainsText" dxfId="9" priority="12" operator="notContains" text="-">
      <formula>ISERROR(SEARCH(("-"),(L3)))</formula>
    </cfRule>
  </conditionalFormatting>
  <conditionalFormatting sqref="N1:N129">
    <cfRule type="cellIs" dxfId="8" priority="6" operator="lessThan">
      <formula>0</formula>
    </cfRule>
    <cfRule type="cellIs" dxfId="7" priority="7" operator="between">
      <formula>0</formula>
      <formula>0.2</formula>
    </cfRule>
    <cfRule type="cellIs" dxfId="6" priority="8" operator="between">
      <formula>0.2</formula>
      <formula>0.5</formula>
    </cfRule>
    <cfRule type="cellIs" dxfId="5" priority="9" operator="between">
      <formula>0.5</formula>
      <formula>0.1</formula>
    </cfRule>
    <cfRule type="cellIs" dxfId="4" priority="10" operator="between">
      <formula>0.1</formula>
      <formula>0.1</formula>
    </cfRule>
    <cfRule type="cellIs" dxfId="3" priority="11" operator="greaterThan">
      <formula>0.1</formula>
    </cfRule>
  </conditionalFormatting>
  <conditionalFormatting sqref="O3:O129">
    <cfRule type="cellIs" dxfId="2" priority="1" operator="equal">
      <formula>"Low Risk"</formula>
    </cfRule>
    <cfRule type="cellIs" dxfId="1" priority="2" operator="equal">
      <formula>"Medium Risk"</formula>
    </cfRule>
    <cfRule type="cellIs" dxfId="0" priority="3" operator="equal">
      <formula>"High Risk"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A8CB-C851-497D-853D-7FFC176D6FF6}">
  <dimension ref="B3:AL99"/>
  <sheetViews>
    <sheetView showGridLines="0" topLeftCell="V30" zoomScale="85" zoomScaleNormal="85" workbookViewId="0">
      <selection activeCell="AN39" sqref="AN39"/>
    </sheetView>
  </sheetViews>
  <sheetFormatPr defaultRowHeight="13.2"/>
  <cols>
    <col min="4" max="4" width="31" bestFit="1" customWidth="1"/>
    <col min="5" max="5" width="11.5546875" customWidth="1"/>
    <col min="6" max="6" width="17.6640625" customWidth="1"/>
    <col min="7" max="7" width="29" customWidth="1"/>
    <col min="8" max="8" width="28.88671875" customWidth="1"/>
    <col min="9" max="9" width="16.6640625" bestFit="1" customWidth="1"/>
    <col min="10" max="10" width="17.5546875" bestFit="1" customWidth="1"/>
    <col min="11" max="11" width="12" customWidth="1"/>
    <col min="12" max="12" width="14.6640625" customWidth="1"/>
    <col min="13" max="13" width="13.5546875" bestFit="1" customWidth="1"/>
    <col min="14" max="14" width="15.33203125" bestFit="1" customWidth="1"/>
    <col min="15" max="15" width="13.44140625" bestFit="1" customWidth="1"/>
    <col min="16" max="16" width="17.5546875" bestFit="1" customWidth="1"/>
    <col min="17" max="17" width="22.44140625" bestFit="1" customWidth="1"/>
    <col min="18" max="18" width="12.88671875" customWidth="1"/>
    <col min="19" max="19" width="23.88671875" bestFit="1" customWidth="1"/>
    <col min="20" max="20" width="22.33203125" bestFit="1" customWidth="1"/>
    <col min="21" max="21" width="11.5546875" bestFit="1" customWidth="1"/>
    <col min="22" max="22" width="21.109375" bestFit="1" customWidth="1"/>
    <col min="23" max="23" width="9.109375" customWidth="1"/>
    <col min="24" max="24" width="19.109375" bestFit="1" customWidth="1"/>
    <col min="25" max="25" width="9.109375" bestFit="1" customWidth="1"/>
    <col min="26" max="26" width="26.77734375" bestFit="1" customWidth="1"/>
    <col min="27" max="28" width="10" bestFit="1" customWidth="1"/>
    <col min="29" max="29" width="8.88671875" bestFit="1" customWidth="1"/>
    <col min="30" max="31" width="10" bestFit="1" customWidth="1"/>
    <col min="32" max="32" width="8.88671875" bestFit="1" customWidth="1"/>
    <col min="33" max="34" width="10" bestFit="1" customWidth="1"/>
    <col min="35" max="35" width="8.88671875" bestFit="1" customWidth="1"/>
    <col min="36" max="37" width="10" bestFit="1" customWidth="1"/>
  </cols>
  <sheetData>
    <row r="3" spans="2:16" ht="14.4">
      <c r="D3" s="1" t="s">
        <v>16</v>
      </c>
      <c r="E3" s="2" t="s">
        <v>17</v>
      </c>
      <c r="F3" s="2" t="s">
        <v>18</v>
      </c>
      <c r="G3" s="2" t="s">
        <v>19</v>
      </c>
      <c r="H3" s="2" t="s">
        <v>22</v>
      </c>
      <c r="I3" s="2" t="s">
        <v>24</v>
      </c>
      <c r="J3" s="2" t="s">
        <v>29</v>
      </c>
      <c r="K3" s="2" t="s">
        <v>30</v>
      </c>
      <c r="L3" s="2" t="s">
        <v>33</v>
      </c>
      <c r="M3" s="2" t="s">
        <v>35</v>
      </c>
      <c r="N3" s="2" t="s">
        <v>38</v>
      </c>
      <c r="O3" s="2" t="s">
        <v>77</v>
      </c>
      <c r="P3" s="2" t="s">
        <v>80</v>
      </c>
    </row>
    <row r="4" spans="2:16">
      <c r="D4" s="4" t="s">
        <v>153</v>
      </c>
      <c r="E4" s="4" t="s">
        <v>154</v>
      </c>
      <c r="F4" s="4" t="s">
        <v>94</v>
      </c>
      <c r="G4" s="4" t="s">
        <v>124</v>
      </c>
      <c r="H4" s="4" t="s">
        <v>21</v>
      </c>
      <c r="I4" s="4" t="s">
        <v>111</v>
      </c>
      <c r="J4" s="4" t="s">
        <v>113</v>
      </c>
      <c r="K4" s="4" t="s">
        <v>146</v>
      </c>
      <c r="L4" s="4" t="s">
        <v>32</v>
      </c>
      <c r="M4" s="4" t="s">
        <v>34</v>
      </c>
      <c r="N4" s="4" t="s">
        <v>121</v>
      </c>
      <c r="O4" s="4" t="s">
        <v>76</v>
      </c>
      <c r="P4" s="4" t="s">
        <v>79</v>
      </c>
    </row>
    <row r="5" spans="2:16">
      <c r="D5" s="4" t="s">
        <v>54</v>
      </c>
      <c r="E5" s="4" t="s">
        <v>155</v>
      </c>
      <c r="F5" s="4" t="s">
        <v>95</v>
      </c>
      <c r="G5" s="4" t="s">
        <v>20</v>
      </c>
      <c r="H5" s="4" t="s">
        <v>23</v>
      </c>
      <c r="I5" s="4" t="s">
        <v>112</v>
      </c>
      <c r="J5" s="4" t="s">
        <v>114</v>
      </c>
      <c r="K5" s="4" t="s">
        <v>147</v>
      </c>
      <c r="L5" s="4" t="s">
        <v>139</v>
      </c>
      <c r="M5" s="4" t="s">
        <v>36</v>
      </c>
      <c r="N5" s="4" t="s">
        <v>122</v>
      </c>
      <c r="O5" s="4"/>
      <c r="P5" s="4" t="s">
        <v>81</v>
      </c>
    </row>
    <row r="6" spans="2:16">
      <c r="D6" s="4"/>
      <c r="E6" s="4" t="s">
        <v>156</v>
      </c>
      <c r="F6" s="4" t="s">
        <v>96</v>
      </c>
      <c r="G6" s="4" t="s">
        <v>27</v>
      </c>
      <c r="H6" s="4" t="s">
        <v>84</v>
      </c>
      <c r="I6" s="4" t="s">
        <v>25</v>
      </c>
      <c r="J6" s="4" t="s">
        <v>115</v>
      </c>
      <c r="K6" s="4" t="s">
        <v>148</v>
      </c>
      <c r="L6" s="4" t="s">
        <v>140</v>
      </c>
      <c r="M6" s="4" t="s">
        <v>37</v>
      </c>
      <c r="N6" s="4" t="s">
        <v>49</v>
      </c>
      <c r="O6" s="4"/>
      <c r="P6" s="4" t="s">
        <v>82</v>
      </c>
    </row>
    <row r="7" spans="2:16">
      <c r="D7" s="4"/>
      <c r="E7" s="4"/>
      <c r="F7" s="4" t="s">
        <v>97</v>
      </c>
      <c r="G7" s="4" t="s">
        <v>125</v>
      </c>
      <c r="H7" s="4" t="s">
        <v>85</v>
      </c>
      <c r="I7" s="4" t="s">
        <v>26</v>
      </c>
      <c r="J7" s="4" t="s">
        <v>116</v>
      </c>
      <c r="K7" s="4" t="s">
        <v>31</v>
      </c>
      <c r="L7" s="4" t="s">
        <v>55</v>
      </c>
      <c r="M7" s="4"/>
      <c r="N7" s="4" t="s">
        <v>123</v>
      </c>
      <c r="O7" s="4"/>
      <c r="P7" s="4"/>
    </row>
    <row r="8" spans="2:16" ht="13.8">
      <c r="B8" s="3"/>
      <c r="D8" s="4"/>
      <c r="E8" s="4"/>
      <c r="F8" s="4" t="s">
        <v>98</v>
      </c>
      <c r="G8" s="4" t="s">
        <v>126</v>
      </c>
      <c r="H8" s="4" t="s">
        <v>86</v>
      </c>
      <c r="I8" s="4" t="s">
        <v>44</v>
      </c>
      <c r="J8" s="4" t="s">
        <v>117</v>
      </c>
      <c r="K8" s="4" t="s">
        <v>149</v>
      </c>
      <c r="L8" s="4" t="s">
        <v>56</v>
      </c>
      <c r="M8" s="4"/>
      <c r="N8" s="4" t="s">
        <v>65</v>
      </c>
      <c r="O8" s="4"/>
      <c r="P8" s="4"/>
    </row>
    <row r="9" spans="2:16">
      <c r="D9" s="4"/>
      <c r="E9" s="4"/>
      <c r="F9" s="4" t="s">
        <v>99</v>
      </c>
      <c r="G9" s="4" t="s">
        <v>127</v>
      </c>
      <c r="H9" s="4" t="s">
        <v>28</v>
      </c>
      <c r="I9" s="4" t="s">
        <v>59</v>
      </c>
      <c r="J9" s="4" t="s">
        <v>39</v>
      </c>
      <c r="K9" s="4" t="s">
        <v>58</v>
      </c>
      <c r="L9" s="4" t="s">
        <v>141</v>
      </c>
      <c r="M9" s="4"/>
      <c r="N9" s="4" t="s">
        <v>66</v>
      </c>
      <c r="O9" s="4"/>
      <c r="P9" s="4"/>
    </row>
    <row r="10" spans="2:16">
      <c r="D10" s="4"/>
      <c r="E10" s="4"/>
      <c r="F10" s="4" t="s">
        <v>100</v>
      </c>
      <c r="G10" s="4" t="s">
        <v>128</v>
      </c>
      <c r="H10" s="4" t="s">
        <v>87</v>
      </c>
      <c r="I10" s="4"/>
      <c r="J10" s="4" t="s">
        <v>118</v>
      </c>
      <c r="K10" s="4" t="s">
        <v>150</v>
      </c>
      <c r="L10" s="4" t="s">
        <v>142</v>
      </c>
      <c r="M10" s="4"/>
      <c r="N10" s="4"/>
      <c r="O10" s="4"/>
      <c r="P10" s="4"/>
    </row>
    <row r="11" spans="2:16">
      <c r="D11" s="4"/>
      <c r="E11" s="4"/>
      <c r="F11" s="4" t="s">
        <v>101</v>
      </c>
      <c r="G11" s="4" t="s">
        <v>129</v>
      </c>
      <c r="H11" s="4" t="s">
        <v>48</v>
      </c>
      <c r="I11" s="4"/>
      <c r="J11" s="4" t="s">
        <v>40</v>
      </c>
      <c r="K11" s="4" t="s">
        <v>151</v>
      </c>
      <c r="L11" s="4" t="s">
        <v>143</v>
      </c>
      <c r="M11" s="4"/>
      <c r="N11" s="4"/>
      <c r="O11" s="4"/>
      <c r="P11" s="4"/>
    </row>
    <row r="12" spans="2:16">
      <c r="D12" s="4"/>
      <c r="E12" s="4"/>
      <c r="F12" s="4" t="s">
        <v>45</v>
      </c>
      <c r="G12" s="4" t="s">
        <v>130</v>
      </c>
      <c r="H12" s="4" t="s">
        <v>88</v>
      </c>
      <c r="I12" s="4"/>
      <c r="J12" s="4" t="s">
        <v>41</v>
      </c>
      <c r="K12" s="4" t="s">
        <v>152</v>
      </c>
      <c r="L12" s="4" t="s">
        <v>75</v>
      </c>
      <c r="M12" s="4"/>
      <c r="N12" s="4"/>
      <c r="O12" s="4"/>
      <c r="P12" s="4"/>
    </row>
    <row r="13" spans="2:16">
      <c r="D13" s="4"/>
      <c r="E13" s="4"/>
      <c r="F13" s="4" t="s">
        <v>102</v>
      </c>
      <c r="G13" s="4" t="s">
        <v>46</v>
      </c>
      <c r="H13" s="4" t="s">
        <v>89</v>
      </c>
      <c r="I13" s="4"/>
      <c r="J13" s="4" t="s">
        <v>42</v>
      </c>
      <c r="K13" s="4" t="s">
        <v>71</v>
      </c>
      <c r="L13" s="4" t="s">
        <v>144</v>
      </c>
      <c r="M13" s="4"/>
      <c r="N13" s="4"/>
      <c r="O13" s="4"/>
      <c r="P13" s="4"/>
    </row>
    <row r="14" spans="2:16">
      <c r="D14" s="4"/>
      <c r="E14" s="4"/>
      <c r="F14" s="4" t="s">
        <v>103</v>
      </c>
      <c r="G14" s="4" t="s">
        <v>47</v>
      </c>
      <c r="H14" s="4" t="s">
        <v>90</v>
      </c>
      <c r="I14" s="4"/>
      <c r="J14" s="4" t="s">
        <v>43</v>
      </c>
      <c r="K14" s="4" t="s">
        <v>72</v>
      </c>
      <c r="L14" s="4" t="s">
        <v>145</v>
      </c>
      <c r="M14" s="4"/>
      <c r="N14" s="4"/>
      <c r="O14" s="4"/>
      <c r="P14" s="4"/>
    </row>
    <row r="15" spans="2:16">
      <c r="D15" s="4"/>
      <c r="E15" s="4"/>
      <c r="F15" s="4" t="s">
        <v>50</v>
      </c>
      <c r="G15" s="4" t="s">
        <v>131</v>
      </c>
      <c r="H15" s="4" t="s">
        <v>91</v>
      </c>
      <c r="I15" s="4"/>
      <c r="J15" s="4" t="s">
        <v>119</v>
      </c>
      <c r="K15" s="4" t="s">
        <v>73</v>
      </c>
      <c r="L15" s="4"/>
      <c r="M15" s="4"/>
      <c r="N15" s="4"/>
      <c r="O15" s="4"/>
      <c r="P15" s="4"/>
    </row>
    <row r="16" spans="2:16">
      <c r="D16" s="4"/>
      <c r="E16" s="4"/>
      <c r="F16" s="4" t="s">
        <v>51</v>
      </c>
      <c r="G16" s="4" t="s">
        <v>132</v>
      </c>
      <c r="H16" s="4" t="s">
        <v>61</v>
      </c>
      <c r="I16" s="4"/>
      <c r="J16" s="4" t="s">
        <v>57</v>
      </c>
      <c r="K16" s="4" t="s">
        <v>74</v>
      </c>
      <c r="L16" s="4"/>
      <c r="M16" s="4"/>
      <c r="N16" s="4"/>
      <c r="O16" s="4"/>
      <c r="P16" s="4"/>
    </row>
    <row r="17" spans="4:16">
      <c r="D17" s="4"/>
      <c r="E17" s="4"/>
      <c r="F17" s="4" t="s">
        <v>52</v>
      </c>
      <c r="G17" s="4" t="s">
        <v>133</v>
      </c>
      <c r="H17" s="4" t="s">
        <v>92</v>
      </c>
      <c r="I17" s="4"/>
      <c r="J17" s="4" t="s">
        <v>64</v>
      </c>
      <c r="K17" s="4"/>
      <c r="L17" s="4"/>
      <c r="M17" s="4"/>
      <c r="N17" s="4"/>
      <c r="O17" s="4"/>
      <c r="P17" s="4"/>
    </row>
    <row r="18" spans="4:16">
      <c r="D18" s="4"/>
      <c r="E18" s="4"/>
      <c r="F18" s="4" t="s">
        <v>53</v>
      </c>
      <c r="G18" s="4" t="s">
        <v>134</v>
      </c>
      <c r="H18" s="4" t="s">
        <v>78</v>
      </c>
      <c r="I18" s="4"/>
      <c r="J18" s="4" t="s">
        <v>120</v>
      </c>
      <c r="K18" s="4"/>
      <c r="L18" s="4"/>
      <c r="M18" s="4"/>
      <c r="N18" s="4"/>
      <c r="O18" s="4"/>
      <c r="P18" s="4"/>
    </row>
    <row r="19" spans="4:16">
      <c r="D19" s="4"/>
      <c r="E19" s="4"/>
      <c r="F19" s="4" t="s">
        <v>62</v>
      </c>
      <c r="G19" s="4" t="s">
        <v>60</v>
      </c>
      <c r="H19" s="4" t="s">
        <v>93</v>
      </c>
      <c r="I19" s="4"/>
      <c r="J19" s="4"/>
      <c r="K19" s="4"/>
      <c r="L19" s="4"/>
      <c r="M19" s="4"/>
      <c r="N19" s="4"/>
      <c r="O19" s="4"/>
      <c r="P19" s="4"/>
    </row>
    <row r="20" spans="4:16">
      <c r="D20" s="4"/>
      <c r="E20" s="4"/>
      <c r="F20" s="4" t="s">
        <v>104</v>
      </c>
      <c r="G20" s="4" t="s">
        <v>135</v>
      </c>
      <c r="H20" s="4"/>
      <c r="I20" s="4"/>
      <c r="J20" s="4"/>
      <c r="K20" s="4"/>
      <c r="L20" s="4"/>
      <c r="M20" s="4"/>
      <c r="N20" s="4"/>
      <c r="O20" s="4"/>
      <c r="P20" s="4"/>
    </row>
    <row r="21" spans="4:16">
      <c r="D21" s="4"/>
      <c r="E21" s="4"/>
      <c r="F21" s="4" t="s">
        <v>105</v>
      </c>
      <c r="G21" s="4" t="s">
        <v>63</v>
      </c>
      <c r="H21" s="4"/>
      <c r="I21" s="4"/>
      <c r="J21" s="4"/>
      <c r="K21" s="4"/>
      <c r="L21" s="4"/>
      <c r="M21" s="4"/>
      <c r="N21" s="4"/>
      <c r="O21" s="4"/>
      <c r="P21" s="4"/>
    </row>
    <row r="22" spans="4:16">
      <c r="D22" s="4"/>
      <c r="E22" s="4"/>
      <c r="F22" s="4" t="s">
        <v>67</v>
      </c>
      <c r="G22" s="4" t="s">
        <v>136</v>
      </c>
      <c r="H22" s="4"/>
      <c r="I22" s="4"/>
      <c r="J22" s="4"/>
      <c r="K22" s="4"/>
      <c r="L22" s="4"/>
      <c r="M22" s="4"/>
      <c r="N22" s="4"/>
      <c r="O22" s="4"/>
      <c r="P22" s="4"/>
    </row>
    <row r="23" spans="4:16">
      <c r="D23" s="4"/>
      <c r="E23" s="4"/>
      <c r="F23" s="4" t="s">
        <v>68</v>
      </c>
      <c r="G23" s="4" t="s">
        <v>137</v>
      </c>
      <c r="H23" s="4"/>
      <c r="I23" s="4"/>
      <c r="J23" s="4"/>
      <c r="K23" s="4"/>
      <c r="L23" s="4"/>
      <c r="M23" s="4"/>
      <c r="N23" s="4"/>
      <c r="O23" s="4"/>
      <c r="P23" s="4"/>
    </row>
    <row r="24" spans="4:16">
      <c r="D24" s="4"/>
      <c r="E24" s="4"/>
      <c r="F24" s="4" t="s">
        <v>69</v>
      </c>
      <c r="G24" s="4" t="s">
        <v>138</v>
      </c>
      <c r="H24" s="4"/>
      <c r="I24" s="4"/>
      <c r="J24" s="4"/>
      <c r="K24" s="4"/>
      <c r="L24" s="4"/>
      <c r="M24" s="4"/>
      <c r="N24" s="4"/>
      <c r="O24" s="4"/>
      <c r="P24" s="4"/>
    </row>
    <row r="25" spans="4:16">
      <c r="D25" s="4"/>
      <c r="E25" s="4"/>
      <c r="F25" s="4" t="s">
        <v>70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4:16">
      <c r="D26" s="4"/>
      <c r="E26" s="4"/>
      <c r="F26" s="4" t="s">
        <v>106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4:16">
      <c r="D27" s="4"/>
      <c r="E27" s="4"/>
      <c r="F27" s="4" t="s">
        <v>107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4:16">
      <c r="D28" s="4"/>
      <c r="E28" s="4"/>
      <c r="F28" s="4" t="s">
        <v>108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4:16">
      <c r="D29" s="4"/>
      <c r="E29" s="4"/>
      <c r="F29" s="4" t="s">
        <v>109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4:16">
      <c r="D30" s="4"/>
      <c r="E30" s="4"/>
      <c r="F30" s="4" t="s">
        <v>110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7" spans="4:38" ht="13.8" thickBot="1">
      <c r="N37" s="9"/>
    </row>
    <row r="38" spans="4:38" ht="15" thickBot="1">
      <c r="I38" s="253" t="s">
        <v>172</v>
      </c>
      <c r="J38" s="254"/>
      <c r="K38" s="254"/>
      <c r="L38" s="254"/>
      <c r="M38" s="254"/>
      <c r="N38" s="254"/>
      <c r="O38" s="255"/>
      <c r="P38" s="256" t="s">
        <v>83</v>
      </c>
      <c r="Q38" s="256"/>
      <c r="R38" s="256"/>
      <c r="S38" s="256"/>
      <c r="T38" s="256"/>
      <c r="U38" s="256"/>
      <c r="V38" s="256"/>
      <c r="Z38" s="214" t="s">
        <v>186</v>
      </c>
      <c r="AA38" s="248">
        <f ca="1">YEAR(TODAY())</f>
        <v>2024</v>
      </c>
      <c r="AB38" s="249"/>
      <c r="AC38" s="249"/>
      <c r="AD38" s="250">
        <f ca="1">AA38-1</f>
        <v>2023</v>
      </c>
      <c r="AE38" s="250"/>
      <c r="AF38" s="250"/>
      <c r="AG38" s="248">
        <f ca="1">AD38-1</f>
        <v>2022</v>
      </c>
      <c r="AH38" s="249"/>
      <c r="AI38" s="249"/>
      <c r="AJ38" s="250">
        <f ca="1">AG38-1</f>
        <v>2021</v>
      </c>
      <c r="AK38" s="250"/>
      <c r="AL38" s="251"/>
    </row>
    <row r="39" spans="4:38" ht="53.4" thickBot="1">
      <c r="H39" s="67" t="s">
        <v>11</v>
      </c>
      <c r="I39" s="68" t="s">
        <v>170</v>
      </c>
      <c r="J39" s="68" t="s">
        <v>158</v>
      </c>
      <c r="K39" s="68" t="s">
        <v>223</v>
      </c>
      <c r="L39" s="68" t="s">
        <v>218</v>
      </c>
      <c r="M39" s="68" t="s">
        <v>200</v>
      </c>
      <c r="N39" s="68" t="s">
        <v>222</v>
      </c>
      <c r="O39" s="68" t="s">
        <v>224</v>
      </c>
      <c r="P39" s="68" t="s">
        <v>169</v>
      </c>
      <c r="Q39" s="68" t="s">
        <v>158</v>
      </c>
      <c r="R39" s="68" t="s">
        <v>12</v>
      </c>
      <c r="S39" s="68" t="s">
        <v>218</v>
      </c>
      <c r="T39" s="68" t="s">
        <v>200</v>
      </c>
      <c r="U39" s="68" t="s">
        <v>9</v>
      </c>
      <c r="V39" s="68" t="s">
        <v>15</v>
      </c>
      <c r="W39" s="66" t="s">
        <v>177</v>
      </c>
      <c r="Z39" s="223" t="s">
        <v>11</v>
      </c>
      <c r="AA39" s="215" t="s">
        <v>200</v>
      </c>
      <c r="AB39" s="68" t="s">
        <v>222</v>
      </c>
      <c r="AC39" s="68" t="s">
        <v>178</v>
      </c>
      <c r="AD39" s="68" t="s">
        <v>200</v>
      </c>
      <c r="AE39" s="68" t="s">
        <v>222</v>
      </c>
      <c r="AF39" s="68" t="s">
        <v>178</v>
      </c>
      <c r="AG39" s="68" t="s">
        <v>200</v>
      </c>
      <c r="AH39" s="68" t="s">
        <v>222</v>
      </c>
      <c r="AI39" s="68" t="s">
        <v>178</v>
      </c>
      <c r="AJ39" s="68" t="s">
        <v>200</v>
      </c>
      <c r="AK39" s="68" t="s">
        <v>222</v>
      </c>
      <c r="AL39" s="216" t="s">
        <v>178</v>
      </c>
    </row>
    <row r="40" spans="4:38" ht="15" thickTop="1">
      <c r="H40" s="190" t="s">
        <v>16</v>
      </c>
      <c r="I40" s="187">
        <f>$P40-COUNTIFS('Investment Data'!$P$3:$P$129,Analysis!$H40,'Investment Data'!$D$3:$D$129,"&gt;1")</f>
        <v>2</v>
      </c>
      <c r="J40" s="70">
        <f>(SUMIFS('Investment Data'!$G:$G,'Investment Data'!$P:$P,$H40,'Investment Data'!$D:$D,"")-SUMIFS('Investment Data'!$I:$I,'Investment Data'!$P:$P,$H40,'Investment Data'!$D:$D,""))/SUMIFS('Investment Data'!$I:$I,'Investment Data'!$P:$P,$H40,'Investment Data'!$D:$D,"")</f>
        <v>0.82435833869269115</v>
      </c>
      <c r="K40" s="207">
        <f>SUMIFS('Investment Data'!$E$3:$E$129,'Investment Data'!$P$3:$P$129,Analysis!$H40,'Investment Data'!$D$3:$D$129,"")</f>
        <v>419</v>
      </c>
      <c r="L40" s="196">
        <f>SUMIFS('Investment Data'!$G:$G,'Investment Data'!$P:$P,Analysis!$H40,'Investment Data'!$D:$D,"")</f>
        <v>24027</v>
      </c>
      <c r="M40" s="196">
        <f>SUMIFS('Investment Data'!$I:$I,'Investment Data'!$P:$P,Analysis!$H40,'Investment Data'!$D:$D,"")+SUMIFS('Investment Data'!$K:$K,'Investment Data'!$P:$P,Analysis!$H40,'Investment Data'!$D:$D,"")</f>
        <v>13213.91</v>
      </c>
      <c r="N40" s="196">
        <f>SUMIFS('Investment Data'!$M:$M,'Investment Data'!$P:$P,Analysis!$H40,'Investment Data'!$D:$D,"")</f>
        <v>10813.09</v>
      </c>
      <c r="O40" s="199">
        <f>SUMIFS('Investment Data'!$R:$R,'Investment Data'!$P:$P,Analysis!$H40,'Investment Data'!$D:$D,"")</f>
        <v>985.76</v>
      </c>
      <c r="P40" s="69">
        <f>COUNTIF('Investment Data'!$P:$P,Analysis!$H40)</f>
        <v>2</v>
      </c>
      <c r="Q40" s="70">
        <f>(SUMIFS('Investment Data'!$G:$G,'Investment Data'!$P:$P,$H40)-SUMIFS('Investment Data'!$I:$I,'Investment Data'!$P:$P,$H40))/SUMIFS('Investment Data'!$I:$I,'Investment Data'!$P:$P,$H40)</f>
        <v>0.82435833869269115</v>
      </c>
      <c r="R40" s="71">
        <f>(SUMIFS('Investment Data'!$Q:$Q,'Investment Data'!$P:$P,$H40)*4)/SUMIFS('Investment Data'!$F:$F,'Investment Data'!$P:$P,$H40)</f>
        <v>8.8761904761904764E-2</v>
      </c>
      <c r="S40" s="196">
        <f>SUMIFS('Investment Data'!$G:$G,'Investment Data'!$P:$P,Analysis!$H40)</f>
        <v>24027</v>
      </c>
      <c r="T40" s="196">
        <f>SUMIFS('Investment Data'!$I:$I,'Investment Data'!$P:$P,Analysis!$H40)</f>
        <v>13170.11</v>
      </c>
      <c r="U40" s="196">
        <f>SUMIFS('Investment Data'!$M:$M,'Investment Data'!$P:$P,Analysis!$H40)</f>
        <v>10813.09</v>
      </c>
      <c r="V40" s="199">
        <f>SUMIFS('Investment Data'!$R:$R,'Investment Data'!$P:$P,Analysis!$H40)</f>
        <v>985.76</v>
      </c>
      <c r="W40" s="47">
        <f t="shared" ref="W40:W52" si="0">S40/S$53</f>
        <v>4.2706694750313273E-2</v>
      </c>
      <c r="Z40" s="224" t="s">
        <v>16</v>
      </c>
      <c r="AA40" s="208">
        <f ca="1">SUMIFS('Investment Data'!$I$3:$I$129,'Investment Data'!$P$3:$P$129,Analysis!$Z40,'Investment Data'!$C$3:$C$129,Analysis!$AA$38)+SUMIFS('Investment Data'!$K$3:$K$129,'Investment Data'!$P$3:$P$129,Analysis!$Z40,'Investment Data'!$C$3:$C$129,Analysis!$AA$38)</f>
        <v>0</v>
      </c>
      <c r="AB40" s="209">
        <f ca="1">SUMIFS('Investment Data'!$G$3:$G$129,'Investment Data'!$P$3:$P$129,Analysis!$Z40,'Investment Data'!$C$3:$C$129,Analysis!$AA$38)</f>
        <v>0</v>
      </c>
      <c r="AC40" s="217">
        <f ca="1">IFERROR((AB40-AA40)/AA40,0)</f>
        <v>0</v>
      </c>
      <c r="AD40" s="209">
        <f ca="1">SUMIFS('Investment Data'!$I$3:$I$129,'Investment Data'!$P$3:$P$129,Analysis!$Z40,'Investment Data'!$C$3:$C$129,Analysis!$AD$38)+SUMIFS('Investment Data'!$K$3:$K$129,'Investment Data'!$P$3:$P$129,Analysis!$Z40,'Investment Data'!$C$3:$C$129,Analysis!$AD$38)</f>
        <v>0</v>
      </c>
      <c r="AE40" s="209">
        <f ca="1">SUMIFS('Investment Data'!$G$3:$G$129,'Investment Data'!$P$3:$P$129,Analysis!$Z40,'Investment Data'!$C$3:$C$129,Analysis!$AD$38)</f>
        <v>0</v>
      </c>
      <c r="AF40" s="217">
        <f ca="1">IFERROR((AE40-AD40)/AD40,0)</f>
        <v>0</v>
      </c>
      <c r="AG40" s="209">
        <f ca="1">SUMIFS('Investment Data'!$I$3:$I$129,'Investment Data'!$P$3:$P$129,Analysis!$Z40,'Investment Data'!$C$3:$C$129,Analysis!$AG$38)+SUMIFS('Investment Data'!$K$3:$K$129,'Investment Data'!$P$3:$P$129,Analysis!$Z40,'Investment Data'!$C$3:$C$129,Analysis!$AG$38)</f>
        <v>633.65</v>
      </c>
      <c r="AH40" s="209">
        <f ca="1">SUMIFS('Investment Data'!$G$3:$G$129,'Investment Data'!$P$3:$P$129,Analysis!$Z40,'Investment Data'!$C$3:$C$129,Analysis!$AG$38)</f>
        <v>1175</v>
      </c>
      <c r="AI40" s="217">
        <f ca="1">IFERROR((AH40-AG40)/AG40,0)</f>
        <v>0.85433598989978699</v>
      </c>
      <c r="AJ40" s="209">
        <f ca="1">SUMIFS('Investment Data'!$I$3:$I$129,'Investment Data'!$P$3:$P$129,Analysis!$Z40,'Investment Data'!$C$3:$C$129,Analysis!$AJ$38)+SUMIFS('Investment Data'!$K$3:$K$129,'Investment Data'!$P$3:$P$129,Analysis!$Z40,'Investment Data'!$C$3:$C$129,Analysis!$AJ$38)</f>
        <v>12580.26</v>
      </c>
      <c r="AK40" s="209">
        <f ca="1">SUMIFS('Investment Data'!$G$3:$G$129,'Investment Data'!$P$3:$P$129,Analysis!$Z40,'Investment Data'!$C$3:$C$129,Analysis!$AJ$38)</f>
        <v>22852</v>
      </c>
      <c r="AL40" s="220">
        <f ca="1">IFERROR((AK40-AJ40)/AJ40,0)</f>
        <v>0.81649663838426234</v>
      </c>
    </row>
    <row r="41" spans="4:38" ht="14.4">
      <c r="H41" s="191" t="s">
        <v>17</v>
      </c>
      <c r="I41" s="188">
        <f>$P41-COUNTIFS('Investment Data'!$P$3:$P$129,Analysis!$H41,'Investment Data'!$D$3:$D$129,"&gt;1")</f>
        <v>2</v>
      </c>
      <c r="J41" s="73">
        <f>(SUMIFS('Investment Data'!$G:$G,'Investment Data'!$P:$P,$H41,'Investment Data'!$D:$D,"")-SUMIFS('Investment Data'!$I:$I,'Investment Data'!$P:$P,$H41,'Investment Data'!$D:$D,""))/SUMIFS('Investment Data'!$I:$I,'Investment Data'!$P:$P,$H41,'Investment Data'!$D:$D,"")</f>
        <v>0.35532473350766708</v>
      </c>
      <c r="K41" s="192">
        <f>SUMIFS('Investment Data'!$E$3:$E$129,'Investment Data'!$P$3:$P$129,Analysis!$H41,'Investment Data'!$D$3:$D$129,"")</f>
        <v>179</v>
      </c>
      <c r="L41" s="197">
        <f>SUMIFS('Investment Data'!$G:$G,'Investment Data'!$P:$P,Analysis!$H41,'Investment Data'!$D:$D,"")</f>
        <v>13916</v>
      </c>
      <c r="M41" s="197">
        <f>SUMIFS('Investment Data'!$I:$I,'Investment Data'!$P:$P,Analysis!$H41,'Investment Data'!$D:$D,"")+SUMIFS('Investment Data'!$K:$K,'Investment Data'!$P:$P,Analysis!$H41,'Investment Data'!$D:$D,"")</f>
        <v>10267.650000000001</v>
      </c>
      <c r="N41" s="197">
        <f>SUMIFS('Investment Data'!$M:$M,'Investment Data'!$P:$P,Analysis!$H41,'Investment Data'!$D:$D,"")</f>
        <v>3648.3499999999995</v>
      </c>
      <c r="O41" s="200">
        <f>SUMIFS('Investment Data'!$R:$R,'Investment Data'!$P:$P,Analysis!$H41,'Investment Data'!$D:$D,"")</f>
        <v>491.78</v>
      </c>
      <c r="P41" s="72">
        <f>COUNTIF('Investment Data'!$P:$P,Analysis!$H41)</f>
        <v>3</v>
      </c>
      <c r="Q41" s="73">
        <f>(SUMIFS('Investment Data'!$G:$G,'Investment Data'!$P:$P,$H41)-SUMIFS('Investment Data'!$I:$I,'Investment Data'!$P:$P,$H41))/SUMIFS('Investment Data'!$I:$I,'Investment Data'!$P:$P,$H41)</f>
        <v>0.27392006209410708</v>
      </c>
      <c r="R41" s="74">
        <f>(SUMIFS('Investment Data'!$Q:$Q,'Investment Data'!$P:$P,$H41)*4)/SUMIFS('Investment Data'!$F:$F,'Investment Data'!$P:$P,$H41)</f>
        <v>4.7563451776649744E-2</v>
      </c>
      <c r="S41" s="197">
        <f>SUMIFS('Investment Data'!$G:$G,'Investment Data'!$P:$P,Analysis!$H41)</f>
        <v>15428</v>
      </c>
      <c r="T41" s="197">
        <f>SUMIFS('Investment Data'!$I:$I,'Investment Data'!$P:$P,Analysis!$H41)</f>
        <v>12110.650000000001</v>
      </c>
      <c r="U41" s="197">
        <f>SUMIFS('Investment Data'!$M:$M,'Investment Data'!$P:$P,Analysis!$H41)</f>
        <v>3304.3999999999996</v>
      </c>
      <c r="V41" s="200">
        <f>SUMIFS('Investment Data'!$R:$R,'Investment Data'!$P:$P,Analysis!$H41)</f>
        <v>625.33999999999992</v>
      </c>
      <c r="W41" s="48">
        <f t="shared" si="0"/>
        <v>2.7422436700704756E-2</v>
      </c>
      <c r="Z41" s="225" t="s">
        <v>17</v>
      </c>
      <c r="AA41" s="212">
        <f ca="1">SUMIFS('Investment Data'!$I$3:$I$129,'Investment Data'!$P$3:$P$129,Analysis!$Z41,'Investment Data'!$C$3:$C$129,Analysis!$AA$38)+SUMIFS('Investment Data'!$K$3:$K$129,'Investment Data'!$P$3:$P$129,Analysis!$Z41,'Investment Data'!$C$3:$C$129,Analysis!$AA$38)</f>
        <v>0</v>
      </c>
      <c r="AB41" s="210">
        <f ca="1">SUMIFS('Investment Data'!$G$3:$G$129,'Investment Data'!$P$3:$P$129,Analysis!$Z41,'Investment Data'!$C$3:$C$129,Analysis!$AA$38)</f>
        <v>0</v>
      </c>
      <c r="AC41" s="218">
        <f t="shared" ref="AC41:AC52" ca="1" si="1">IFERROR((AB41-AA41)/AA41,0)</f>
        <v>0</v>
      </c>
      <c r="AD41" s="210">
        <f ca="1">SUMIFS('Investment Data'!$I$3:$I$129,'Investment Data'!$P$3:$P$129,Analysis!$Z41,'Investment Data'!$C$3:$C$129,Analysis!$AD$38)+SUMIFS('Investment Data'!$K$3:$K$129,'Investment Data'!$P$3:$P$129,Analysis!$Z41,'Investment Data'!$C$3:$C$129,Analysis!$AD$38)</f>
        <v>5580.9000000000005</v>
      </c>
      <c r="AE41" s="210">
        <f ca="1">SUMIFS('Investment Data'!$G$3:$G$129,'Investment Data'!$P$3:$P$129,Analysis!$Z41,'Investment Data'!$C$3:$C$129,Analysis!$AD$38)</f>
        <v>5700</v>
      </c>
      <c r="AF41" s="218">
        <f t="shared" ref="AF41:AF52" ca="1" si="2">IFERROR((AE41-AD41)/AD41,0)</f>
        <v>2.1340643982153316E-2</v>
      </c>
      <c r="AG41" s="210">
        <f ca="1">SUMIFS('Investment Data'!$I$3:$I$129,'Investment Data'!$P$3:$P$129,Analysis!$Z41,'Investment Data'!$C$3:$C$129,Analysis!$AG$38)+SUMIFS('Investment Data'!$K$3:$K$129,'Investment Data'!$P$3:$P$129,Analysis!$Z41,'Investment Data'!$C$3:$C$129,Analysis!$AG$38)</f>
        <v>4686.75</v>
      </c>
      <c r="AH41" s="210">
        <f ca="1">SUMIFS('Investment Data'!$G$3:$G$129,'Investment Data'!$P$3:$P$129,Analysis!$Z41,'Investment Data'!$C$3:$C$129,Analysis!$AG$38)</f>
        <v>8216</v>
      </c>
      <c r="AI41" s="218">
        <f t="shared" ref="AI41:AI52" ca="1" si="3">IFERROR((AH41-AG41)/AG41,0)</f>
        <v>0.7530271510108284</v>
      </c>
      <c r="AJ41" s="210">
        <f ca="1">SUMIFS('Investment Data'!$I$3:$I$129,'Investment Data'!$P$3:$P$129,Analysis!$Z41,'Investment Data'!$C$3:$C$129,Analysis!$AJ$38)+SUMIFS('Investment Data'!$K$3:$K$129,'Investment Data'!$P$3:$P$129,Analysis!$Z41,'Investment Data'!$C$3:$C$129,Analysis!$AJ$38)</f>
        <v>1855.95</v>
      </c>
      <c r="AK41" s="210">
        <f ca="1">SUMIFS('Investment Data'!$G$3:$G$129,'Investment Data'!$P$3:$P$129,Analysis!$Z41,'Investment Data'!$C$3:$C$129,Analysis!$AJ$38)</f>
        <v>1512</v>
      </c>
      <c r="AL41" s="221">
        <f t="shared" ref="AL41:AL52" ca="1" si="4">IFERROR((AK41-AJ41)/AJ41,0)</f>
        <v>-0.1853228804655298</v>
      </c>
    </row>
    <row r="42" spans="4:38" ht="14.4">
      <c r="H42" s="191" t="s">
        <v>18</v>
      </c>
      <c r="I42" s="188">
        <f>$P42-COUNTIFS('Investment Data'!$P$3:$P$129,Analysis!$H42,'Investment Data'!$D$3:$D$129,"&gt;1")</f>
        <v>25</v>
      </c>
      <c r="J42" s="73">
        <f>(SUMIFS('Investment Data'!$G:$G,'Investment Data'!$P:$P,$H42,'Investment Data'!$D:$D,"")-SUMIFS('Investment Data'!$I:$I,'Investment Data'!$P:$P,$H42,'Investment Data'!$D:$D,""))/SUMIFS('Investment Data'!$I:$I,'Investment Data'!$P:$P,$H42,'Investment Data'!$D:$D,"")</f>
        <v>0.1025394783556232</v>
      </c>
      <c r="K42" s="192">
        <f>SUMIFS('Investment Data'!$E$3:$E$129,'Investment Data'!$P$3:$P$129,Analysis!$H42,'Investment Data'!$D$3:$D$129,"")</f>
        <v>1244</v>
      </c>
      <c r="L42" s="197">
        <f>SUMIFS('Investment Data'!$G:$G,'Investment Data'!$P:$P,Analysis!$H42,'Investment Data'!$D:$D,"")</f>
        <v>89687</v>
      </c>
      <c r="M42" s="197">
        <f>SUMIFS('Investment Data'!$I:$I,'Investment Data'!$P:$P,Analysis!$H42,'Investment Data'!$D:$D,"")+SUMIFS('Investment Data'!$K:$K,'Investment Data'!$P:$P,Analysis!$H42,'Investment Data'!$D:$D,"")</f>
        <v>81372.690000000017</v>
      </c>
      <c r="N42" s="197">
        <f>SUMIFS('Investment Data'!$M:$M,'Investment Data'!$P:$P,Analysis!$H42,'Investment Data'!$D:$D,"")</f>
        <v>8314.3099999999977</v>
      </c>
      <c r="O42" s="200">
        <f>SUMIFS('Investment Data'!$R:$R,'Investment Data'!$P:$P,Analysis!$H42,'Investment Data'!$D:$D,"")</f>
        <v>2756.3620000000001</v>
      </c>
      <c r="P42" s="72">
        <f>COUNTIF('Investment Data'!$P:$P,Analysis!$H42)</f>
        <v>27</v>
      </c>
      <c r="Q42" s="73">
        <f>(SUMIFS('Investment Data'!$G:$G,'Investment Data'!$P:$P,$H42)-SUMIFS('Investment Data'!$I:$I,'Investment Data'!$P:$P,$H42))/SUMIFS('Investment Data'!$I:$I,'Investment Data'!$P:$P,$H42)</f>
        <v>0.17373119428464881</v>
      </c>
      <c r="R42" s="74">
        <f>(SUMIFS('Investment Data'!$Q:$Q,'Investment Data'!$P:$P,$H42)*4)/SUMIFS('Investment Data'!$F:$F,'Investment Data'!$P:$P,$H42)</f>
        <v>3.5441655658300319E-2</v>
      </c>
      <c r="S42" s="197">
        <f>SUMIFS('Investment Data'!$G:$G,'Investment Data'!$P:$P,Analysis!$H42)</f>
        <v>113059</v>
      </c>
      <c r="T42" s="197">
        <f>SUMIFS('Investment Data'!$I:$I,'Investment Data'!$P:$P,Analysis!$H42)</f>
        <v>96324.44</v>
      </c>
      <c r="U42" s="197">
        <f>SUMIFS('Investment Data'!$M:$M,'Investment Data'!$P:$P,Analysis!$H42)</f>
        <v>16689.809999999998</v>
      </c>
      <c r="V42" s="200">
        <f>SUMIFS('Investment Data'!$R:$R,'Investment Data'!$P:$P,Analysis!$H42)</f>
        <v>3357.9620000000004</v>
      </c>
      <c r="W42" s="48">
        <f t="shared" si="0"/>
        <v>0.2009562659414687</v>
      </c>
      <c r="Z42" s="225" t="s">
        <v>18</v>
      </c>
      <c r="AA42" s="212">
        <f ca="1">SUMIFS('Investment Data'!$I$3:$I$129,'Investment Data'!$P$3:$P$129,Analysis!$Z42,'Investment Data'!$C$3:$C$129,Analysis!$AA$38)+SUMIFS('Investment Data'!$K$3:$K$129,'Investment Data'!$P$3:$P$129,Analysis!$Z42,'Investment Data'!$C$3:$C$129,Analysis!$AA$38)</f>
        <v>9984.25</v>
      </c>
      <c r="AB42" s="210">
        <f ca="1">SUMIFS('Investment Data'!$G$3:$G$129,'Investment Data'!$P$3:$P$129,Analysis!$Z42,'Investment Data'!$C$3:$C$129,Analysis!$AA$38)</f>
        <v>15146</v>
      </c>
      <c r="AC42" s="218">
        <f t="shared" ca="1" si="1"/>
        <v>0.51698925808147833</v>
      </c>
      <c r="AD42" s="210">
        <f ca="1">SUMIFS('Investment Data'!$I$3:$I$129,'Investment Data'!$P$3:$P$129,Analysis!$Z42,'Investment Data'!$C$3:$C$129,Analysis!$AD$38)+SUMIFS('Investment Data'!$K$3:$K$129,'Investment Data'!$P$3:$P$129,Analysis!$Z42,'Investment Data'!$C$3:$C$129,Analysis!$AD$38)</f>
        <v>34653.9</v>
      </c>
      <c r="AE42" s="210">
        <f ca="1">SUMIFS('Investment Data'!$G$3:$G$129,'Investment Data'!$P$3:$P$129,Analysis!$Z42,'Investment Data'!$C$3:$C$129,Analysis!$AD$38)</f>
        <v>37271</v>
      </c>
      <c r="AF42" s="218">
        <f t="shared" ca="1" si="2"/>
        <v>7.5521081321294245E-2</v>
      </c>
      <c r="AG42" s="210">
        <f ca="1">SUMIFS('Investment Data'!$I$3:$I$129,'Investment Data'!$P$3:$P$129,Analysis!$Z42,'Investment Data'!$C$3:$C$129,Analysis!$AG$38)+SUMIFS('Investment Data'!$K$3:$K$129,'Investment Data'!$P$3:$P$129,Analysis!$Z42,'Investment Data'!$C$3:$C$129,Analysis!$AG$38)</f>
        <v>20274.629999999997</v>
      </c>
      <c r="AH42" s="210">
        <f ca="1">SUMIFS('Investment Data'!$G$3:$G$129,'Investment Data'!$P$3:$P$129,Analysis!$Z42,'Investment Data'!$C$3:$C$129,Analysis!$AG$38)</f>
        <v>21065</v>
      </c>
      <c r="AI42" s="218">
        <f t="shared" ca="1" si="3"/>
        <v>3.8983202159546329E-2</v>
      </c>
      <c r="AJ42" s="210">
        <f ca="1">SUMIFS('Investment Data'!$I$3:$I$129,'Investment Data'!$P$3:$P$129,Analysis!$Z42,'Investment Data'!$C$3:$C$129,Analysis!$AJ$38)+SUMIFS('Investment Data'!$K$3:$K$129,'Investment Data'!$P$3:$P$129,Analysis!$Z42,'Investment Data'!$C$3:$C$129,Analysis!$AJ$38)</f>
        <v>31456.41</v>
      </c>
      <c r="AK42" s="210">
        <f ca="1">SUMIFS('Investment Data'!$G$3:$G$129,'Investment Data'!$P$3:$P$129,Analysis!$Z42,'Investment Data'!$C$3:$C$129,Analysis!$AJ$38)</f>
        <v>39577</v>
      </c>
      <c r="AL42" s="221">
        <f t="shared" ca="1" si="4"/>
        <v>0.25815374354543319</v>
      </c>
    </row>
    <row r="43" spans="4:38" ht="14.4">
      <c r="H43" s="191" t="s">
        <v>19</v>
      </c>
      <c r="I43" s="188">
        <f>$P43-COUNTIFS('Investment Data'!$P$3:$P$129,Analysis!$H43,'Investment Data'!$D$3:$D$129,"&gt;1")</f>
        <v>20</v>
      </c>
      <c r="J43" s="73">
        <f>(SUMIFS('Investment Data'!$G:$G,'Investment Data'!$P:$P,$H43,'Investment Data'!$D:$D,"")-SUMIFS('Investment Data'!$I:$I,'Investment Data'!$P:$P,$H43,'Investment Data'!$D:$D,""))/SUMIFS('Investment Data'!$I:$I,'Investment Data'!$P:$P,$H43,'Investment Data'!$D:$D,"")</f>
        <v>0.14198681227287774</v>
      </c>
      <c r="K43" s="192">
        <f>SUMIFS('Investment Data'!$E$3:$E$129,'Investment Data'!$P$3:$P$129,Analysis!$H43,'Investment Data'!$D$3:$D$129,"")</f>
        <v>687</v>
      </c>
      <c r="L43" s="197">
        <f>SUMIFS('Investment Data'!$G:$G,'Investment Data'!$P:$P,Analysis!$H43,'Investment Data'!$D:$D,"")</f>
        <v>63822</v>
      </c>
      <c r="M43" s="197">
        <f>SUMIFS('Investment Data'!$I:$I,'Investment Data'!$P:$P,Analysis!$H43,'Investment Data'!$D:$D,"")+SUMIFS('Investment Data'!$K:$K,'Investment Data'!$P:$P,Analysis!$H43,'Investment Data'!$D:$D,"")</f>
        <v>55913.660000000011</v>
      </c>
      <c r="N43" s="197">
        <f>SUMIFS('Investment Data'!$M:$M,'Investment Data'!$P:$P,Analysis!$H43,'Investment Data'!$D:$D,"")</f>
        <v>7908.340000000002</v>
      </c>
      <c r="O43" s="200">
        <f>SUMIFS('Investment Data'!$R:$R,'Investment Data'!$P:$P,Analysis!$H43,'Investment Data'!$D:$D,"")</f>
        <v>1748.9000000000003</v>
      </c>
      <c r="P43" s="72">
        <f>COUNTIF('Investment Data'!$P:$P,Analysis!$H43)</f>
        <v>21</v>
      </c>
      <c r="Q43" s="73">
        <f>(SUMIFS('Investment Data'!$G:$G,'Investment Data'!$P:$P,$H43)-SUMIFS('Investment Data'!$I:$I,'Investment Data'!$P:$P,$H43))/SUMIFS('Investment Data'!$I:$I,'Investment Data'!$P:$P,$H43)</f>
        <v>0.15492409197924029</v>
      </c>
      <c r="R43" s="74">
        <f>(SUMIFS('Investment Data'!$Q:$Q,'Investment Data'!$P:$P,$H43)*4)/SUMIFS('Investment Data'!$F:$F,'Investment Data'!$P:$P,$H43)</f>
        <v>3.0855683269476374E-2</v>
      </c>
      <c r="S43" s="197">
        <f>SUMIFS('Investment Data'!$G:$G,'Investment Data'!$P:$P,Analysis!$H43)</f>
        <v>65950</v>
      </c>
      <c r="T43" s="197">
        <f>SUMIFS('Investment Data'!$I:$I,'Investment Data'!$P:$P,Analysis!$H43)</f>
        <v>57103.320000000007</v>
      </c>
      <c r="U43" s="197">
        <f>SUMIFS('Investment Data'!$M:$M,'Investment Data'!$P:$P,Analysis!$H43)</f>
        <v>8810.8799999999992</v>
      </c>
      <c r="V43" s="200">
        <f>SUMIFS('Investment Data'!$R:$R,'Investment Data'!$P:$P,Analysis!$H43)</f>
        <v>1890.0200000000002</v>
      </c>
      <c r="W43" s="48">
        <f t="shared" si="0"/>
        <v>0.1172225628993699</v>
      </c>
      <c r="Z43" s="225" t="s">
        <v>19</v>
      </c>
      <c r="AA43" s="212">
        <f ca="1">SUMIFS('Investment Data'!$I$3:$I$129,'Investment Data'!$P$3:$P$129,Analysis!$Z43,'Investment Data'!$C$3:$C$129,Analysis!$AA$38)+SUMIFS('Investment Data'!$K$3:$K$129,'Investment Data'!$P$3:$P$129,Analysis!$Z43,'Investment Data'!$C$3:$C$129,Analysis!$AA$38)</f>
        <v>0</v>
      </c>
      <c r="AB43" s="210">
        <f ca="1">SUMIFS('Investment Data'!$G$3:$G$129,'Investment Data'!$P$3:$P$129,Analysis!$Z43,'Investment Data'!$C$3:$C$129,Analysis!$AA$38)</f>
        <v>0</v>
      </c>
      <c r="AC43" s="218">
        <f t="shared" ca="1" si="1"/>
        <v>0</v>
      </c>
      <c r="AD43" s="210">
        <f ca="1">SUMIFS('Investment Data'!$I$3:$I$129,'Investment Data'!$P$3:$P$129,Analysis!$Z43,'Investment Data'!$C$3:$C$129,Analysis!$AD$38)+SUMIFS('Investment Data'!$K$3:$K$129,'Investment Data'!$P$3:$P$129,Analysis!$Z43,'Investment Data'!$C$3:$C$129,Analysis!$AD$38)</f>
        <v>8605.65</v>
      </c>
      <c r="AE43" s="210">
        <f ca="1">SUMIFS('Investment Data'!$G$3:$G$129,'Investment Data'!$P$3:$P$129,Analysis!$Z43,'Investment Data'!$C$3:$C$129,Analysis!$AD$38)</f>
        <v>8828</v>
      </c>
      <c r="AF43" s="218">
        <f t="shared" ca="1" si="2"/>
        <v>2.5837676410265391E-2</v>
      </c>
      <c r="AG43" s="210">
        <f ca="1">SUMIFS('Investment Data'!$I$3:$I$129,'Investment Data'!$P$3:$P$129,Analysis!$Z43,'Investment Data'!$C$3:$C$129,Analysis!$AG$38)+SUMIFS('Investment Data'!$K$3:$K$129,'Investment Data'!$P$3:$P$129,Analysis!$Z43,'Investment Data'!$C$3:$C$129,Analysis!$AG$38)</f>
        <v>26451.559999999994</v>
      </c>
      <c r="AH43" s="210">
        <f ca="1">SUMIFS('Investment Data'!$G$3:$G$129,'Investment Data'!$P$3:$P$129,Analysis!$Z43,'Investment Data'!$C$3:$C$129,Analysis!$AG$38)</f>
        <v>29890</v>
      </c>
      <c r="AI43" s="218">
        <f t="shared" ca="1" si="3"/>
        <v>0.12999006485817874</v>
      </c>
      <c r="AJ43" s="210">
        <f ca="1">SUMIFS('Investment Data'!$I$3:$I$129,'Investment Data'!$P$3:$P$129,Analysis!$Z43,'Investment Data'!$C$3:$C$129,Analysis!$AJ$38)+SUMIFS('Investment Data'!$K$3:$K$129,'Investment Data'!$P$3:$P$129,Analysis!$Z43,'Investment Data'!$C$3:$C$129,Analysis!$AJ$38)</f>
        <v>22081.91</v>
      </c>
      <c r="AK43" s="210">
        <f ca="1">SUMIFS('Investment Data'!$G$3:$G$129,'Investment Data'!$P$3:$P$129,Analysis!$Z43,'Investment Data'!$C$3:$C$129,Analysis!$AJ$38)</f>
        <v>27232</v>
      </c>
      <c r="AL43" s="221">
        <f t="shared" ca="1" si="4"/>
        <v>0.23322665475948412</v>
      </c>
    </row>
    <row r="44" spans="4:38" ht="14.4">
      <c r="H44" s="191" t="s">
        <v>22</v>
      </c>
      <c r="I44" s="188">
        <f>$P44-COUNTIFS('Investment Data'!$P$3:$P$129,Analysis!$H44,'Investment Data'!$D$3:$D$129,"&gt;1")</f>
        <v>12</v>
      </c>
      <c r="J44" s="73">
        <f>(SUMIFS('Investment Data'!$G:$G,'Investment Data'!$P:$P,$H44,'Investment Data'!$D:$D,"")-SUMIFS('Investment Data'!$I:$I,'Investment Data'!$P:$P,$H44,'Investment Data'!$D:$D,""))/SUMIFS('Investment Data'!$I:$I,'Investment Data'!$P:$P,$H44,'Investment Data'!$D:$D,"")</f>
        <v>8.900317090240116E-2</v>
      </c>
      <c r="K44" s="192">
        <f>SUMIFS('Investment Data'!$E$3:$E$129,'Investment Data'!$P$3:$P$129,Analysis!$H44,'Investment Data'!$D$3:$D$129,"")</f>
        <v>1015</v>
      </c>
      <c r="L44" s="197">
        <f>SUMIFS('Investment Data'!$G:$G,'Investment Data'!$P:$P,Analysis!$H44,'Investment Data'!$D:$D,"")</f>
        <v>93006</v>
      </c>
      <c r="M44" s="197">
        <f>SUMIFS('Investment Data'!$I:$I,'Investment Data'!$P:$P,Analysis!$H44,'Investment Data'!$D:$D,"")+SUMIFS('Investment Data'!$K:$K,'Investment Data'!$P:$P,Analysis!$H44,'Investment Data'!$D:$D,"")</f>
        <v>85422.609999999986</v>
      </c>
      <c r="N44" s="197">
        <f>SUMIFS('Investment Data'!$M:$M,'Investment Data'!$P:$P,Analysis!$H44,'Investment Data'!$D:$D,"")</f>
        <v>7583.3899999999958</v>
      </c>
      <c r="O44" s="200">
        <f>SUMIFS('Investment Data'!$R:$R,'Investment Data'!$P:$P,Analysis!$H44,'Investment Data'!$D:$D,"")</f>
        <v>2678.0399999999995</v>
      </c>
      <c r="P44" s="72">
        <f>COUNTIF('Investment Data'!$P:$P,Analysis!$H44)</f>
        <v>16</v>
      </c>
      <c r="Q44" s="73">
        <f>(SUMIFS('Investment Data'!$G:$G,'Investment Data'!$P:$P,$H44)-SUMIFS('Investment Data'!$I:$I,'Investment Data'!$P:$P,$H44))/SUMIFS('Investment Data'!$I:$I,'Investment Data'!$P:$P,$H44)</f>
        <v>0.13534201620167519</v>
      </c>
      <c r="R44" s="74">
        <f>(SUMIFS('Investment Data'!$Q:$Q,'Investment Data'!$P:$P,$H44)*4)/SUMIFS('Investment Data'!$F:$F,'Investment Data'!$P:$P,$H44)</f>
        <v>2.8856485034535688E-2</v>
      </c>
      <c r="S44" s="197">
        <f>SUMIFS('Investment Data'!$G:$G,'Investment Data'!$P:$P,Analysis!$H44)</f>
        <v>104009</v>
      </c>
      <c r="T44" s="197">
        <f>SUMIFS('Investment Data'!$I:$I,'Investment Data'!$P:$P,Analysis!$H44)</f>
        <v>91610.28</v>
      </c>
      <c r="U44" s="197">
        <f>SUMIFS('Investment Data'!$M:$M,'Investment Data'!$P:$P,Analysis!$H44)</f>
        <v>12371.869999999999</v>
      </c>
      <c r="V44" s="200">
        <f>SUMIFS('Investment Data'!$R:$R,'Investment Data'!$P:$P,Analysis!$H44)</f>
        <v>2969.7599999999998</v>
      </c>
      <c r="W44" s="48">
        <f t="shared" si="0"/>
        <v>0.1848703797513353</v>
      </c>
      <c r="Z44" s="225" t="s">
        <v>22</v>
      </c>
      <c r="AA44" s="212">
        <f ca="1">SUMIFS('Investment Data'!$I$3:$I$129,'Investment Data'!$P$3:$P$129,Analysis!$Z44,'Investment Data'!$C$3:$C$129,Analysis!$AA$38)+SUMIFS('Investment Data'!$K$3:$K$129,'Investment Data'!$P$3:$P$129,Analysis!$Z44,'Investment Data'!$C$3:$C$129,Analysis!$AA$38)</f>
        <v>2121.1299999999997</v>
      </c>
      <c r="AB44" s="210">
        <f ca="1">SUMIFS('Investment Data'!$G$3:$G$129,'Investment Data'!$P$3:$P$129,Analysis!$Z44,'Investment Data'!$C$3:$C$129,Analysis!$AA$38)</f>
        <v>3234</v>
      </c>
      <c r="AC44" s="218">
        <f t="shared" ca="1" si="1"/>
        <v>0.52465902608515302</v>
      </c>
      <c r="AD44" s="210">
        <f ca="1">SUMIFS('Investment Data'!$I$3:$I$129,'Investment Data'!$P$3:$P$129,Analysis!$Z44,'Investment Data'!$C$3:$C$129,Analysis!$AD$38)+SUMIFS('Investment Data'!$K$3:$K$129,'Investment Data'!$P$3:$P$129,Analysis!$Z44,'Investment Data'!$C$3:$C$129,Analysis!$AD$38)</f>
        <v>13290.539999999999</v>
      </c>
      <c r="AE44" s="210">
        <f ca="1">SUMIFS('Investment Data'!$G$3:$G$129,'Investment Data'!$P$3:$P$129,Analysis!$Z44,'Investment Data'!$C$3:$C$129,Analysis!$AD$38)</f>
        <v>15380</v>
      </c>
      <c r="AF44" s="218">
        <f t="shared" ca="1" si="2"/>
        <v>0.15721407858521935</v>
      </c>
      <c r="AG44" s="210">
        <f ca="1">SUMIFS('Investment Data'!$I$3:$I$129,'Investment Data'!$P$3:$P$129,Analysis!$Z44,'Investment Data'!$C$3:$C$129,Analysis!$AG$38)+SUMIFS('Investment Data'!$K$3:$K$129,'Investment Data'!$P$3:$P$129,Analysis!$Z44,'Investment Data'!$C$3:$C$129,Analysis!$AG$38)</f>
        <v>40403.289999999994</v>
      </c>
      <c r="AH44" s="210">
        <f ca="1">SUMIFS('Investment Data'!$G$3:$G$129,'Investment Data'!$P$3:$P$129,Analysis!$Z44,'Investment Data'!$C$3:$C$129,Analysis!$AG$38)</f>
        <v>36185</v>
      </c>
      <c r="AI44" s="218">
        <f t="shared" ca="1" si="3"/>
        <v>-0.10440461655474081</v>
      </c>
      <c r="AJ44" s="210">
        <f ca="1">SUMIFS('Investment Data'!$I$3:$I$129,'Investment Data'!$P$3:$P$129,Analysis!$Z44,'Investment Data'!$C$3:$C$129,Analysis!$AJ$38)+SUMIFS('Investment Data'!$K$3:$K$129,'Investment Data'!$P$3:$P$129,Analysis!$Z44,'Investment Data'!$C$3:$C$129,Analysis!$AJ$38)</f>
        <v>35822.170000000006</v>
      </c>
      <c r="AK44" s="210">
        <f ca="1">SUMIFS('Investment Data'!$G$3:$G$129,'Investment Data'!$P$3:$P$129,Analysis!$Z44,'Investment Data'!$C$3:$C$129,Analysis!$AJ$38)</f>
        <v>49210</v>
      </c>
      <c r="AL44" s="221">
        <f t="shared" ca="1" si="4"/>
        <v>0.37373029048770612</v>
      </c>
    </row>
    <row r="45" spans="4:38" ht="14.4">
      <c r="H45" s="191" t="s">
        <v>24</v>
      </c>
      <c r="I45" s="188">
        <f>$P45-COUNTIFS('Investment Data'!$P$3:$P$129,Analysis!$H45,'Investment Data'!$D$3:$D$129,"&gt;1")</f>
        <v>3</v>
      </c>
      <c r="J45" s="73">
        <f>(SUMIFS('Investment Data'!$G:$G,'Investment Data'!$P:$P,$H45,'Investment Data'!$D:$D,"")-SUMIFS('Investment Data'!$I:$I,'Investment Data'!$P:$P,$H45,'Investment Data'!$D:$D,""))/SUMIFS('Investment Data'!$I:$I,'Investment Data'!$P:$P,$H45,'Investment Data'!$D:$D,"")</f>
        <v>0.16205754518922505</v>
      </c>
      <c r="K45" s="192">
        <f>SUMIFS('Investment Data'!$E$3:$E$129,'Investment Data'!$P$3:$P$129,Analysis!$H45,'Investment Data'!$D$3:$D$129,"")</f>
        <v>210</v>
      </c>
      <c r="L45" s="197">
        <f>SUMIFS('Investment Data'!$G:$G,'Investment Data'!$P:$P,Analysis!$H45,'Investment Data'!$D:$D,"")</f>
        <v>18670</v>
      </c>
      <c r="M45" s="197">
        <f>SUMIFS('Investment Data'!$I:$I,'Investment Data'!$P:$P,Analysis!$H45,'Investment Data'!$D:$D,"")+SUMIFS('Investment Data'!$K:$K,'Investment Data'!$P:$P,Analysis!$H45,'Investment Data'!$D:$D,"")</f>
        <v>16084.229999999998</v>
      </c>
      <c r="N45" s="197">
        <f>SUMIFS('Investment Data'!$M:$M,'Investment Data'!$P:$P,Analysis!$H45,'Investment Data'!$D:$D,"")</f>
        <v>2585.7700000000023</v>
      </c>
      <c r="O45" s="200">
        <f>SUMIFS('Investment Data'!$R:$R,'Investment Data'!$P:$P,Analysis!$H45,'Investment Data'!$D:$D,"")</f>
        <v>656.59999999999991</v>
      </c>
      <c r="P45" s="72">
        <f>COUNTIF('Investment Data'!$P:$P,Analysis!$H45)</f>
        <v>6</v>
      </c>
      <c r="Q45" s="73">
        <f>(SUMIFS('Investment Data'!$G:$G,'Investment Data'!$P:$P,$H45)-SUMIFS('Investment Data'!$I:$I,'Investment Data'!$P:$P,$H45))/SUMIFS('Investment Data'!$I:$I,'Investment Data'!$P:$P,$H45)</f>
        <v>0.1690880852638032</v>
      </c>
      <c r="R45" s="74">
        <f>(SUMIFS('Investment Data'!$Q:$Q,'Investment Data'!$P:$P,$H45)*4)/SUMIFS('Investment Data'!$F:$F,'Investment Data'!$P:$P,$H45)</f>
        <v>3.0946153846153845E-2</v>
      </c>
      <c r="S45" s="197">
        <f>SUMIFS('Investment Data'!$G:$G,'Investment Data'!$P:$P,Analysis!$H45)</f>
        <v>29643</v>
      </c>
      <c r="T45" s="197">
        <f>SUMIFS('Investment Data'!$I:$I,'Investment Data'!$P:$P,Analysis!$H45)</f>
        <v>25355.659999999996</v>
      </c>
      <c r="U45" s="197">
        <f>SUMIFS('Investment Data'!$M:$M,'Investment Data'!$P:$P,Analysis!$H45)</f>
        <v>4260.4900000000034</v>
      </c>
      <c r="V45" s="200">
        <f>SUMIFS('Investment Data'!$R:$R,'Investment Data'!$P:$P,Analysis!$H45)</f>
        <v>1056.8359999999998</v>
      </c>
      <c r="W45" s="48">
        <f t="shared" si="0"/>
        <v>5.2688831418135282E-2</v>
      </c>
      <c r="Z45" s="225" t="s">
        <v>24</v>
      </c>
      <c r="AA45" s="212">
        <f ca="1">SUMIFS('Investment Data'!$I$3:$I$129,'Investment Data'!$P$3:$P$129,Analysis!$Z45,'Investment Data'!$C$3:$C$129,Analysis!$AA$38)+SUMIFS('Investment Data'!$K$3:$K$129,'Investment Data'!$P$3:$P$129,Analysis!$Z45,'Investment Data'!$C$3:$C$129,Analysis!$AA$38)</f>
        <v>0</v>
      </c>
      <c r="AB45" s="210">
        <f ca="1">SUMIFS('Investment Data'!$G$3:$G$129,'Investment Data'!$P$3:$P$129,Analysis!$Z45,'Investment Data'!$C$3:$C$129,Analysis!$AA$38)</f>
        <v>0</v>
      </c>
      <c r="AC45" s="218">
        <f t="shared" ca="1" si="1"/>
        <v>0</v>
      </c>
      <c r="AD45" s="210">
        <f ca="1">SUMIFS('Investment Data'!$I$3:$I$129,'Investment Data'!$P$3:$P$129,Analysis!$Z45,'Investment Data'!$C$3:$C$129,Analysis!$AD$38)+SUMIFS('Investment Data'!$K$3:$K$129,'Investment Data'!$P$3:$P$129,Analysis!$Z45,'Investment Data'!$C$3:$C$129,Analysis!$AD$38)</f>
        <v>4214.6000000000004</v>
      </c>
      <c r="AE45" s="210">
        <f ca="1">SUMIFS('Investment Data'!$G$3:$G$129,'Investment Data'!$P$3:$P$129,Analysis!$Z45,'Investment Data'!$C$3:$C$129,Analysis!$AD$38)</f>
        <v>5005</v>
      </c>
      <c r="AF45" s="218">
        <f t="shared" ca="1" si="2"/>
        <v>0.18753855644663778</v>
      </c>
      <c r="AG45" s="210">
        <f ca="1">SUMIFS('Investment Data'!$I$3:$I$129,'Investment Data'!$P$3:$P$129,Analysis!$Z45,'Investment Data'!$C$3:$C$129,Analysis!$AG$38)+SUMIFS('Investment Data'!$K$3:$K$129,'Investment Data'!$P$3:$P$129,Analysis!$Z45,'Investment Data'!$C$3:$C$129,Analysis!$AG$38)</f>
        <v>304.5</v>
      </c>
      <c r="AH45" s="210">
        <f ca="1">SUMIFS('Investment Data'!$G$3:$G$129,'Investment Data'!$P$3:$P$129,Analysis!$Z45,'Investment Data'!$C$3:$C$129,Analysis!$AG$38)</f>
        <v>760</v>
      </c>
      <c r="AI45" s="218">
        <f t="shared" ca="1" si="3"/>
        <v>1.4958949096880132</v>
      </c>
      <c r="AJ45" s="210">
        <f ca="1">SUMIFS('Investment Data'!$I$3:$I$129,'Investment Data'!$P$3:$P$129,Analysis!$Z45,'Investment Data'!$C$3:$C$129,Analysis!$AJ$38)+SUMIFS('Investment Data'!$K$3:$K$129,'Investment Data'!$P$3:$P$129,Analysis!$Z45,'Investment Data'!$C$3:$C$129,Analysis!$AJ$38)</f>
        <v>20863.409999999996</v>
      </c>
      <c r="AK45" s="210">
        <f ca="1">SUMIFS('Investment Data'!$G$3:$G$129,'Investment Data'!$P$3:$P$129,Analysis!$Z45,'Investment Data'!$C$3:$C$129,Analysis!$AJ$38)</f>
        <v>23878</v>
      </c>
      <c r="AL45" s="221">
        <f t="shared" ca="1" si="4"/>
        <v>0.1444917201933914</v>
      </c>
    </row>
    <row r="46" spans="4:38" ht="14.4">
      <c r="H46" s="191" t="s">
        <v>29</v>
      </c>
      <c r="I46" s="188">
        <f>$P46-COUNTIFS('Investment Data'!$P$3:$P$129,Analysis!$H46,'Investment Data'!$D$3:$D$129,"&gt;1")</f>
        <v>14</v>
      </c>
      <c r="J46" s="73">
        <f>(SUMIFS('Investment Data'!$G:$G,'Investment Data'!$P:$P,$H46,'Investment Data'!$D:$D,"")-SUMIFS('Investment Data'!$I:$I,'Investment Data'!$P:$P,$H46,'Investment Data'!$D:$D,""))/SUMIFS('Investment Data'!$I:$I,'Investment Data'!$P:$P,$H46,'Investment Data'!$D:$D,"")</f>
        <v>7.8765420527632871E-2</v>
      </c>
      <c r="K46" s="192">
        <f>SUMIFS('Investment Data'!$E$3:$E$129,'Investment Data'!$P$3:$P$129,Analysis!$H46,'Investment Data'!$D$3:$D$129,"")</f>
        <v>436</v>
      </c>
      <c r="L46" s="197">
        <f>SUMIFS('Investment Data'!$G:$G,'Investment Data'!$P:$P,Analysis!$H46,'Investment Data'!$D:$D,"")</f>
        <v>28314</v>
      </c>
      <c r="M46" s="197">
        <f>SUMIFS('Investment Data'!$I:$I,'Investment Data'!$P:$P,Analysis!$H46,'Investment Data'!$D:$D,"")+SUMIFS('Investment Data'!$K:$K,'Investment Data'!$P:$P,Analysis!$H46,'Investment Data'!$D:$D,"")</f>
        <v>26246.669999999995</v>
      </c>
      <c r="N46" s="197">
        <f>SUMIFS('Investment Data'!$M:$M,'Investment Data'!$P:$P,Analysis!$H46,'Investment Data'!$D:$D,"")</f>
        <v>2067.329999999999</v>
      </c>
      <c r="O46" s="200">
        <f>SUMIFS('Investment Data'!$R:$R,'Investment Data'!$P:$P,Analysis!$H46,'Investment Data'!$D:$D,"")</f>
        <v>816.26</v>
      </c>
      <c r="P46" s="72">
        <f>COUNTIF('Investment Data'!$P:$P,Analysis!$H46)</f>
        <v>15</v>
      </c>
      <c r="Q46" s="73">
        <f>(SUMIFS('Investment Data'!$G:$G,'Investment Data'!$P:$P,$H46)-SUMIFS('Investment Data'!$I:$I,'Investment Data'!$P:$P,$H46))/SUMIFS('Investment Data'!$I:$I,'Investment Data'!$P:$P,$H46)</f>
        <v>9.0201424348489948E-2</v>
      </c>
      <c r="R46" s="74">
        <f>(SUMIFS('Investment Data'!$Q:$Q,'Investment Data'!$P:$P,$H46)*4)/SUMIFS('Investment Data'!$F:$F,'Investment Data'!$P:$P,$H46)</f>
        <v>3.3076162215628091E-2</v>
      </c>
      <c r="S46" s="197">
        <f>SUMIFS('Investment Data'!$G:$G,'Investment Data'!$P:$P,Analysis!$H46)</f>
        <v>29814</v>
      </c>
      <c r="T46" s="197">
        <f>SUMIFS('Investment Data'!$I:$I,'Investment Data'!$P:$P,Analysis!$H46)</f>
        <v>27347.24</v>
      </c>
      <c r="U46" s="197">
        <f>SUMIFS('Investment Data'!$M:$M,'Investment Data'!$P:$P,Analysis!$H46)</f>
        <v>2466.7599999999993</v>
      </c>
      <c r="V46" s="200">
        <f>SUMIFS('Investment Data'!$R:$R,'Investment Data'!$P:$P,Analysis!$H46)</f>
        <v>876.26000000000022</v>
      </c>
      <c r="W46" s="48">
        <f t="shared" si="0"/>
        <v>5.2992774682059346E-2</v>
      </c>
      <c r="Z46" s="225" t="s">
        <v>29</v>
      </c>
      <c r="AA46" s="212">
        <f ca="1">SUMIFS('Investment Data'!$I$3:$I$129,'Investment Data'!$P$3:$P$129,Analysis!$Z46,'Investment Data'!$C$3:$C$129,Analysis!$AA$38)+SUMIFS('Investment Data'!$K$3:$K$129,'Investment Data'!$P$3:$P$129,Analysis!$Z46,'Investment Data'!$C$3:$C$129,Analysis!$AA$38)</f>
        <v>4408.8200000000006</v>
      </c>
      <c r="AB46" s="210">
        <f ca="1">SUMIFS('Investment Data'!$G$3:$G$129,'Investment Data'!$P$3:$P$129,Analysis!$Z46,'Investment Data'!$C$3:$C$129,Analysis!$AA$38)</f>
        <v>3128</v>
      </c>
      <c r="AC46" s="218">
        <f t="shared" ca="1" si="1"/>
        <v>-0.29051310781569684</v>
      </c>
      <c r="AD46" s="210">
        <f ca="1">SUMIFS('Investment Data'!$I$3:$I$129,'Investment Data'!$P$3:$P$129,Analysis!$Z46,'Investment Data'!$C$3:$C$129,Analysis!$AD$38)+SUMIFS('Investment Data'!$K$3:$K$129,'Investment Data'!$P$3:$P$129,Analysis!$Z46,'Investment Data'!$C$3:$C$129,Analysis!$AD$38)</f>
        <v>2579.71</v>
      </c>
      <c r="AE46" s="210">
        <f ca="1">SUMIFS('Investment Data'!$G$3:$G$129,'Investment Data'!$P$3:$P$129,Analysis!$Z46,'Investment Data'!$C$3:$C$129,Analysis!$AD$38)</f>
        <v>3432</v>
      </c>
      <c r="AF46" s="218">
        <f t="shared" ca="1" si="2"/>
        <v>0.33038209721247735</v>
      </c>
      <c r="AG46" s="210">
        <f ca="1">SUMIFS('Investment Data'!$I$3:$I$129,'Investment Data'!$P$3:$P$129,Analysis!$Z46,'Investment Data'!$C$3:$C$129,Analysis!$AG$38)+SUMIFS('Investment Data'!$K$3:$K$129,'Investment Data'!$P$3:$P$129,Analysis!$Z46,'Investment Data'!$C$3:$C$129,Analysis!$AG$38)</f>
        <v>13964.999999999996</v>
      </c>
      <c r="AH46" s="210">
        <f ca="1">SUMIFS('Investment Data'!$G$3:$G$129,'Investment Data'!$P$3:$P$129,Analysis!$Z46,'Investment Data'!$C$3:$C$129,Analysis!$AG$38)</f>
        <v>14343</v>
      </c>
      <c r="AI46" s="218">
        <f t="shared" ca="1" si="3"/>
        <v>2.7067669172932598E-2</v>
      </c>
      <c r="AJ46" s="210">
        <f ca="1">SUMIFS('Investment Data'!$I$3:$I$129,'Investment Data'!$P$3:$P$129,Analysis!$Z46,'Investment Data'!$C$3:$C$129,Analysis!$AJ$38)+SUMIFS('Investment Data'!$K$3:$K$129,'Investment Data'!$P$3:$P$129,Analysis!$Z46,'Investment Data'!$C$3:$C$129,Analysis!$AJ$38)</f>
        <v>6393.71</v>
      </c>
      <c r="AK46" s="210">
        <f ca="1">SUMIFS('Investment Data'!$G$3:$G$129,'Investment Data'!$P$3:$P$129,Analysis!$Z46,'Investment Data'!$C$3:$C$129,Analysis!$AJ$38)</f>
        <v>8911</v>
      </c>
      <c r="AL46" s="221">
        <f t="shared" ca="1" si="4"/>
        <v>0.39371350905812119</v>
      </c>
    </row>
    <row r="47" spans="4:38" ht="14.4">
      <c r="H47" s="191" t="s">
        <v>30</v>
      </c>
      <c r="I47" s="188">
        <f>$P47-COUNTIFS('Investment Data'!$P$3:$P$129,Analysis!$H47,'Investment Data'!$D$3:$D$129,"&gt;1")</f>
        <v>9</v>
      </c>
      <c r="J47" s="73">
        <f>(SUMIFS('Investment Data'!$G:$G,'Investment Data'!$P:$P,$H47,'Investment Data'!$D:$D,"")-SUMIFS('Investment Data'!$I:$I,'Investment Data'!$P:$P,$H47,'Investment Data'!$D:$D,""))/SUMIFS('Investment Data'!$I:$I,'Investment Data'!$P:$P,$H47,'Investment Data'!$D:$D,"")</f>
        <v>1.2212253913741729</v>
      </c>
      <c r="K47" s="192">
        <f>SUMIFS('Investment Data'!$E$3:$E$129,'Investment Data'!$P$3:$P$129,Analysis!$H47,'Investment Data'!$D$3:$D$129,"")</f>
        <v>346</v>
      </c>
      <c r="L47" s="197">
        <f>SUMIFS('Investment Data'!$G:$G,'Investment Data'!$P:$P,Analysis!$H47,'Investment Data'!$D:$D,"")</f>
        <v>33969</v>
      </c>
      <c r="M47" s="197">
        <f>SUMIFS('Investment Data'!$I:$I,'Investment Data'!$P:$P,Analysis!$H47,'Investment Data'!$D:$D,"")+SUMIFS('Investment Data'!$K:$K,'Investment Data'!$P:$P,Analysis!$H47,'Investment Data'!$D:$D,"")</f>
        <v>15292.91</v>
      </c>
      <c r="N47" s="197">
        <f>SUMIFS('Investment Data'!$M:$M,'Investment Data'!$P:$P,Analysis!$H47,'Investment Data'!$D:$D,"")</f>
        <v>18676.090000000004</v>
      </c>
      <c r="O47" s="200">
        <f>SUMIFS('Investment Data'!$R:$R,'Investment Data'!$P:$P,Analysis!$H47,'Investment Data'!$D:$D,"")</f>
        <v>912.47600000000011</v>
      </c>
      <c r="P47" s="72">
        <f>COUNTIF('Investment Data'!$P:$P,Analysis!$H47)</f>
        <v>13</v>
      </c>
      <c r="Q47" s="73">
        <f>(SUMIFS('Investment Data'!$G:$G,'Investment Data'!$P:$P,$H47)-SUMIFS('Investment Data'!$I:$I,'Investment Data'!$P:$P,$H47))/SUMIFS('Investment Data'!$I:$I,'Investment Data'!$P:$P,$H47)</f>
        <v>0.9625596595436362</v>
      </c>
      <c r="R47" s="74">
        <f>(SUMIFS('Investment Data'!$Q:$Q,'Investment Data'!$P:$P,$H47)*4)/SUMIFS('Investment Data'!$F:$F,'Investment Data'!$P:$P,$H47)</f>
        <v>3.3798334875115625E-2</v>
      </c>
      <c r="S47" s="197">
        <f>SUMIFS('Investment Data'!$G:$G,'Investment Data'!$P:$P,Analysis!$H47)</f>
        <v>68473</v>
      </c>
      <c r="T47" s="197">
        <f>SUMIFS('Investment Data'!$I:$I,'Investment Data'!$P:$P,Analysis!$H47)</f>
        <v>34889.639999999985</v>
      </c>
      <c r="U47" s="197">
        <f>SUMIFS('Investment Data'!$M:$M,'Investment Data'!$P:$P,Analysis!$H47)</f>
        <v>33574.410000000011</v>
      </c>
      <c r="V47" s="200">
        <f>SUMIFS('Investment Data'!$R:$R,'Investment Data'!$P:$P,Analysis!$H47)</f>
        <v>1449.2279999999998</v>
      </c>
      <c r="W47" s="48">
        <f t="shared" si="0"/>
        <v>0.12170705912674079</v>
      </c>
      <c r="Z47" s="225" t="s">
        <v>30</v>
      </c>
      <c r="AA47" s="212">
        <f ca="1">SUMIFS('Investment Data'!$I$3:$I$129,'Investment Data'!$P$3:$P$129,Analysis!$Z47,'Investment Data'!$C$3:$C$129,Analysis!$AA$38)+SUMIFS('Investment Data'!$K$3:$K$129,'Investment Data'!$P$3:$P$129,Analysis!$Z47,'Investment Data'!$C$3:$C$129,Analysis!$AA$38)</f>
        <v>0</v>
      </c>
      <c r="AB47" s="210">
        <f ca="1">SUMIFS('Investment Data'!$G$3:$G$129,'Investment Data'!$P$3:$P$129,Analysis!$Z47,'Investment Data'!$C$3:$C$129,Analysis!$AA$38)</f>
        <v>0</v>
      </c>
      <c r="AC47" s="218">
        <f t="shared" ca="1" si="1"/>
        <v>0</v>
      </c>
      <c r="AD47" s="210">
        <f ca="1">SUMIFS('Investment Data'!$I$3:$I$129,'Investment Data'!$P$3:$P$129,Analysis!$Z47,'Investment Data'!$C$3:$C$129,Analysis!$AD$38)+SUMIFS('Investment Data'!$K$3:$K$129,'Investment Data'!$P$3:$P$129,Analysis!$Z47,'Investment Data'!$C$3:$C$129,Analysis!$AD$38)</f>
        <v>14930.949999999997</v>
      </c>
      <c r="AE47" s="210">
        <f ca="1">SUMIFS('Investment Data'!$G$3:$G$129,'Investment Data'!$P$3:$P$129,Analysis!$Z47,'Investment Data'!$C$3:$C$129,Analysis!$AD$38)</f>
        <v>33417</v>
      </c>
      <c r="AF47" s="218">
        <f t="shared" ca="1" si="2"/>
        <v>1.2381027329138472</v>
      </c>
      <c r="AG47" s="210">
        <f ca="1">SUMIFS('Investment Data'!$I$3:$I$129,'Investment Data'!$P$3:$P$129,Analysis!$Z47,'Investment Data'!$C$3:$C$129,Analysis!$AG$38)+SUMIFS('Investment Data'!$K$3:$K$129,'Investment Data'!$P$3:$P$129,Analysis!$Z47,'Investment Data'!$C$3:$C$129,Analysis!$AG$38)</f>
        <v>361.96</v>
      </c>
      <c r="AH47" s="210">
        <f ca="1">SUMIFS('Investment Data'!$G$3:$G$129,'Investment Data'!$P$3:$P$129,Analysis!$Z47,'Investment Data'!$C$3:$C$129,Analysis!$AG$38)</f>
        <v>552</v>
      </c>
      <c r="AI47" s="218">
        <f t="shared" ca="1" si="3"/>
        <v>0.52503039009835351</v>
      </c>
      <c r="AJ47" s="210">
        <f ca="1">SUMIFS('Investment Data'!$I$3:$I$129,'Investment Data'!$P$3:$P$129,Analysis!$Z47,'Investment Data'!$C$3:$C$129,Analysis!$AJ$38)+SUMIFS('Investment Data'!$K$3:$K$129,'Investment Data'!$P$3:$P$129,Analysis!$Z47,'Investment Data'!$C$3:$C$129,Analysis!$AJ$38)</f>
        <v>19605.679999999997</v>
      </c>
      <c r="AK47" s="210">
        <f ca="1">SUMIFS('Investment Data'!$G$3:$G$129,'Investment Data'!$P$3:$P$129,Analysis!$Z47,'Investment Data'!$C$3:$C$129,Analysis!$AJ$38)</f>
        <v>34504</v>
      </c>
      <c r="AL47" s="221">
        <f t="shared" ca="1" si="4"/>
        <v>0.75989815196412502</v>
      </c>
    </row>
    <row r="48" spans="4:38" ht="14.4">
      <c r="D48" s="5" t="s">
        <v>159</v>
      </c>
      <c r="E48" s="6">
        <f>SUM('Investment Data'!$G$3:$G$129)</f>
        <v>562605</v>
      </c>
      <c r="H48" s="191" t="s">
        <v>33</v>
      </c>
      <c r="I48" s="188">
        <f>$P48-COUNTIFS('Investment Data'!$P$3:$P$129,Analysis!$H48,'Investment Data'!$D$3:$D$129,"&gt;1")</f>
        <v>11</v>
      </c>
      <c r="J48" s="73">
        <f>(SUMIFS('Investment Data'!$G:$G,'Investment Data'!$P:$P,$H48,'Investment Data'!$D:$D,"")-SUMIFS('Investment Data'!$I:$I,'Investment Data'!$P:$P,$H48,'Investment Data'!$D:$D,""))/SUMIFS('Investment Data'!$I:$I,'Investment Data'!$P:$P,$H48,'Investment Data'!$D:$D,"")</f>
        <v>0.13858978900285782</v>
      </c>
      <c r="K48" s="192">
        <f>SUMIFS('Investment Data'!$E$3:$E$129,'Investment Data'!$P$3:$P$129,Analysis!$H48,'Investment Data'!$D$3:$D$129,"")</f>
        <v>435</v>
      </c>
      <c r="L48" s="197">
        <f>SUMIFS('Investment Data'!$G:$G,'Investment Data'!$P:$P,Analysis!$H48,'Investment Data'!$D:$D,"")</f>
        <v>44840</v>
      </c>
      <c r="M48" s="197">
        <f>SUMIFS('Investment Data'!$I:$I,'Investment Data'!$P:$P,Analysis!$H48,'Investment Data'!$D:$D,"")+SUMIFS('Investment Data'!$K:$K,'Investment Data'!$P:$P,Analysis!$H48,'Investment Data'!$D:$D,"")</f>
        <v>39391</v>
      </c>
      <c r="N48" s="197">
        <f>SUMIFS('Investment Data'!$M:$M,'Investment Data'!$P:$P,Analysis!$H48,'Investment Data'!$D:$D,"")</f>
        <v>5448.9999999999991</v>
      </c>
      <c r="O48" s="200">
        <f>SUMIFS('Investment Data'!$R:$R,'Investment Data'!$P:$P,Analysis!$H48,'Investment Data'!$D:$D,"")</f>
        <v>1174.1199999999999</v>
      </c>
      <c r="P48" s="72">
        <f>COUNTIF('Investment Data'!$P:$P,Analysis!$H48)</f>
        <v>11</v>
      </c>
      <c r="Q48" s="73">
        <f>(SUMIFS('Investment Data'!$G:$G,'Investment Data'!$P:$P,$H48)-SUMIFS('Investment Data'!$I:$I,'Investment Data'!$P:$P,$H48))/SUMIFS('Investment Data'!$I:$I,'Investment Data'!$P:$P,$H48)</f>
        <v>0.13858978900285782</v>
      </c>
      <c r="R48" s="74">
        <f>(SUMIFS('Investment Data'!$Q:$Q,'Investment Data'!$P:$P,$H48)*4)/SUMIFS('Investment Data'!$F:$F,'Investment Data'!$P:$P,$H48)</f>
        <v>2.7788778877887787E-2</v>
      </c>
      <c r="S48" s="197">
        <f>SUMIFS('Investment Data'!$G:$G,'Investment Data'!$P:$P,Analysis!$H48)</f>
        <v>44840</v>
      </c>
      <c r="T48" s="197">
        <f>SUMIFS('Investment Data'!$I:$I,'Investment Data'!$P:$P,Analysis!$H48)</f>
        <v>39382.050000000003</v>
      </c>
      <c r="U48" s="197">
        <f>SUMIFS('Investment Data'!$M:$M,'Investment Data'!$P:$P,Analysis!$H48)</f>
        <v>5448.9999999999991</v>
      </c>
      <c r="V48" s="200">
        <f>SUMIFS('Investment Data'!$R:$R,'Investment Data'!$P:$P,Analysis!$H48)</f>
        <v>1174.1199999999999</v>
      </c>
      <c r="W48" s="48">
        <f t="shared" si="0"/>
        <v>7.9700678095644364E-2</v>
      </c>
      <c r="Z48" s="225" t="s">
        <v>33</v>
      </c>
      <c r="AA48" s="212">
        <f ca="1">SUMIFS('Investment Data'!$I$3:$I$129,'Investment Data'!$P$3:$P$129,Analysis!$Z48,'Investment Data'!$C$3:$C$129,Analysis!$AA$38)+SUMIFS('Investment Data'!$K$3:$K$129,'Investment Data'!$P$3:$P$129,Analysis!$Z48,'Investment Data'!$C$3:$C$129,Analysis!$AA$38)</f>
        <v>0</v>
      </c>
      <c r="AB48" s="210">
        <f ca="1">SUMIFS('Investment Data'!$G$3:$G$129,'Investment Data'!$P$3:$P$129,Analysis!$Z48,'Investment Data'!$C$3:$C$129,Analysis!$AA$38)</f>
        <v>0</v>
      </c>
      <c r="AC48" s="218">
        <f t="shared" ca="1" si="1"/>
        <v>0</v>
      </c>
      <c r="AD48" s="210">
        <f ca="1">SUMIFS('Investment Data'!$I$3:$I$129,'Investment Data'!$P$3:$P$129,Analysis!$Z48,'Investment Data'!$C$3:$C$129,Analysis!$AD$38)+SUMIFS('Investment Data'!$K$3:$K$129,'Investment Data'!$P$3:$P$129,Analysis!$Z48,'Investment Data'!$C$3:$C$129,Analysis!$AD$38)</f>
        <v>25489.67</v>
      </c>
      <c r="AE48" s="210">
        <f ca="1">SUMIFS('Investment Data'!$G$3:$G$129,'Investment Data'!$P$3:$P$129,Analysis!$Z48,'Investment Data'!$C$3:$C$129,Analysis!$AD$38)</f>
        <v>32899</v>
      </c>
      <c r="AF48" s="218">
        <f t="shared" ca="1" si="2"/>
        <v>0.29067971456672459</v>
      </c>
      <c r="AG48" s="210">
        <f ca="1">SUMIFS('Investment Data'!$I$3:$I$129,'Investment Data'!$P$3:$P$129,Analysis!$Z48,'Investment Data'!$C$3:$C$129,Analysis!$AG$38)+SUMIFS('Investment Data'!$K$3:$K$129,'Investment Data'!$P$3:$P$129,Analysis!$Z48,'Investment Data'!$C$3:$C$129,Analysis!$AG$38)</f>
        <v>5499.66</v>
      </c>
      <c r="AH48" s="210">
        <f ca="1">SUMIFS('Investment Data'!$G$3:$G$129,'Investment Data'!$P$3:$P$129,Analysis!$Z48,'Investment Data'!$C$3:$C$129,Analysis!$AG$38)</f>
        <v>6974</v>
      </c>
      <c r="AI48" s="218">
        <f t="shared" ca="1" si="3"/>
        <v>0.26807839030049135</v>
      </c>
      <c r="AJ48" s="210">
        <f ca="1">SUMIFS('Investment Data'!$I$3:$I$129,'Investment Data'!$P$3:$P$129,Analysis!$Z48,'Investment Data'!$C$3:$C$129,Analysis!$AJ$38)+SUMIFS('Investment Data'!$K$3:$K$129,'Investment Data'!$P$3:$P$129,Analysis!$Z48,'Investment Data'!$C$3:$C$129,Analysis!$AJ$38)</f>
        <v>8401.6700000000019</v>
      </c>
      <c r="AK48" s="210">
        <f ca="1">SUMIFS('Investment Data'!$G$3:$G$129,'Investment Data'!$P$3:$P$129,Analysis!$Z48,'Investment Data'!$C$3:$C$129,Analysis!$AJ$38)</f>
        <v>4967</v>
      </c>
      <c r="AL48" s="221">
        <f t="shared" ca="1" si="4"/>
        <v>-0.40880801078833151</v>
      </c>
    </row>
    <row r="49" spans="8:38" ht="14.4">
      <c r="H49" s="191" t="s">
        <v>35</v>
      </c>
      <c r="I49" s="188">
        <f>$P49-COUNTIFS('Investment Data'!$P$3:$P$129,Analysis!$H49,'Investment Data'!$D$3:$D$129,"&gt;1")</f>
        <v>3</v>
      </c>
      <c r="J49" s="73">
        <f>(SUMIFS('Investment Data'!$G:$G,'Investment Data'!$P:$P,$H49,'Investment Data'!$D:$D,"")-SUMIFS('Investment Data'!$I:$I,'Investment Data'!$P:$P,$H49,'Investment Data'!$D:$D,""))/SUMIFS('Investment Data'!$I:$I,'Investment Data'!$P:$P,$H49,'Investment Data'!$D:$D,"")</f>
        <v>0.36574466539104317</v>
      </c>
      <c r="K49" s="192">
        <f>SUMIFS('Investment Data'!$E$3:$E$129,'Investment Data'!$P$3:$P$129,Analysis!$H49,'Investment Data'!$D$3:$D$129,"")</f>
        <v>77</v>
      </c>
      <c r="L49" s="197">
        <f>SUMIFS('Investment Data'!$G:$G,'Investment Data'!$P:$P,Analysis!$H49,'Investment Data'!$D:$D,"")</f>
        <v>4511</v>
      </c>
      <c r="M49" s="197">
        <f>SUMIFS('Investment Data'!$I:$I,'Investment Data'!$P:$P,Analysis!$H49,'Investment Data'!$D:$D,"")+SUMIFS('Investment Data'!$K:$K,'Investment Data'!$P:$P,Analysis!$H49,'Investment Data'!$D:$D,"")</f>
        <v>3302.96</v>
      </c>
      <c r="N49" s="197">
        <f>SUMIFS('Investment Data'!$M:$M,'Investment Data'!$P:$P,Analysis!$H49,'Investment Data'!$D:$D,"")</f>
        <v>1208.04</v>
      </c>
      <c r="O49" s="200">
        <f>SUMIFS('Investment Data'!$R:$R,'Investment Data'!$P:$P,Analysis!$H49,'Investment Data'!$D:$D,"")</f>
        <v>222.40000000000003</v>
      </c>
      <c r="P49" s="72">
        <f>COUNTIF('Investment Data'!$P:$P,Analysis!$H49)</f>
        <v>3</v>
      </c>
      <c r="Q49" s="73">
        <f>(SUMIFS('Investment Data'!$G:$G,'Investment Data'!$P:$P,$H49)-SUMIFS('Investment Data'!$I:$I,'Investment Data'!$P:$P,$H49))/SUMIFS('Investment Data'!$I:$I,'Investment Data'!$P:$P,$H49)</f>
        <v>0.36574466539104317</v>
      </c>
      <c r="R49" s="74">
        <f>(SUMIFS('Investment Data'!$Q:$Q,'Investment Data'!$P:$P,$H49)*4)/SUMIFS('Investment Data'!$F:$F,'Investment Data'!$P:$P,$H49)</f>
        <v>3.7101449275362318E-2</v>
      </c>
      <c r="S49" s="197">
        <f>SUMIFS('Investment Data'!$G:$G,'Investment Data'!$P:$P,Analysis!$H49)</f>
        <v>4511</v>
      </c>
      <c r="T49" s="197">
        <f>SUMIFS('Investment Data'!$I:$I,'Investment Data'!$P:$P,Analysis!$H49)</f>
        <v>3302.96</v>
      </c>
      <c r="U49" s="197">
        <f>SUMIFS('Investment Data'!$M:$M,'Investment Data'!$P:$P,Analysis!$H49)</f>
        <v>1208.04</v>
      </c>
      <c r="V49" s="200">
        <f>SUMIFS('Investment Data'!$R:$R,'Investment Data'!$P:$P,Analysis!$H49)</f>
        <v>222.40000000000003</v>
      </c>
      <c r="W49" s="48">
        <f t="shared" si="0"/>
        <v>8.0180588512366573E-3</v>
      </c>
      <c r="Z49" s="225" t="s">
        <v>35</v>
      </c>
      <c r="AA49" s="212">
        <f ca="1">SUMIFS('Investment Data'!$I$3:$I$129,'Investment Data'!$P$3:$P$129,Analysis!$Z49,'Investment Data'!$C$3:$C$129,Analysis!$AA$38)+SUMIFS('Investment Data'!$K$3:$K$129,'Investment Data'!$P$3:$P$129,Analysis!$Z49,'Investment Data'!$C$3:$C$129,Analysis!$AA$38)</f>
        <v>0</v>
      </c>
      <c r="AB49" s="210">
        <f ca="1">SUMIFS('Investment Data'!$G$3:$G$129,'Investment Data'!$P$3:$P$129,Analysis!$Z49,'Investment Data'!$C$3:$C$129,Analysis!$AA$38)</f>
        <v>0</v>
      </c>
      <c r="AC49" s="218">
        <f t="shared" ca="1" si="1"/>
        <v>0</v>
      </c>
      <c r="AD49" s="210">
        <f ca="1">SUMIFS('Investment Data'!$I$3:$I$129,'Investment Data'!$P$3:$P$129,Analysis!$Z49,'Investment Data'!$C$3:$C$129,Analysis!$AD$38)+SUMIFS('Investment Data'!$K$3:$K$129,'Investment Data'!$P$3:$P$129,Analysis!$Z49,'Investment Data'!$C$3:$C$129,Analysis!$AD$38)</f>
        <v>0</v>
      </c>
      <c r="AE49" s="210">
        <f ca="1">SUMIFS('Investment Data'!$G$3:$G$129,'Investment Data'!$P$3:$P$129,Analysis!$Z49,'Investment Data'!$C$3:$C$129,Analysis!$AD$38)</f>
        <v>0</v>
      </c>
      <c r="AF49" s="218">
        <f t="shared" ca="1" si="2"/>
        <v>0</v>
      </c>
      <c r="AG49" s="210">
        <f ca="1">SUMIFS('Investment Data'!$I$3:$I$129,'Investment Data'!$P$3:$P$129,Analysis!$Z49,'Investment Data'!$C$3:$C$129,Analysis!$AG$38)+SUMIFS('Investment Data'!$K$3:$K$129,'Investment Data'!$P$3:$P$129,Analysis!$Z49,'Investment Data'!$C$3:$C$129,Analysis!$AG$38)</f>
        <v>0</v>
      </c>
      <c r="AH49" s="210">
        <f ca="1">SUMIFS('Investment Data'!$G$3:$G$129,'Investment Data'!$P$3:$P$129,Analysis!$Z49,'Investment Data'!$C$3:$C$129,Analysis!$AG$38)</f>
        <v>0</v>
      </c>
      <c r="AI49" s="218">
        <f t="shared" ca="1" si="3"/>
        <v>0</v>
      </c>
      <c r="AJ49" s="210">
        <f ca="1">SUMIFS('Investment Data'!$I$3:$I$129,'Investment Data'!$P$3:$P$129,Analysis!$Z49,'Investment Data'!$C$3:$C$129,Analysis!$AJ$38)+SUMIFS('Investment Data'!$K$3:$K$129,'Investment Data'!$P$3:$P$129,Analysis!$Z49,'Investment Data'!$C$3:$C$129,Analysis!$AJ$38)</f>
        <v>3302.96</v>
      </c>
      <c r="AK49" s="210">
        <f ca="1">SUMIFS('Investment Data'!$G$3:$G$129,'Investment Data'!$P$3:$P$129,Analysis!$Z49,'Investment Data'!$C$3:$C$129,Analysis!$AJ$38)</f>
        <v>4511</v>
      </c>
      <c r="AL49" s="221">
        <f t="shared" ca="1" si="4"/>
        <v>0.36574466539104317</v>
      </c>
    </row>
    <row r="50" spans="8:38" ht="14.4">
      <c r="H50" s="191" t="s">
        <v>38</v>
      </c>
      <c r="I50" s="188">
        <f>$P50-COUNTIFS('Investment Data'!$P$3:$P$129,Analysis!$H50,'Investment Data'!$D$3:$D$129,"&gt;1")</f>
        <v>6</v>
      </c>
      <c r="J50" s="73">
        <f>(SUMIFS('Investment Data'!$G:$G,'Investment Data'!$P:$P,$H50,'Investment Data'!$D:$D,"")-SUMIFS('Investment Data'!$I:$I,'Investment Data'!$P:$P,$H50,'Investment Data'!$D:$D,""))/SUMIFS('Investment Data'!$I:$I,'Investment Data'!$P:$P,$H50,'Investment Data'!$D:$D,"")</f>
        <v>0.3256406346476417</v>
      </c>
      <c r="K50" s="192">
        <f>SUMIFS('Investment Data'!$E$3:$E$129,'Investment Data'!$P$3:$P$129,Analysis!$H50,'Investment Data'!$D$3:$D$129,"")</f>
        <v>373</v>
      </c>
      <c r="L50" s="197">
        <f>SUMIFS('Investment Data'!$G:$G,'Investment Data'!$P:$P,Analysis!$H50,'Investment Data'!$D:$D,"")</f>
        <v>26515</v>
      </c>
      <c r="M50" s="197">
        <f>SUMIFS('Investment Data'!$I:$I,'Investment Data'!$P:$P,Analysis!$H50,'Investment Data'!$D:$D,"")+SUMIFS('Investment Data'!$K:$K,'Investment Data'!$P:$P,Analysis!$H50,'Investment Data'!$D:$D,"")</f>
        <v>20001.649999999998</v>
      </c>
      <c r="N50" s="197">
        <f>SUMIFS('Investment Data'!$M:$M,'Investment Data'!$P:$P,Analysis!$H50,'Investment Data'!$D:$D,"")</f>
        <v>6513.3499999999985</v>
      </c>
      <c r="O50" s="200">
        <f>SUMIFS('Investment Data'!$R:$R,'Investment Data'!$P:$P,Analysis!$H50,'Investment Data'!$D:$D,"")</f>
        <v>1012.3199999999999</v>
      </c>
      <c r="P50" s="72">
        <f>COUNTIF('Investment Data'!$P:$P,Analysis!$H50)</f>
        <v>6</v>
      </c>
      <c r="Q50" s="73">
        <f>(SUMIFS('Investment Data'!$G:$G,'Investment Data'!$P:$P,$H50)-SUMIFS('Investment Data'!$I:$I,'Investment Data'!$P:$P,$H50))/SUMIFS('Investment Data'!$I:$I,'Investment Data'!$P:$P,$H50)</f>
        <v>0.3256406346476417</v>
      </c>
      <c r="R50" s="74">
        <f>(SUMIFS('Investment Data'!$Q:$Q,'Investment Data'!$P:$P,$H50)*4)/SUMIFS('Investment Data'!$F:$F,'Investment Data'!$P:$P,$H50)</f>
        <v>3.5226039783001803E-2</v>
      </c>
      <c r="S50" s="197">
        <f>SUMIFS('Investment Data'!$G:$G,'Investment Data'!$P:$P,Analysis!$H50)</f>
        <v>26515</v>
      </c>
      <c r="T50" s="197">
        <f>SUMIFS('Investment Data'!$I:$I,'Investment Data'!$P:$P,Analysis!$H50)</f>
        <v>20001.649999999998</v>
      </c>
      <c r="U50" s="197">
        <f>SUMIFS('Investment Data'!$M:$M,'Investment Data'!$P:$P,Analysis!$H50)</f>
        <v>6513.3499999999985</v>
      </c>
      <c r="V50" s="200">
        <f>SUMIFS('Investment Data'!$R:$R,'Investment Data'!$P:$P,Analysis!$H50)</f>
        <v>1012.3199999999999</v>
      </c>
      <c r="W50" s="48">
        <f t="shared" si="0"/>
        <v>4.7128980368109065E-2</v>
      </c>
      <c r="Z50" s="225" t="s">
        <v>38</v>
      </c>
      <c r="AA50" s="212">
        <f ca="1">SUMIFS('Investment Data'!$I$3:$I$129,'Investment Data'!$P$3:$P$129,Analysis!$Z50,'Investment Data'!$C$3:$C$129,Analysis!$AA$38)+SUMIFS('Investment Data'!$K$3:$K$129,'Investment Data'!$P$3:$P$129,Analysis!$Z50,'Investment Data'!$C$3:$C$129,Analysis!$AA$38)</f>
        <v>0</v>
      </c>
      <c r="AB50" s="210">
        <f ca="1">SUMIFS('Investment Data'!$G$3:$G$129,'Investment Data'!$P$3:$P$129,Analysis!$Z50,'Investment Data'!$C$3:$C$129,Analysis!$AA$38)</f>
        <v>0</v>
      </c>
      <c r="AC50" s="218">
        <f t="shared" ca="1" si="1"/>
        <v>0</v>
      </c>
      <c r="AD50" s="210">
        <f ca="1">SUMIFS('Investment Data'!$I$3:$I$129,'Investment Data'!$P$3:$P$129,Analysis!$Z50,'Investment Data'!$C$3:$C$129,Analysis!$AD$38)+SUMIFS('Investment Data'!$K$3:$K$129,'Investment Data'!$P$3:$P$129,Analysis!$Z50,'Investment Data'!$C$3:$C$129,Analysis!$AD$38)</f>
        <v>7651.2300000000005</v>
      </c>
      <c r="AE50" s="210">
        <f ca="1">SUMIFS('Investment Data'!$G$3:$G$129,'Investment Data'!$P$3:$P$129,Analysis!$Z50,'Investment Data'!$C$3:$C$129,Analysis!$AD$38)</f>
        <v>12125</v>
      </c>
      <c r="AF50" s="218">
        <f t="shared" ca="1" si="2"/>
        <v>0.5847125233459195</v>
      </c>
      <c r="AG50" s="210">
        <f ca="1">SUMIFS('Investment Data'!$I$3:$I$129,'Investment Data'!$P$3:$P$129,Analysis!$Z50,'Investment Data'!$C$3:$C$129,Analysis!$AG$38)+SUMIFS('Investment Data'!$K$3:$K$129,'Investment Data'!$P$3:$P$129,Analysis!$Z50,'Investment Data'!$C$3:$C$129,Analysis!$AG$38)</f>
        <v>9794.77</v>
      </c>
      <c r="AH50" s="210">
        <f ca="1">SUMIFS('Investment Data'!$G$3:$G$129,'Investment Data'!$P$3:$P$129,Analysis!$Z50,'Investment Data'!$C$3:$C$129,Analysis!$AG$38)</f>
        <v>12063</v>
      </c>
      <c r="AI50" s="218">
        <f t="shared" ca="1" si="3"/>
        <v>0.2315756265843914</v>
      </c>
      <c r="AJ50" s="210">
        <f ca="1">SUMIFS('Investment Data'!$I$3:$I$129,'Investment Data'!$P$3:$P$129,Analysis!$Z50,'Investment Data'!$C$3:$C$129,Analysis!$AJ$38)+SUMIFS('Investment Data'!$K$3:$K$129,'Investment Data'!$P$3:$P$129,Analysis!$Z50,'Investment Data'!$C$3:$C$129,Analysis!$AJ$38)</f>
        <v>2555.65</v>
      </c>
      <c r="AK50" s="210">
        <f ca="1">SUMIFS('Investment Data'!$G$3:$G$129,'Investment Data'!$P$3:$P$129,Analysis!$Z50,'Investment Data'!$C$3:$C$129,Analysis!$AJ$38)</f>
        <v>2327</v>
      </c>
      <c r="AL50" s="221">
        <f t="shared" ca="1" si="4"/>
        <v>-8.9468432688357205E-2</v>
      </c>
    </row>
    <row r="51" spans="8:38" ht="14.4">
      <c r="H51" s="191" t="s">
        <v>77</v>
      </c>
      <c r="I51" s="188">
        <f>$P51-COUNTIFS('Investment Data'!$P$3:$P$129,Analysis!$H51,'Investment Data'!$D$3:$D$129,"&gt;1")</f>
        <v>1</v>
      </c>
      <c r="J51" s="73">
        <f>(SUMIFS('Investment Data'!$G:$G,'Investment Data'!$P:$P,$H51,'Investment Data'!$D:$D,"")-SUMIFS('Investment Data'!$I:$I,'Investment Data'!$P:$P,$H51,'Investment Data'!$D:$D,""))/SUMIFS('Investment Data'!$I:$I,'Investment Data'!$P:$P,$H51,'Investment Data'!$D:$D,"")</f>
        <v>0.29691491452151708</v>
      </c>
      <c r="K51" s="192">
        <f>SUMIFS('Investment Data'!$E$3:$E$129,'Investment Data'!$P$3:$P$129,Analysis!$H51,'Investment Data'!$D$3:$D$129,"")</f>
        <v>44</v>
      </c>
      <c r="L51" s="197">
        <f>SUMIFS('Investment Data'!$G:$G,'Investment Data'!$P:$P,Analysis!$H51,'Investment Data'!$D:$D,"")</f>
        <v>660</v>
      </c>
      <c r="M51" s="197">
        <f>SUMIFS('Investment Data'!$I:$I,'Investment Data'!$P:$P,Analysis!$H51,'Investment Data'!$D:$D,"")+SUMIFS('Investment Data'!$K:$K,'Investment Data'!$P:$P,Analysis!$H51,'Investment Data'!$D:$D,"")</f>
        <v>508.9</v>
      </c>
      <c r="N51" s="197">
        <f>SUMIFS('Investment Data'!$M:$M,'Investment Data'!$P:$P,Analysis!$H51,'Investment Data'!$D:$D,"")</f>
        <v>151.10000000000002</v>
      </c>
      <c r="O51" s="200">
        <f>SUMIFS('Investment Data'!$R:$R,'Investment Data'!$P:$P,Analysis!$H51,'Investment Data'!$D:$D,"")</f>
        <v>12.144000000000002</v>
      </c>
      <c r="P51" s="72">
        <f>COUNTIF('Investment Data'!$P:$P,Analysis!$H51)</f>
        <v>1</v>
      </c>
      <c r="Q51" s="73">
        <f>(SUMIFS('Investment Data'!$G:$G,'Investment Data'!$P:$P,$H51)-SUMIFS('Investment Data'!$I:$I,'Investment Data'!$P:$P,$H51))/SUMIFS('Investment Data'!$I:$I,'Investment Data'!$P:$P,$H51)</f>
        <v>0.29691491452151708</v>
      </c>
      <c r="R51" s="74">
        <f>(SUMIFS('Investment Data'!$Q:$Q,'Investment Data'!$P:$P,$H51)*4)/SUMIFS('Investment Data'!$F:$F,'Investment Data'!$P:$P,$H51)</f>
        <v>1.8400000000000003E-2</v>
      </c>
      <c r="S51" s="197">
        <f>SUMIFS('Investment Data'!$G:$G,'Investment Data'!$P:$P,Analysis!$H51)</f>
        <v>660</v>
      </c>
      <c r="T51" s="197">
        <f>SUMIFS('Investment Data'!$I:$I,'Investment Data'!$P:$P,Analysis!$H51)</f>
        <v>508.9</v>
      </c>
      <c r="U51" s="197">
        <f>SUMIFS('Investment Data'!$M:$M,'Investment Data'!$P:$P,Analysis!$H51)</f>
        <v>151.10000000000002</v>
      </c>
      <c r="V51" s="200">
        <f>SUMIFS('Investment Data'!$R:$R,'Investment Data'!$P:$P,Analysis!$H51)</f>
        <v>12.144000000000002</v>
      </c>
      <c r="W51" s="48">
        <f t="shared" si="0"/>
        <v>1.173114351987629E-3</v>
      </c>
      <c r="Z51" s="225" t="s">
        <v>77</v>
      </c>
      <c r="AA51" s="212">
        <f ca="1">SUMIFS('Investment Data'!$I$3:$I$129,'Investment Data'!$P$3:$P$129,Analysis!$Z51,'Investment Data'!$C$3:$C$129,Analysis!$AA$38)+SUMIFS('Investment Data'!$K$3:$K$129,'Investment Data'!$P$3:$P$129,Analysis!$Z51,'Investment Data'!$C$3:$C$129,Analysis!$AA$38)</f>
        <v>0</v>
      </c>
      <c r="AB51" s="210">
        <f ca="1">SUMIFS('Investment Data'!$G$3:$G$129,'Investment Data'!$P$3:$P$129,Analysis!$Z51,'Investment Data'!$C$3:$C$129,Analysis!$AA$38)</f>
        <v>0</v>
      </c>
      <c r="AC51" s="218">
        <f t="shared" ca="1" si="1"/>
        <v>0</v>
      </c>
      <c r="AD51" s="210">
        <f ca="1">SUMIFS('Investment Data'!$I$3:$I$129,'Investment Data'!$P$3:$P$129,Analysis!$Z51,'Investment Data'!$C$3:$C$129,Analysis!$AD$38)+SUMIFS('Investment Data'!$K$3:$K$129,'Investment Data'!$P$3:$P$129,Analysis!$Z51,'Investment Data'!$C$3:$C$129,Analysis!$AD$38)</f>
        <v>508.9</v>
      </c>
      <c r="AE51" s="210">
        <f ca="1">SUMIFS('Investment Data'!$G$3:$G$129,'Investment Data'!$P$3:$P$129,Analysis!$Z51,'Investment Data'!$C$3:$C$129,Analysis!$AD$38)</f>
        <v>660</v>
      </c>
      <c r="AF51" s="218">
        <f t="shared" ca="1" si="2"/>
        <v>0.29691491452151708</v>
      </c>
      <c r="AG51" s="210">
        <f ca="1">SUMIFS('Investment Data'!$I$3:$I$129,'Investment Data'!$P$3:$P$129,Analysis!$Z51,'Investment Data'!$C$3:$C$129,Analysis!$AG$38)+SUMIFS('Investment Data'!$K$3:$K$129,'Investment Data'!$P$3:$P$129,Analysis!$Z51,'Investment Data'!$C$3:$C$129,Analysis!$AG$38)</f>
        <v>0</v>
      </c>
      <c r="AH51" s="210">
        <f ca="1">SUMIFS('Investment Data'!$G$3:$G$129,'Investment Data'!$P$3:$P$129,Analysis!$Z51,'Investment Data'!$C$3:$C$129,Analysis!$AG$38)</f>
        <v>0</v>
      </c>
      <c r="AI51" s="218">
        <f t="shared" ca="1" si="3"/>
        <v>0</v>
      </c>
      <c r="AJ51" s="210">
        <f ca="1">SUMIFS('Investment Data'!$I$3:$I$129,'Investment Data'!$P$3:$P$129,Analysis!$Z51,'Investment Data'!$C$3:$C$129,Analysis!$AJ$38)+SUMIFS('Investment Data'!$K$3:$K$129,'Investment Data'!$P$3:$P$129,Analysis!$Z51,'Investment Data'!$C$3:$C$129,Analysis!$AJ$38)</f>
        <v>0</v>
      </c>
      <c r="AK51" s="210">
        <f ca="1">SUMIFS('Investment Data'!$G$3:$G$129,'Investment Data'!$P$3:$P$129,Analysis!$Z51,'Investment Data'!$C$3:$C$129,Analysis!$AJ$38)</f>
        <v>0</v>
      </c>
      <c r="AL51" s="221">
        <f t="shared" ca="1" si="4"/>
        <v>0</v>
      </c>
    </row>
    <row r="52" spans="8:38" ht="15" thickBot="1">
      <c r="H52" s="191" t="s">
        <v>80</v>
      </c>
      <c r="I52" s="189">
        <f>$P52-COUNTIFS('Investment Data'!$P$3:$P$129,Analysis!$H52,'Investment Data'!$D$3:$D$129,"&gt;1")</f>
        <v>3</v>
      </c>
      <c r="J52" s="76">
        <f>(SUMIFS('Investment Data'!$G:$G,'Investment Data'!$P:$P,$H52,'Investment Data'!$D:$D,"")-SUMIFS('Investment Data'!$I:$I,'Investment Data'!$P:$P,$H52,'Investment Data'!$D:$D,""))/SUMIFS('Investment Data'!$I:$I,'Investment Data'!$P:$P,$H52,'Investment Data'!$D:$D,"")</f>
        <v>0.62227199930154442</v>
      </c>
      <c r="K52" s="193">
        <f>SUMIFS('Investment Data'!$E$3:$E$129,'Investment Data'!$P$3:$P$129,Analysis!$H52,'Investment Data'!$D$3:$D$129,"")</f>
        <v>430</v>
      </c>
      <c r="L52" s="198">
        <f>SUMIFS('Investment Data'!$G:$G,'Investment Data'!$P:$P,Analysis!$H52,'Investment Data'!$D:$D,"")</f>
        <v>35676</v>
      </c>
      <c r="M52" s="198">
        <f>SUMIFS('Investment Data'!$I:$I,'Investment Data'!$P:$P,Analysis!$H52,'Investment Data'!$D:$D,"")+SUMIFS('Investment Data'!$K:$K,'Investment Data'!$P:$P,Analysis!$H52,'Investment Data'!$D:$D,"")</f>
        <v>21991.38</v>
      </c>
      <c r="N52" s="198">
        <f>SUMIFS('Investment Data'!$M:$M,'Investment Data'!$P:$P,Analysis!$H52,'Investment Data'!$D:$D,"")</f>
        <v>13684.619999999999</v>
      </c>
      <c r="O52" s="201">
        <f>SUMIFS('Investment Data'!$R:$R,'Investment Data'!$P:$P,Analysis!$H52,'Investment Data'!$D:$D,"")</f>
        <v>2146.88</v>
      </c>
      <c r="P52" s="75">
        <f>COUNTIF('Investment Data'!$P:$P,Analysis!$H52)</f>
        <v>3</v>
      </c>
      <c r="Q52" s="76">
        <f>(SUMIFS('Investment Data'!$G:$G,'Investment Data'!$P:$P,$H52)-SUMIFS('Investment Data'!$I:$I,'Investment Data'!$P:$P,$H52))/SUMIFS('Investment Data'!$I:$I,'Investment Data'!$P:$P,$H52)</f>
        <v>0.62227199930154442</v>
      </c>
      <c r="R52" s="77">
        <f>(SUMIFS('Investment Data'!$Q:$Q,'Investment Data'!$P:$P,$H52)*4)/SUMIFS('Investment Data'!$F:$F,'Investment Data'!$P:$P,$H52)</f>
        <v>5.2563176895306853E-2</v>
      </c>
      <c r="S52" s="198">
        <f>SUMIFS('Investment Data'!$G:$G,'Investment Data'!$P:$P,Analysis!$H52)</f>
        <v>35676</v>
      </c>
      <c r="T52" s="198">
        <f>SUMIFS('Investment Data'!$I:$I,'Investment Data'!$P:$P,Analysis!$H52)</f>
        <v>21991.38</v>
      </c>
      <c r="U52" s="198">
        <f>SUMIFS('Investment Data'!$M:$M,'Investment Data'!$P:$P,Analysis!$H52)</f>
        <v>13684.619999999999</v>
      </c>
      <c r="V52" s="201">
        <f>SUMIFS('Investment Data'!$R:$R,'Investment Data'!$P:$P,Analysis!$H52)</f>
        <v>2146.88</v>
      </c>
      <c r="W52" s="49">
        <f t="shared" si="0"/>
        <v>6.3412163062894933E-2</v>
      </c>
      <c r="Z52" s="226" t="s">
        <v>80</v>
      </c>
      <c r="AA52" s="213">
        <f ca="1">SUMIFS('Investment Data'!$I$3:$I$129,'Investment Data'!$P$3:$P$129,Analysis!$Z52,'Investment Data'!$C$3:$C$129,Analysis!$AA$38)+SUMIFS('Investment Data'!$K$3:$K$129,'Investment Data'!$P$3:$P$129,Analysis!$Z52,'Investment Data'!$C$3:$C$129,Analysis!$AA$38)</f>
        <v>21991.38</v>
      </c>
      <c r="AB52" s="211">
        <f ca="1">SUMIFS('Investment Data'!$G$3:$G$129,'Investment Data'!$P$3:$P$129,Analysis!$Z52,'Investment Data'!$C$3:$C$129,Analysis!$AA$38)</f>
        <v>35676</v>
      </c>
      <c r="AC52" s="219">
        <f t="shared" ca="1" si="1"/>
        <v>0.62227199930154442</v>
      </c>
      <c r="AD52" s="211">
        <f ca="1">SUMIFS('Investment Data'!$I$3:$I$129,'Investment Data'!$P$3:$P$129,Analysis!$Z52,'Investment Data'!$C$3:$C$129,Analysis!$AD$38)+SUMIFS('Investment Data'!$K$3:$K$129,'Investment Data'!$P$3:$P$129,Analysis!$Z52,'Investment Data'!$C$3:$C$129,Analysis!$AD$38)</f>
        <v>0</v>
      </c>
      <c r="AE52" s="211">
        <f ca="1">SUMIFS('Investment Data'!$G$3:$G$129,'Investment Data'!$P$3:$P$129,Analysis!$Z52,'Investment Data'!$C$3:$C$129,Analysis!$AD$38)</f>
        <v>0</v>
      </c>
      <c r="AF52" s="219">
        <f t="shared" ca="1" si="2"/>
        <v>0</v>
      </c>
      <c r="AG52" s="211">
        <f ca="1">SUMIFS('Investment Data'!$I$3:$I$129,'Investment Data'!$P$3:$P$129,Analysis!$Z52,'Investment Data'!$C$3:$C$129,Analysis!$AG$38)+SUMIFS('Investment Data'!$K$3:$K$129,'Investment Data'!$P$3:$P$129,Analysis!$Z52,'Investment Data'!$C$3:$C$129,Analysis!$AG$38)</f>
        <v>0</v>
      </c>
      <c r="AH52" s="211">
        <f ca="1">SUMIFS('Investment Data'!$G$3:$G$129,'Investment Data'!$P$3:$P$129,Analysis!$Z52,'Investment Data'!$C$3:$C$129,Analysis!$AG$38)</f>
        <v>0</v>
      </c>
      <c r="AI52" s="219">
        <f t="shared" ca="1" si="3"/>
        <v>0</v>
      </c>
      <c r="AJ52" s="211">
        <f ca="1">SUMIFS('Investment Data'!$I$3:$I$129,'Investment Data'!$P$3:$P$129,Analysis!$Z52,'Investment Data'!$C$3:$C$129,Analysis!$AJ$38)+SUMIFS('Investment Data'!$K$3:$K$129,'Investment Data'!$P$3:$P$129,Analysis!$Z52,'Investment Data'!$C$3:$C$129,Analysis!$AJ$38)</f>
        <v>0</v>
      </c>
      <c r="AK52" s="211">
        <f ca="1">SUMIFS('Investment Data'!$G$3:$G$129,'Investment Data'!$P$3:$P$129,Analysis!$Z52,'Investment Data'!$C$3:$C$129,Analysis!$AJ$38)</f>
        <v>0</v>
      </c>
      <c r="AL52" s="222">
        <f t="shared" ca="1" si="4"/>
        <v>0</v>
      </c>
    </row>
    <row r="53" spans="8:38">
      <c r="L53" s="54">
        <f>SUM($L$40:$L$52)</f>
        <v>477613</v>
      </c>
      <c r="P53">
        <f>SUM($P$40:$P$52)</f>
        <v>127</v>
      </c>
      <c r="S53" s="206">
        <f>SUM(S40:S52)</f>
        <v>562605</v>
      </c>
    </row>
    <row r="55" spans="8:38" ht="26.4">
      <c r="H55" s="33" t="s">
        <v>11</v>
      </c>
      <c r="I55" s="45" t="s">
        <v>174</v>
      </c>
      <c r="J55" s="45" t="s">
        <v>175</v>
      </c>
      <c r="K55" s="45" t="s">
        <v>176</v>
      </c>
      <c r="M55" s="33" t="s">
        <v>11</v>
      </c>
      <c r="N55" s="45" t="s">
        <v>174</v>
      </c>
      <c r="O55" s="45" t="s">
        <v>175</v>
      </c>
      <c r="P55" s="45" t="s">
        <v>176</v>
      </c>
      <c r="Q55" s="34" t="s">
        <v>169</v>
      </c>
      <c r="R55" s="34" t="s">
        <v>170</v>
      </c>
      <c r="S55" s="45" t="s">
        <v>178</v>
      </c>
    </row>
    <row r="56" spans="8:38" ht="30.75" customHeight="1">
      <c r="H56" s="10" t="s">
        <v>16</v>
      </c>
      <c r="I56" s="36">
        <f>COUNTIFS('Investment Data'!$O$3:$O$129,Analysis!I$55,'Investment Data'!$P$3:$P$129,Analysis!$H56)</f>
        <v>0</v>
      </c>
      <c r="J56" s="37">
        <f>(COUNTIFS('Investment Data'!$O$3:$O$129,Analysis!J$55,'Investment Data'!$P$3:$P$129,Analysis!$H56))+(COUNTIFS('Investment Data'!$O$3:$O$129,Analysis!J$55,'Investment Data'!$P$3:$P$129,Analysis!$H56))</f>
        <v>0</v>
      </c>
      <c r="K56" s="38">
        <f>(COUNTIFS('Investment Data'!$O$3:$O$129,Analysis!K$55,'Investment Data'!$P$3:$P$129,Analysis!$H56))+(COUNTIFS('Investment Data'!$O$3:$O$129,Analysis!K$55,'Investment Data'!$P$3:$P$129,Analysis!$H56))</f>
        <v>4</v>
      </c>
      <c r="M56" s="10" t="str">
        <f>Dashboard!$C$156</f>
        <v>Financials</v>
      </c>
      <c r="N56" s="36">
        <f>VLOOKUP($M56,$H$55:$K$68,2,0)</f>
        <v>5</v>
      </c>
      <c r="O56" s="37">
        <f>VLOOKUP($M56,$H$55:$K$68,3,0)</f>
        <v>6</v>
      </c>
      <c r="P56" s="38">
        <f>VLOOKUP($M56,$H$55:$K$68,4,0)</f>
        <v>14</v>
      </c>
      <c r="Q56" s="12">
        <f>COUNTIF('Investment Data'!$P:$P,Analysis!$M56)</f>
        <v>15</v>
      </c>
      <c r="R56" s="32">
        <f>$Q56-COUNTIFS('Investment Data'!$P$3:$P$129,Analysis!$M56,'Investment Data'!$D$3:$D$129,"&gt;1")</f>
        <v>14</v>
      </c>
      <c r="S56" s="91">
        <f>(SUMIFS('Investment Data'!$G:$G,'Investment Data'!$P:$P,$M56,'Investment Data'!$D:$D,"")-SUMIFS('Investment Data'!$I:$I,'Investment Data'!$P:$P,$M56,'Investment Data'!$D:$D,""))/SUMIFS('Investment Data'!$I:$I,'Investment Data'!$P:$P,$M56,'Investment Data'!$D:$D,"")</f>
        <v>7.8765420527632871E-2</v>
      </c>
    </row>
    <row r="57" spans="8:38" ht="13.8">
      <c r="H57" s="11" t="s">
        <v>17</v>
      </c>
      <c r="I57" s="39">
        <f>COUNTIFS('Investment Data'!$O$3:$O$129,Analysis!I$55,'Investment Data'!$P$3:$P$129,Analysis!$H57)</f>
        <v>2</v>
      </c>
      <c r="J57" s="40">
        <f>0+((COUNTIFS('Investment Data'!$O$3:$O$129,Analysis!J$55,'Investment Data'!$P$3:$P$129,Analysis!$H57))+(COUNTIFS('Investment Data'!$O$3:$O$129,Analysis!J$55,'Investment Data'!$P$3:$P$129,Analysis!$H57)))</f>
        <v>0</v>
      </c>
      <c r="K57" s="41">
        <f>0+((COUNTIFS('Investment Data'!$O$3:$O$129,Analysis!K$55,'Investment Data'!$P$3:$P$129,Analysis!$H57))+(COUNTIFS('Investment Data'!$O$3:$O$129,Analysis!K$55,'Investment Data'!$P$3:$P$129,Analysis!$H57)))</f>
        <v>2</v>
      </c>
    </row>
    <row r="58" spans="8:38" ht="13.8">
      <c r="H58" s="11" t="s">
        <v>18</v>
      </c>
      <c r="I58" s="39">
        <f>COUNTIFS('Investment Data'!$O$3:$O$129,Analysis!I$55,'Investment Data'!$P$3:$P$129,Analysis!$H58)</f>
        <v>11</v>
      </c>
      <c r="J58" s="40">
        <f>0+((COUNTIFS('Investment Data'!$O$3:$O$129,Analysis!J$55,'Investment Data'!$P$3:$P$129,Analysis!$H58))+(COUNTIFS('Investment Data'!$O$3:$O$129,Analysis!J$55,'Investment Data'!$P$3:$P$129,Analysis!$H58)))</f>
        <v>12</v>
      </c>
      <c r="K58" s="41">
        <f>0+((COUNTIFS('Investment Data'!$O$3:$O$129,Analysis!K$55,'Investment Data'!$P$3:$P$129,Analysis!$H58))+(COUNTIFS('Investment Data'!$O$3:$O$129,Analysis!K$55,'Investment Data'!$P$3:$P$129,Analysis!$H58)))</f>
        <v>20</v>
      </c>
    </row>
    <row r="59" spans="8:38" ht="13.8">
      <c r="H59" s="11" t="s">
        <v>19</v>
      </c>
      <c r="I59" s="39">
        <f>COUNTIFS('Investment Data'!$O$3:$O$129,Analysis!I$55,'Investment Data'!$P$3:$P$129,Analysis!$H59)</f>
        <v>9</v>
      </c>
      <c r="J59" s="40">
        <f>0+((COUNTIFS('Investment Data'!$O$3:$O$129,Analysis!J$55,'Investment Data'!$P$3:$P$129,Analysis!$H59))+(COUNTIFS('Investment Data'!$O$3:$O$129,Analysis!J$55,'Investment Data'!$P$3:$P$129,Analysis!$H59)))</f>
        <v>8</v>
      </c>
      <c r="K59" s="41">
        <f>0+((COUNTIFS('Investment Data'!$O$3:$O$129,Analysis!K$55,'Investment Data'!$P$3:$P$129,Analysis!$H59))+(COUNTIFS('Investment Data'!$O$3:$O$129,Analysis!K$55,'Investment Data'!$P$3:$P$129,Analysis!$H59)))</f>
        <v>16</v>
      </c>
      <c r="M59" s="35" t="s">
        <v>179</v>
      </c>
      <c r="N59" s="35" t="s">
        <v>174</v>
      </c>
      <c r="O59" s="35" t="s">
        <v>178</v>
      </c>
      <c r="P59" s="35" t="s">
        <v>175</v>
      </c>
      <c r="Q59" s="35" t="s">
        <v>178</v>
      </c>
      <c r="R59" s="35" t="s">
        <v>176</v>
      </c>
      <c r="S59" s="35" t="s">
        <v>178</v>
      </c>
    </row>
    <row r="60" spans="8:38" ht="13.8">
      <c r="H60" s="11" t="s">
        <v>22</v>
      </c>
      <c r="I60" s="39">
        <f>COUNTIFS('Investment Data'!$O$3:$O$129,Analysis!I$55,'Investment Data'!$P$3:$P$129,Analysis!$H60)</f>
        <v>6</v>
      </c>
      <c r="J60" s="40">
        <f>0+((COUNTIFS('Investment Data'!$O$3:$O$129,Analysis!J$55,'Investment Data'!$P$3:$P$129,Analysis!$H60))+(COUNTIFS('Investment Data'!$O$3:$O$129,Analysis!J$55,'Investment Data'!$P$3:$P$129,Analysis!$H60)))</f>
        <v>6</v>
      </c>
      <c r="K60" s="41">
        <f>0+((COUNTIFS('Investment Data'!$O$3:$O$129,Analysis!K$55,'Investment Data'!$P$3:$P$129,Analysis!$H60))+(COUNTIFS('Investment Data'!$O$3:$O$129,Analysis!K$55,'Investment Data'!$P$3:$P$129,Analysis!$H60)))</f>
        <v>14</v>
      </c>
      <c r="M60" s="50">
        <v>1</v>
      </c>
      <c r="N60" t="str">
        <f t="array" ref="N60">IF(ISERROR(INDEX('Investment Data'!$A$3:$A$129,MATCH(SMALL(IF('Investment Data'!$O$3:$O$129="High Risk",'Investment Data'!$N$3:$N$129),Analysis!$N67),'Investment Data'!$N$3:$N$129,0))),"",(INDEX('Investment Data'!$A$3:$A$129,MATCH(SMALL(IF('Investment Data'!$O$3:$O$129="High Risk",'Investment Data'!$N$3:$N$129),Analysis!$N67),'Investment Data'!$N$3:$N$129,0))))</f>
        <v>MAR</v>
      </c>
      <c r="O60" s="46">
        <f>VLOOKUP($N60,'Investment Data'!$A$2:$N$129,14,0)</f>
        <v>-0.52848722986247543</v>
      </c>
      <c r="P60" t="str">
        <f t="array" ref="P60">IF(ISERROR(INDEX('Investment Data'!$A$3:$A$129,MATCH(LARGE(IF('Investment Data'!$O$3:$O$129="Medium Risk",'Investment Data'!$N$3:$N$129),Analysis!$M60),'Investment Data'!$N$3:$N$129,0))),"",(INDEX('Investment Data'!$A$3:$A$129,MATCH(LARGE(IF('Investment Data'!$O$3:$O$129="Medium Risk",'Investment Data'!$N$3:$N$129),Analysis!$M60),'Investment Data'!$N$3:$N$129,0))))</f>
        <v>WMT</v>
      </c>
      <c r="Q60" s="46">
        <f>VLOOKUP($P60,'Investment Data'!$A$2:$N$129,14,0)</f>
        <v>0.2418645966988115</v>
      </c>
      <c r="R60" t="str">
        <f t="array" ref="R60">IF(ISERROR(INDEX('Investment Data'!$A$3:$A$129,MATCH(LARGE(IF('Investment Data'!$O$3:$O$129="Low Risk",'Investment Data'!$N$3:$N$129),Analysis!$M60),'Investment Data'!$N$3:$N$129,0))),"",(INDEX('Investment Data'!$A$3:$A$129,MATCH(LARGE(IF('Investment Data'!$O$3:$O$129="Low Risk",'Investment Data'!$N$3:$N$129),Analysis!$M60),'Investment Data'!$N$3:$N$129,0))))</f>
        <v>IRM</v>
      </c>
      <c r="S60" s="46">
        <f>VLOOKUP($R60,'Investment Data'!$A$2:$N$129,14,0)</f>
        <v>2.1526337302233465</v>
      </c>
    </row>
    <row r="61" spans="8:38" ht="13.8">
      <c r="H61" s="11" t="s">
        <v>24</v>
      </c>
      <c r="I61" s="39">
        <f>COUNTIFS('Investment Data'!$O$3:$O$129,Analysis!I$55,'Investment Data'!$P$3:$P$129,Analysis!$H61)</f>
        <v>0</v>
      </c>
      <c r="J61" s="40">
        <f>0+((COUNTIFS('Investment Data'!$O$3:$O$129,Analysis!J$55,'Investment Data'!$P$3:$P$129,Analysis!$H61))+(COUNTIFS('Investment Data'!$O$3:$O$129,Analysis!J$55,'Investment Data'!$P$3:$P$129,Analysis!$H61)))</f>
        <v>8</v>
      </c>
      <c r="K61" s="41">
        <f>0+((COUNTIFS('Investment Data'!$O$3:$O$129,Analysis!K$55,'Investment Data'!$P$3:$P$129,Analysis!$H61))+(COUNTIFS('Investment Data'!$O$3:$O$129,Analysis!K$55,'Investment Data'!$P$3:$P$129,Analysis!$H61)))</f>
        <v>4</v>
      </c>
      <c r="M61" s="50">
        <v>2</v>
      </c>
      <c r="N61" t="str">
        <f t="array" ref="N61">IF(ISERROR(INDEX('Investment Data'!$A$3:$A$129,MATCH(SMALL(IF('Investment Data'!$O$3:$O$129="High Risk",'Investment Data'!$N$3:$N$129),Analysis!$N68),'Investment Data'!$N$3:$N$129,0))),"",(INDEX('Investment Data'!$A$3:$A$129,MATCH(SMALL(IF('Investment Data'!$O$3:$O$129="High Risk",'Investment Data'!$N$3:$N$129),Analysis!$N68),'Investment Data'!$N$3:$N$129,0))))</f>
        <v>AAPL</v>
      </c>
      <c r="O61" s="46">
        <f>VLOOKUP($N61,'Investment Data'!$A$2:$N$129,14,0)</f>
        <v>-0.52556563700985348</v>
      </c>
      <c r="P61" t="str">
        <f t="array" ref="P61">IF(ISERROR(INDEX('Investment Data'!$A$3:$A$129,MATCH(LARGE(IF('Investment Data'!$O$3:$O$129="Medium Risk",'Investment Data'!$N$3:$N$129),Analysis!$M61),'Investment Data'!$N$3:$N$129,0))),"",(INDEX('Investment Data'!$A$3:$A$129,MATCH(LARGE(IF('Investment Data'!$O$3:$O$129="Medium Risk",'Investment Data'!$N$3:$N$129),Analysis!$M61),'Investment Data'!$N$3:$N$129,0))))</f>
        <v>TAP</v>
      </c>
      <c r="Q61" s="46">
        <f>VLOOKUP($P61,'Investment Data'!$A$2:$N$129,14,0)</f>
        <v>0.23843845184036422</v>
      </c>
      <c r="R61" t="str">
        <f t="array" ref="R61">IF(ISERROR(INDEX('Investment Data'!$A$3:$A$129,MATCH(LARGE(IF('Investment Data'!$O$3:$O$129="Low Risk",'Investment Data'!$N$3:$N$129),Analysis!$M61),'Investment Data'!$N$3:$N$129,0))),"",(INDEX('Investment Data'!$A$3:$A$129,MATCH(LARGE(IF('Investment Data'!$O$3:$O$129="Low Risk",'Investment Data'!$N$3:$N$129),Analysis!$M61),'Investment Data'!$N$3:$N$129,0))))</f>
        <v>OHI</v>
      </c>
      <c r="S61" s="46">
        <f>VLOOKUP($R61,'Investment Data'!$A$2:$N$129,14,0)</f>
        <v>2.1037013735975671</v>
      </c>
    </row>
    <row r="62" spans="8:38" ht="13.8">
      <c r="H62" s="11" t="s">
        <v>29</v>
      </c>
      <c r="I62" s="39">
        <f>COUNTIFS('Investment Data'!$O$3:$O$129,Analysis!I$55,'Investment Data'!$P$3:$P$129,Analysis!$H62)</f>
        <v>5</v>
      </c>
      <c r="J62" s="40">
        <f>0+((COUNTIFS('Investment Data'!$O$3:$O$129,Analysis!J$55,'Investment Data'!$P$3:$P$129,Analysis!$H62))+(COUNTIFS('Investment Data'!$O$3:$O$129,Analysis!J$55,'Investment Data'!$P$3:$P$129,Analysis!$H62)))</f>
        <v>6</v>
      </c>
      <c r="K62" s="41">
        <f>0+((COUNTIFS('Investment Data'!$O$3:$O$129,Analysis!K$55,'Investment Data'!$P$3:$P$129,Analysis!$H62))+(COUNTIFS('Investment Data'!$O$3:$O$129,Analysis!K$55,'Investment Data'!$P$3:$P$129,Analysis!$H62)))</f>
        <v>14</v>
      </c>
      <c r="M62" s="51">
        <v>3</v>
      </c>
      <c r="N62" t="str">
        <f t="array" ref="N62">IF(ISERROR(INDEX('Investment Data'!$A$3:$A$129,MATCH(SMALL(IF('Investment Data'!$O$3:$O$129="High Risk",'Investment Data'!$N$3:$N$129),Analysis!$N69),'Investment Data'!$N$3:$N$129,0))),"",(INDEX('Investment Data'!$A$3:$A$129,MATCH(SMALL(IF('Investment Data'!$O$3:$O$129="High Risk",'Investment Data'!$N$3:$N$129),Analysis!$N69),'Investment Data'!$N$3:$N$129,0))))</f>
        <v>PSA</v>
      </c>
      <c r="O62" s="46">
        <f>VLOOKUP($N62,'Investment Data'!$A$2:$N$129,14,0)</f>
        <v>-0.47164578751075831</v>
      </c>
      <c r="P62" t="str">
        <f t="array" ref="P62">IF(ISERROR(INDEX('Investment Data'!$A$3:$A$129,MATCH(LARGE(IF('Investment Data'!$O$3:$O$129="Medium Risk",'Investment Data'!$N$3:$N$129),Analysis!$M62),'Investment Data'!$N$3:$N$129,0))),"",(INDEX('Investment Data'!$A$3:$A$129,MATCH(LARGE(IF('Investment Data'!$O$3:$O$129="Medium Risk",'Investment Data'!$N$3:$N$129),Analysis!$M62),'Investment Data'!$N$3:$N$129,0))))</f>
        <v>O</v>
      </c>
      <c r="Q62" s="46">
        <f>VLOOKUP($P62,'Investment Data'!$A$2:$N$129,14,0)</f>
        <v>0.22272847507978591</v>
      </c>
      <c r="R62" t="str">
        <f t="array" ref="R62">IF(ISERROR(INDEX('Investment Data'!$A$3:$A$129,MATCH(LARGE(IF('Investment Data'!$O$3:$O$129="Low Risk",'Investment Data'!$N$3:$N$129),Analysis!$M62),'Investment Data'!$N$3:$N$129,0))),"",(INDEX('Investment Data'!$A$3:$A$129,MATCH(LARGE(IF('Investment Data'!$O$3:$O$129="Low Risk",'Investment Data'!$N$3:$N$129),Analysis!$M62),'Investment Data'!$N$3:$N$129,0))))</f>
        <v>STAG</v>
      </c>
      <c r="S62" s="46">
        <f>VLOOKUP($R62,'Investment Data'!$A$2:$N$129,14,0)</f>
        <v>1.7205882352941178</v>
      </c>
    </row>
    <row r="63" spans="8:38" ht="13.8">
      <c r="H63" s="11" t="s">
        <v>30</v>
      </c>
      <c r="I63" s="39">
        <f>COUNTIFS('Investment Data'!$O$3:$O$129,Analysis!I$55,'Investment Data'!$P$3:$P$129,Analysis!$H63)</f>
        <v>2</v>
      </c>
      <c r="J63" s="40">
        <f>0+((COUNTIFS('Investment Data'!$O$3:$O$129,Analysis!J$55,'Investment Data'!$P$3:$P$129,Analysis!$H63))+(COUNTIFS('Investment Data'!$O$3:$O$129,Analysis!J$55,'Investment Data'!$P$3:$P$129,Analysis!$H63)))</f>
        <v>4</v>
      </c>
      <c r="K63" s="41">
        <f>0+((COUNTIFS('Investment Data'!$O$3:$O$129,Analysis!K$55,'Investment Data'!$P$3:$P$129,Analysis!$H63))+(COUNTIFS('Investment Data'!$O$3:$O$129,Analysis!K$55,'Investment Data'!$P$3:$P$129,Analysis!$H63)))</f>
        <v>18</v>
      </c>
      <c r="M63" s="51">
        <v>4</v>
      </c>
      <c r="N63" t="str">
        <f t="array" ref="N63">IF(ISERROR(INDEX('Investment Data'!$A$3:$A$129,MATCH(SMALL(IF('Investment Data'!$O$3:$O$129="High Risk",'Investment Data'!$N$3:$N$129),Analysis!$N70),'Investment Data'!$N$3:$N$129,0))),"",(INDEX('Investment Data'!$A$3:$A$129,MATCH(SMALL(IF('Investment Data'!$O$3:$O$129="High Risk",'Investment Data'!$N$3:$N$129),Analysis!$N70),'Investment Data'!$N$3:$N$129,0))))</f>
        <v>KMB</v>
      </c>
      <c r="O63" s="46">
        <f>VLOOKUP($N63,'Investment Data'!$A$2:$N$129,14,0)</f>
        <v>-0.39842995933076358</v>
      </c>
      <c r="P63" t="str">
        <f t="array" ref="P63">IF(ISERROR(INDEX('Investment Data'!$A$3:$A$129,MATCH(LARGE(IF('Investment Data'!$O$3:$O$129="Medium Risk",'Investment Data'!$N$3:$N$129),Analysis!$M63),'Investment Data'!$N$3:$N$129,0))),"",(INDEX('Investment Data'!$A$3:$A$129,MATCH(LARGE(IF('Investment Data'!$O$3:$O$129="Medium Risk",'Investment Data'!$N$3:$N$129),Analysis!$M63),'Investment Data'!$N$3:$N$129,0))))</f>
        <v>BMO</v>
      </c>
      <c r="Q63" s="46">
        <f>VLOOKUP($P63,'Investment Data'!$A$2:$N$129,14,0)</f>
        <v>0.20387742338961848</v>
      </c>
      <c r="R63" t="str">
        <f t="array" ref="R63">IF(ISERROR(INDEX('Investment Data'!$A$3:$A$129,MATCH(LARGE(IF('Investment Data'!$O$3:$O$129="Low Risk",'Investment Data'!$N$3:$N$129),Analysis!$M63),'Investment Data'!$N$3:$N$129,0))),"",(INDEX('Investment Data'!$A$3:$A$129,MATCH(LARGE(IF('Investment Data'!$O$3:$O$129="Low Risk",'Investment Data'!$N$3:$N$129),Analysis!$M63),'Investment Data'!$N$3:$N$129,0))))</f>
        <v>NNN</v>
      </c>
      <c r="S63" s="46">
        <f>VLOOKUP($R63,'Investment Data'!$A$2:$N$129,14,0)</f>
        <v>1.6627198472912879</v>
      </c>
    </row>
    <row r="64" spans="8:38" ht="13.8">
      <c r="H64" s="11" t="s">
        <v>33</v>
      </c>
      <c r="I64" s="39">
        <f>COUNTIFS('Investment Data'!$O$3:$O$129,Analysis!I$55,'Investment Data'!$P$3:$P$129,Analysis!$H64)</f>
        <v>4</v>
      </c>
      <c r="J64" s="40">
        <f>0+((COUNTIFS('Investment Data'!$O$3:$O$129,Analysis!J$55,'Investment Data'!$P$3:$P$129,Analysis!$H64))+(COUNTIFS('Investment Data'!$O$3:$O$129,Analysis!J$55,'Investment Data'!$P$3:$P$129,Analysis!$H64)))</f>
        <v>4</v>
      </c>
      <c r="K64" s="41">
        <f>0+((COUNTIFS('Investment Data'!$O$3:$O$129,Analysis!K$55,'Investment Data'!$P$3:$P$129,Analysis!$H64))+(COUNTIFS('Investment Data'!$O$3:$O$129,Analysis!K$55,'Investment Data'!$P$3:$P$129,Analysis!$H64)))</f>
        <v>10</v>
      </c>
      <c r="M64" s="51">
        <v>5</v>
      </c>
      <c r="N64" t="str">
        <f t="array" ref="N64">IF(ISERROR(INDEX('Investment Data'!$A$3:$A$129,MATCH(SMALL(IF('Investment Data'!$O$3:$O$129="High Risk",'Investment Data'!$N$3:$N$129),Analysis!$N71),'Investment Data'!$N$3:$N$129,0))),"",(INDEX('Investment Data'!$A$3:$A$129,MATCH(SMALL(IF('Investment Data'!$O$3:$O$129="High Risk",'Investment Data'!$N$3:$N$129),Analysis!$N71),'Investment Data'!$N$3:$N$129,0))))</f>
        <v>CVS</v>
      </c>
      <c r="O64" s="46">
        <f>VLOOKUP($N64,'Investment Data'!$A$2:$N$129,14,0)</f>
        <v>-0.39112529011044878</v>
      </c>
      <c r="P64" t="str">
        <f t="array" ref="P64">IF(ISERROR(INDEX('Investment Data'!$A$3:$A$129,MATCH(LARGE(IF('Investment Data'!$O$3:$O$129="Medium Risk",'Investment Data'!$N$3:$N$129),Analysis!$M64),'Investment Data'!$N$3:$N$129,0))),"",(INDEX('Investment Data'!$A$3:$A$129,MATCH(LARGE(IF('Investment Data'!$O$3:$O$129="Medium Risk",'Investment Data'!$N$3:$N$129),Analysis!$M64),'Investment Data'!$N$3:$N$129,0))))</f>
        <v>PSX</v>
      </c>
      <c r="Q64" s="46">
        <f>VLOOKUP($P64,'Investment Data'!$A$2:$N$129,14,0)</f>
        <v>0.18753855644663778</v>
      </c>
      <c r="R64" t="str">
        <f t="array" ref="R64">IF(ISERROR(INDEX('Investment Data'!$A$3:$A$129,MATCH(LARGE(IF('Investment Data'!$O$3:$O$129="Low Risk",'Investment Data'!$N$3:$N$129),Analysis!$M64),'Investment Data'!$N$3:$N$129,0))),"",(INDEX('Investment Data'!$A$3:$A$129,MATCH(LARGE(IF('Investment Data'!$O$3:$O$129="Low Risk",'Investment Data'!$N$3:$N$129),Analysis!$M64),'Investment Data'!$N$3:$N$129,0))))</f>
        <v>KMI</v>
      </c>
      <c r="S64" s="46">
        <f>VLOOKUP($R64,'Investment Data'!$A$2:$N$129,14,0)</f>
        <v>1.4958949096880132</v>
      </c>
    </row>
    <row r="65" spans="8:25" ht="14.4" thickBot="1">
      <c r="H65" s="11" t="s">
        <v>35</v>
      </c>
      <c r="I65" s="39">
        <f>COUNTIFS('Investment Data'!$O$3:$O$129,Analysis!I$55,'Investment Data'!$P$3:$P$129,Analysis!$H65)</f>
        <v>1</v>
      </c>
      <c r="J65" s="40">
        <f>0+((COUNTIFS('Investment Data'!$O$3:$O$129,Analysis!J$55,'Investment Data'!$P$3:$P$129,Analysis!$H65))+(COUNTIFS('Investment Data'!$O$3:$O$129,Analysis!J$55,'Investment Data'!$P$3:$P$129,Analysis!$H65)))</f>
        <v>0</v>
      </c>
      <c r="K65" s="41">
        <f>0+((COUNTIFS('Investment Data'!$O$3:$O$129,Analysis!K$55,'Investment Data'!$P$3:$P$129,Analysis!$H65))+(COUNTIFS('Investment Data'!$O$3:$O$129,Analysis!K$55,'Investment Data'!$P$3:$P$129,Analysis!$H65)))</f>
        <v>4</v>
      </c>
    </row>
    <row r="66" spans="8:25" ht="15" thickBot="1">
      <c r="H66" s="11" t="s">
        <v>38</v>
      </c>
      <c r="I66" s="39">
        <f>COUNTIFS('Investment Data'!$O$3:$O$129,Analysis!I$55,'Investment Data'!$P$3:$P$129,Analysis!$H66)</f>
        <v>2</v>
      </c>
      <c r="J66" s="40">
        <f>0+((COUNTIFS('Investment Data'!$O$3:$O$129,Analysis!J$55,'Investment Data'!$P$3:$P$129,Analysis!$H66))+(COUNTIFS('Investment Data'!$O$3:$O$129,Analysis!J$55,'Investment Data'!$P$3:$P$129,Analysis!$H66)))</f>
        <v>2</v>
      </c>
      <c r="K66" s="41">
        <f>0+((COUNTIFS('Investment Data'!$O$3:$O$129,Analysis!K$55,'Investment Data'!$P$3:$P$129,Analysis!$H66))+(COUNTIFS('Investment Data'!$O$3:$O$129,Analysis!K$55,'Investment Data'!$P$3:$P$129,Analysis!$H66)))</f>
        <v>6</v>
      </c>
      <c r="N66" s="35" t="s">
        <v>179</v>
      </c>
      <c r="T66" s="92" t="s">
        <v>180</v>
      </c>
      <c r="U66" s="183" t="s">
        <v>178</v>
      </c>
      <c r="V66" s="185" t="s">
        <v>219</v>
      </c>
      <c r="W66" s="186" t="s">
        <v>178</v>
      </c>
      <c r="X66" s="184" t="s">
        <v>181</v>
      </c>
      <c r="Y66" s="93" t="s">
        <v>178</v>
      </c>
    </row>
    <row r="67" spans="8:25" ht="14.4">
      <c r="H67" s="11" t="s">
        <v>77</v>
      </c>
      <c r="I67" s="39">
        <f>COUNTIFS('Investment Data'!$O$3:$O$129,Analysis!I$55,'Investment Data'!$P$3:$P$129,Analysis!$H67)</f>
        <v>0</v>
      </c>
      <c r="J67" s="40">
        <f>0+((COUNTIFS('Investment Data'!$O$3:$O$129,Analysis!J$55,'Investment Data'!$P$3:$P$129,Analysis!$H67))+(COUNTIFS('Investment Data'!$O$3:$O$129,Analysis!J$55,'Investment Data'!$P$3:$P$129,Analysis!$H67)))</f>
        <v>0</v>
      </c>
      <c r="K67" s="41">
        <f>0+((COUNTIFS('Investment Data'!$O$3:$O$129,Analysis!K$55,'Investment Data'!$P$3:$P$129,Analysis!$H67))+(COUNTIFS('Investment Data'!$O$3:$O$129,Analysis!K$55,'Investment Data'!$P$3:$P$129,Analysis!$H67)))</f>
        <v>2</v>
      </c>
      <c r="N67" s="50">
        <v>1</v>
      </c>
      <c r="T67" s="94" t="str">
        <f>IF(ISERROR(INDEX('Investment Data'!$A$3:$A$129,MATCH(SMALL(IF('Investment Data'!$O$3:$O$129="High Risk",'Investment Data'!$N$3:$N$129),Analysis!$N67),'Investment Data'!$N$3:$N$129,0))),"",(INDEX('Investment Data'!$A$3:$A$129,MATCH(SMALL(IF('Investment Data'!$O$3:$O$129="High Risk",'Investment Data'!$N$3:$N$129),Analysis!$N67),'Investment Data'!$N$3:$N$129,0))))</f>
        <v>MAR</v>
      </c>
      <c r="U67" s="95">
        <f>VLOOKUP($T67,'Investment Data'!$A$2:$N$129,14,0)</f>
        <v>-0.52848722986247543</v>
      </c>
      <c r="V67" s="195" t="str">
        <f t="array" ref="V67">IF(ISERROR(INDEX('Investment Data'!$A$3:$A$129,MATCH(LARGE(IF('Investment Data'!$O$3:$O$129="Medium Risk",'Investment Data'!$N$3:$N$129),Analysis!$M60),'Investment Data'!$N$3:$N$129,0))),"",(INDEX('Investment Data'!$A$3:$A$129,MATCH(LARGE(IF('Investment Data'!$O$3:$O$129="Medium Risk",'Investment Data'!$N$3:$N$129),Analysis!$M60),'Investment Data'!$N$3:$N$129,0))))</f>
        <v>WMT</v>
      </c>
      <c r="W67" s="194">
        <f>VLOOKUP($V67,'Investment Data'!$A$2:$N$129,14,0)</f>
        <v>0.2418645966988115</v>
      </c>
      <c r="X67" s="96" t="str">
        <f t="array" ref="X67">IF(ISERROR(INDEX('Investment Data'!$A$3:$A$129,MATCH(LARGE(IF('Investment Data'!$O$3:$O$129="Low Risk",'Investment Data'!$N$3:$N$129),Analysis!$N67),'Investment Data'!$N$3:$N$129,0))),"",(INDEX('Investment Data'!$A$3:$A$129,MATCH(LARGE(IF('Investment Data'!$O$3:$O$129="Low Risk",'Investment Data'!$N$3:$N$129),Analysis!$N67),'Investment Data'!$N$3:$N$129,0))))</f>
        <v>IRM</v>
      </c>
      <c r="Y67" s="97">
        <f>VLOOKUP($X67,'Investment Data'!$A$2:$N$129,14,0)</f>
        <v>2.1526337302233465</v>
      </c>
    </row>
    <row r="68" spans="8:25" ht="14.4">
      <c r="H68" s="11" t="s">
        <v>80</v>
      </c>
      <c r="I68" s="42">
        <f>COUNTIFS('Investment Data'!$O$3:$O$129,Analysis!I$55,'Investment Data'!$P$3:$P$129,Analysis!$H68)</f>
        <v>1</v>
      </c>
      <c r="J68" s="43">
        <f>0+((COUNTIFS('Investment Data'!$O$3:$O$129,Analysis!J$55,'Investment Data'!$P$3:$P$129,Analysis!$H68))+(COUNTIFS('Investment Data'!$O$3:$O$129,Analysis!J$55,'Investment Data'!$P$3:$P$129,Analysis!$H68)))</f>
        <v>0</v>
      </c>
      <c r="K68" s="44">
        <f>0+((COUNTIFS('Investment Data'!$O$3:$O$129,Analysis!K$55,'Investment Data'!$P$3:$P$129,Analysis!$H68))+(COUNTIFS('Investment Data'!$O$3:$O$129,Analysis!K$55,'Investment Data'!$P$3:$P$129,Analysis!$H68)))</f>
        <v>4</v>
      </c>
      <c r="N68" s="50">
        <v>2</v>
      </c>
      <c r="T68" s="94" t="str">
        <f t="array" ref="T68">IF(ISERROR(INDEX('Investment Data'!$A$3:$A$129,MATCH(SMALL(IF('Investment Data'!$O$3:$O$129="High Risk",'Investment Data'!$N$3:$N$129),Analysis!$N68),'Investment Data'!$N$3:$N$129,0))),"",(INDEX('Investment Data'!$A$3:$A$129,MATCH(SMALL(IF('Investment Data'!$O$3:$O$129="High Risk",'Investment Data'!$N$3:$N$129),Analysis!$N68),'Investment Data'!$N$3:$N$129,0))))</f>
        <v>AAPL</v>
      </c>
      <c r="U68" s="95">
        <f>VLOOKUP($T68,'Investment Data'!$A$2:$N$129,14,0)</f>
        <v>-0.52556563700985348</v>
      </c>
      <c r="V68" s="195" t="str">
        <f t="array" ref="V68">IF(ISERROR(INDEX('Investment Data'!$A$3:$A$129,MATCH(LARGE(IF('Investment Data'!$O$3:$O$129="Medium Risk",'Investment Data'!$N$3:$N$129),Analysis!$M61),'Investment Data'!$N$3:$N$129,0))),"",(INDEX('Investment Data'!$A$3:$A$129,MATCH(LARGE(IF('Investment Data'!$O$3:$O$129="Medium Risk",'Investment Data'!$N$3:$N$129),Analysis!$M61),'Investment Data'!$N$3:$N$129,0))))</f>
        <v>TAP</v>
      </c>
      <c r="W68" s="194">
        <f>VLOOKUP($V68,'Investment Data'!$A$2:$N$129,14,0)</f>
        <v>0.23843845184036422</v>
      </c>
      <c r="X68" s="96" t="str">
        <f t="array" ref="X68">IF(ISERROR(INDEX('Investment Data'!$A$3:$A$129,MATCH(LARGE(IF('Investment Data'!$O$3:$O$129="Low Risk",'Investment Data'!$N$3:$N$129),Analysis!$N68),'Investment Data'!$N$3:$N$129,0))),"",(INDEX('Investment Data'!$A$3:$A$129,MATCH(LARGE(IF('Investment Data'!$O$3:$O$129="Low Risk",'Investment Data'!$N$3:$N$129),Analysis!$N68),'Investment Data'!$N$3:$N$129,0))))</f>
        <v>OHI</v>
      </c>
      <c r="Y68" s="97">
        <f>VLOOKUP($X68,'Investment Data'!$A$2:$N$129,14,0)</f>
        <v>2.1037013735975671</v>
      </c>
    </row>
    <row r="69" spans="8:25" ht="14.4">
      <c r="H69">
        <f>COUNTA($H$56:$H$68)</f>
        <v>13</v>
      </c>
      <c r="N69" s="51">
        <v>3</v>
      </c>
      <c r="T69" s="94" t="str">
        <f t="array" ref="T69">IF(ISERROR(INDEX('Investment Data'!$A$3:$A$129,MATCH(SMALL(IF('Investment Data'!$O$3:$O$129="High Risk",'Investment Data'!$N$3:$N$129),Analysis!$N69),'Investment Data'!$N$3:$N$129,0))),"",(INDEX('Investment Data'!$A$3:$A$129,MATCH(SMALL(IF('Investment Data'!$O$3:$O$129="High Risk",'Investment Data'!$N$3:$N$129),Analysis!$N69),'Investment Data'!$N$3:$N$129,0))))</f>
        <v>PSA</v>
      </c>
      <c r="U69" s="95">
        <f>VLOOKUP($T69,'Investment Data'!$A$2:$N$129,14,0)</f>
        <v>-0.47164578751075831</v>
      </c>
      <c r="V69" s="195" t="str">
        <f t="array" ref="V69">IF(ISERROR(INDEX('Investment Data'!$A$3:$A$129,MATCH(LARGE(IF('Investment Data'!$O$3:$O$129="Medium Risk",'Investment Data'!$N$3:$N$129),Analysis!$M62),'Investment Data'!$N$3:$N$129,0))),"",(INDEX('Investment Data'!$A$3:$A$129,MATCH(LARGE(IF('Investment Data'!$O$3:$O$129="Medium Risk",'Investment Data'!$N$3:$N$129),Analysis!$M62),'Investment Data'!$N$3:$N$129,0))))</f>
        <v>O</v>
      </c>
      <c r="W69" s="194">
        <f>VLOOKUP($V69,'Investment Data'!$A$2:$N$129,14,0)</f>
        <v>0.22272847507978591</v>
      </c>
      <c r="X69" s="96" t="str">
        <f t="array" ref="X69">IF(ISERROR(INDEX('Investment Data'!$A$3:$A$129,MATCH(LARGE(IF('Investment Data'!$O$3:$O$129="Low Risk",'Investment Data'!$N$3:$N$129),Analysis!$N69),'Investment Data'!$N$3:$N$129,0))),"",(INDEX('Investment Data'!$A$3:$A$129,MATCH(LARGE(IF('Investment Data'!$O$3:$O$129="Low Risk",'Investment Data'!$N$3:$N$129),Analysis!$N69),'Investment Data'!$N$3:$N$129,0))))</f>
        <v>STAG</v>
      </c>
      <c r="Y69" s="97">
        <f>VLOOKUP($X69,'Investment Data'!$A$2:$N$129,14,0)</f>
        <v>1.7205882352941178</v>
      </c>
    </row>
    <row r="70" spans="8:25" ht="15" thickBot="1">
      <c r="N70" s="51">
        <v>4</v>
      </c>
      <c r="T70" s="94" t="str">
        <f t="array" ref="T70">IF(ISERROR(INDEX('Investment Data'!$A$3:$A$129,MATCH(SMALL(IF('Investment Data'!$O$3:$O$129="High Risk",'Investment Data'!$N$3:$N$129),Analysis!$N70),'Investment Data'!$N$3:$N$129,0))),"",(INDEX('Investment Data'!$A$3:$A$129,MATCH(SMALL(IF('Investment Data'!$O$3:$O$129="High Risk",'Investment Data'!$N$3:$N$129),Analysis!$N70),'Investment Data'!$N$3:$N$129,0))))</f>
        <v>KMB</v>
      </c>
      <c r="U70" s="95">
        <f>VLOOKUP($T70,'Investment Data'!$A$2:$N$129,14,0)</f>
        <v>-0.39842995933076358</v>
      </c>
      <c r="V70" s="195" t="str">
        <f t="array" ref="V70">IF(ISERROR(INDEX('Investment Data'!$A$3:$A$129,MATCH(LARGE(IF('Investment Data'!$O$3:$O$129="Medium Risk",'Investment Data'!$N$3:$N$129),Analysis!$M63),'Investment Data'!$N$3:$N$129,0))),"",(INDEX('Investment Data'!$A$3:$A$129,MATCH(LARGE(IF('Investment Data'!$O$3:$O$129="Medium Risk",'Investment Data'!$N$3:$N$129),Analysis!$M63),'Investment Data'!$N$3:$N$129,0))))</f>
        <v>BMO</v>
      </c>
      <c r="W70" s="194">
        <f>VLOOKUP($V70,'Investment Data'!$A$2:$N$129,14,0)</f>
        <v>0.20387742338961848</v>
      </c>
      <c r="X70" s="96" t="str">
        <f t="array" ref="X70">IF(ISERROR(INDEX('Investment Data'!$A$3:$A$129,MATCH(LARGE(IF('Investment Data'!$O$3:$O$129="Low Risk",'Investment Data'!$N$3:$N$129),Analysis!$N70),'Investment Data'!$N$3:$N$129,0))),"",(INDEX('Investment Data'!$A$3:$A$129,MATCH(LARGE(IF('Investment Data'!$O$3:$O$129="Low Risk",'Investment Data'!$N$3:$N$129),Analysis!$N70),'Investment Data'!$N$3:$N$129,0))))</f>
        <v>NNN</v>
      </c>
      <c r="Y70" s="97">
        <f>VLOOKUP($X70,'Investment Data'!$A$2:$N$129,14,0)</f>
        <v>1.6627198472912879</v>
      </c>
    </row>
    <row r="71" spans="8:25" ht="16.2" thickBot="1">
      <c r="H71" s="52" t="s">
        <v>11</v>
      </c>
      <c r="I71" s="80" t="s">
        <v>4</v>
      </c>
      <c r="J71" s="80" t="s">
        <v>201</v>
      </c>
      <c r="K71" s="79" t="s">
        <v>202</v>
      </c>
      <c r="N71" s="51">
        <v>5</v>
      </c>
      <c r="T71" s="94" t="str">
        <f t="array" ref="T71">IF(ISERROR(INDEX('Investment Data'!$A$3:$A$129,MATCH(SMALL(IF('Investment Data'!$O$3:$O$129="High Risk",'Investment Data'!$N$3:$N$129),Analysis!$N71),'Investment Data'!$N$3:$N$129,0))),"",(INDEX('Investment Data'!$A$3:$A$129,MATCH(SMALL(IF('Investment Data'!$O$3:$O$129="High Risk",'Investment Data'!$N$3:$N$129),Analysis!$N71),'Investment Data'!$N$3:$N$129,0))))</f>
        <v>CVS</v>
      </c>
      <c r="U71" s="95">
        <f>VLOOKUP($T71,'Investment Data'!$A$2:$N$129,14,0)</f>
        <v>-0.39112529011044878</v>
      </c>
      <c r="V71" s="195" t="str">
        <f t="array" ref="V71">IF(ISERROR(INDEX('Investment Data'!$A$3:$A$129,MATCH(LARGE(IF('Investment Data'!$O$3:$O$129="Medium Risk",'Investment Data'!$N$3:$N$129),Analysis!$M64),'Investment Data'!$N$3:$N$129,0))),"",(INDEX('Investment Data'!$A$3:$A$129,MATCH(LARGE(IF('Investment Data'!$O$3:$O$129="Medium Risk",'Investment Data'!$N$3:$N$129),Analysis!$M64),'Investment Data'!$N$3:$N$129,0))))</f>
        <v>PSX</v>
      </c>
      <c r="W71" s="194">
        <f>VLOOKUP($V71,'Investment Data'!$A$2:$N$129,14,0)</f>
        <v>0.18753855644663778</v>
      </c>
      <c r="X71" s="96" t="str">
        <f t="array" ref="X71">IF(ISERROR(INDEX('Investment Data'!$A$3:$A$129,MATCH(LARGE(IF('Investment Data'!$O$3:$O$129="Low Risk",'Investment Data'!$N$3:$N$129),Analysis!$N71),'Investment Data'!$N$3:$N$129,0))),"",(INDEX('Investment Data'!$A$3:$A$129,MATCH(LARGE(IF('Investment Data'!$O$3:$O$129="Low Risk",'Investment Data'!$N$3:$N$129),Analysis!$N71),'Investment Data'!$N$3:$N$129,0))))</f>
        <v>KMI</v>
      </c>
      <c r="Y71" s="97">
        <f>VLOOKUP($X71,'Investment Data'!$A$2:$N$129,14,0)</f>
        <v>1.4958949096880132</v>
      </c>
    </row>
    <row r="72" spans="8:25" ht="16.5" customHeight="1" thickTop="1">
      <c r="H72" s="87" t="s">
        <v>16</v>
      </c>
      <c r="I72" s="81">
        <f>SUMIFS('Investment Data'!$G:$G,'Investment Data'!$P:$P,Analysis!$H72)</f>
        <v>24027</v>
      </c>
      <c r="J72" s="82">
        <f>SUMIFS('Investment Data'!$I$3:$I$129,'Investment Data'!$P$3:$P$129,Analysis!$H72)</f>
        <v>13170.11</v>
      </c>
      <c r="K72" s="83">
        <f>($I72-$J72)/$J72</f>
        <v>0.82435833869269115</v>
      </c>
    </row>
    <row r="73" spans="8:25" ht="14.4">
      <c r="H73" s="88" t="s">
        <v>17</v>
      </c>
      <c r="I73" s="81">
        <f>SUMIFS('Investment Data'!$G:$G,'Investment Data'!$P:$P,Analysis!$H73)</f>
        <v>15428</v>
      </c>
      <c r="J73" s="81">
        <f>SUMIFS('Investment Data'!$I$3:$I$129,'Investment Data'!$P$3:$P$129,Analysis!$H73)</f>
        <v>12110.650000000001</v>
      </c>
      <c r="K73" s="84">
        <f t="shared" ref="K73:K84" si="5">($I73-$J73)/$J73</f>
        <v>0.27392006209410708</v>
      </c>
      <c r="N73" s="35" t="s">
        <v>186</v>
      </c>
      <c r="O73" s="35" t="s">
        <v>204</v>
      </c>
      <c r="P73" s="35" t="s">
        <v>15</v>
      </c>
      <c r="Q73" s="35" t="s">
        <v>201</v>
      </c>
      <c r="R73" s="35" t="s">
        <v>188</v>
      </c>
      <c r="S73" s="35" t="s">
        <v>184</v>
      </c>
    </row>
    <row r="74" spans="8:25" ht="14.4">
      <c r="H74" s="88" t="s">
        <v>18</v>
      </c>
      <c r="I74" s="81">
        <f>SUMIFS('Investment Data'!$G:$G,'Investment Data'!$P:$P,Analysis!$H74)</f>
        <v>113059</v>
      </c>
      <c r="J74" s="81">
        <f>SUMIFS('Investment Data'!$I$3:$I$129,'Investment Data'!$P$3:$P$129,Analysis!$H74)</f>
        <v>96324.44</v>
      </c>
      <c r="K74" s="84">
        <f t="shared" si="5"/>
        <v>0.17373119428464881</v>
      </c>
      <c r="M74">
        <v>1</v>
      </c>
      <c r="N74" s="50" t="s">
        <v>187</v>
      </c>
      <c r="O74" s="55">
        <f ca="1">SUM($O$75:$O$78)</f>
        <v>562605</v>
      </c>
      <c r="P74" s="55">
        <f ca="1">SUM($P$75:$P$78)</f>
        <v>15876.306500000001</v>
      </c>
      <c r="Q74" s="56">
        <f ca="1">SUM($Q$75:$Q$78)</f>
        <v>443307.18000000005</v>
      </c>
      <c r="R74" s="46">
        <f ca="1">(O74-Q74)/Q74</f>
        <v>0.26910870245774032</v>
      </c>
      <c r="S74" s="55">
        <f ca="1">SUM($S$75:$S$78)</f>
        <v>17779.030000000002</v>
      </c>
    </row>
    <row r="75" spans="8:25" ht="14.4">
      <c r="H75" s="88" t="s">
        <v>19</v>
      </c>
      <c r="I75" s="81">
        <f>SUMIFS('Investment Data'!$G:$G,'Investment Data'!$P:$P,Analysis!$H75)</f>
        <v>65950</v>
      </c>
      <c r="J75" s="81">
        <f>SUMIFS('Investment Data'!$I$3:$I$129,'Investment Data'!$P$3:$P$129,Analysis!$H75)</f>
        <v>57103.320000000007</v>
      </c>
      <c r="K75" s="84">
        <f t="shared" si="5"/>
        <v>0.15492409197924029</v>
      </c>
      <c r="M75">
        <v>2</v>
      </c>
      <c r="N75" s="51">
        <f ca="1">YEAR(TODAY())</f>
        <v>2024</v>
      </c>
      <c r="O75" s="54">
        <f ca="1">SUMIFS('Investment Data'!$G$3:$G$129,'Investment Data'!$C$3:$C$129,Analysis!$N75)</f>
        <v>57184</v>
      </c>
      <c r="P75" s="54">
        <f ca="1">SUMIFS('Investment Data'!$V$3:$V$129,'Investment Data'!$C$3:$C$129,Analysis!$N75)</f>
        <v>1127.44</v>
      </c>
      <c r="Q75" s="56">
        <f ca="1">SUMIFS('Investment Data'!$I$3:$I$129,'Investment Data'!$C$3:$C$129,Analysis!$N75)+SUMIFS('Investment Data'!$K$3:$K$129,'Investment Data'!$C$3:$C$129,Analysis!$N75)</f>
        <v>38505.58</v>
      </c>
      <c r="R75" s="46">
        <f ca="1">(O75-Q75)/Q75</f>
        <v>0.48508346063090069</v>
      </c>
      <c r="S75" s="54">
        <f ca="1">SUMIFS('Investment Data'!$R$3:$R$129,'Investment Data'!$C$3:$C$129,Analysis!$N75)</f>
        <v>2737.6</v>
      </c>
    </row>
    <row r="76" spans="8:25" ht="14.4">
      <c r="H76" s="88" t="s">
        <v>22</v>
      </c>
      <c r="I76" s="81">
        <f>SUMIFS('Investment Data'!$G:$G,'Investment Data'!$P:$P,Analysis!$H76)</f>
        <v>104009</v>
      </c>
      <c r="J76" s="81">
        <f>SUMIFS('Investment Data'!$I$3:$I$129,'Investment Data'!$P$3:$P$129,Analysis!$H76)</f>
        <v>91610.28</v>
      </c>
      <c r="K76" s="84">
        <f t="shared" si="5"/>
        <v>0.13534201620167519</v>
      </c>
      <c r="M76">
        <v>3</v>
      </c>
      <c r="N76" s="51">
        <f ca="1">N75-1</f>
        <v>2023</v>
      </c>
      <c r="O76" s="54">
        <f ca="1">SUMIFS('Investment Data'!$G$3:$G$129,'Investment Data'!$C$3:$C$129,Analysis!$N76)</f>
        <v>154717</v>
      </c>
      <c r="P76" s="54">
        <f ca="1">SUMIFS('Investment Data'!$V$3:$V$129,'Investment Data'!$C$3:$C$129,Analysis!$N76)</f>
        <v>4253.5960000000005</v>
      </c>
      <c r="Q76" s="56">
        <f ca="1">SUMIFS('Investment Data'!$I$3:$I$129,'Investment Data'!$C$3:$C$129,Analysis!$N76)+SUMIFS('Investment Data'!$K$3:$K$129,'Investment Data'!$C$3:$C$129,Analysis!$N76)</f>
        <v>117506.04999999999</v>
      </c>
      <c r="R76" s="46">
        <f t="shared" ref="R76:R78" ca="1" si="6">(O76-Q76)/Q76</f>
        <v>0.31667263089857939</v>
      </c>
      <c r="S76" s="54">
        <f ca="1">SUMIFS('Investment Data'!$R$3:$R$129,'Investment Data'!$C$3:$C$129,Analysis!$N76)</f>
        <v>4253.5960000000005</v>
      </c>
    </row>
    <row r="77" spans="8:25" ht="14.4">
      <c r="H77" s="88" t="s">
        <v>24</v>
      </c>
      <c r="I77" s="81">
        <f>SUMIFS('Investment Data'!$G:$G,'Investment Data'!$P:$P,Analysis!$H77)</f>
        <v>29643</v>
      </c>
      <c r="J77" s="81">
        <f>SUMIFS('Investment Data'!$I$3:$I$129,'Investment Data'!$P$3:$P$129,Analysis!$H77)</f>
        <v>25355.659999999996</v>
      </c>
      <c r="K77" s="84">
        <f t="shared" si="5"/>
        <v>0.1690880852638032</v>
      </c>
      <c r="M77">
        <v>4</v>
      </c>
      <c r="N77" s="51">
        <f t="shared" ref="N77:N78" ca="1" si="7">N76-1</f>
        <v>2022</v>
      </c>
      <c r="O77" s="54">
        <f ca="1">SUMIFS('Investment Data'!$G$3:$G$129,'Investment Data'!$C$3:$C$129,Analysis!$N77)</f>
        <v>131223</v>
      </c>
      <c r="P77" s="54">
        <f ca="1">SUMIFS('Investment Data'!$V$3:$V$129,'Investment Data'!$C$3:$C$129,Analysis!$N77)</f>
        <v>4178.3985000000002</v>
      </c>
      <c r="Q77" s="56">
        <f ca="1">SUMIFS('Investment Data'!$I$3:$I$129,'Investment Data'!$C$3:$C$129,Analysis!$N77)+SUMIFS('Investment Data'!$K$3:$K$129,'Investment Data'!$C$3:$C$129,Analysis!$N77)</f>
        <v>122375.76999999999</v>
      </c>
      <c r="R77" s="46">
        <f t="shared" ca="1" si="6"/>
        <v>7.229560230754839E-2</v>
      </c>
      <c r="S77" s="54">
        <f ca="1">SUMIFS('Investment Data'!$R$3:$R$129,'Investment Data'!$C$3:$C$129,Analysis!$N77)</f>
        <v>4555.5060000000003</v>
      </c>
    </row>
    <row r="78" spans="8:25" ht="14.4">
      <c r="H78" s="88" t="s">
        <v>29</v>
      </c>
      <c r="I78" s="81">
        <f>SUMIFS('Investment Data'!$G:$G,'Investment Data'!$P:$P,Analysis!$H78)</f>
        <v>29814</v>
      </c>
      <c r="J78" s="81">
        <f>SUMIFS('Investment Data'!$I$3:$I$129,'Investment Data'!$P$3:$P$129,Analysis!$H78)</f>
        <v>27347.24</v>
      </c>
      <c r="K78" s="84">
        <f t="shared" si="5"/>
        <v>9.0201424348489948E-2</v>
      </c>
      <c r="M78">
        <v>5</v>
      </c>
      <c r="N78" s="51">
        <f t="shared" ca="1" si="7"/>
        <v>2021</v>
      </c>
      <c r="O78" s="54">
        <f ca="1">SUMIFS('Investment Data'!$G$3:$G$129,'Investment Data'!$C$3:$C$129,Analysis!$N78)</f>
        <v>219481</v>
      </c>
      <c r="P78" s="54">
        <f ca="1">SUMIFS('Investment Data'!$V$3:$V$129,'Investment Data'!$C$3:$C$129,Analysis!$N78)</f>
        <v>6316.8720000000012</v>
      </c>
      <c r="Q78" s="56">
        <f ca="1">SUMIFS('Investment Data'!$I$3:$I$129,'Investment Data'!$C$3:$C$129,Analysis!$N78)+SUMIFS('Investment Data'!$K$3:$K$129,'Investment Data'!$C$3:$C$129,Analysis!$N78)</f>
        <v>164919.78</v>
      </c>
      <c r="R78" s="46">
        <f t="shared" ca="1" si="6"/>
        <v>0.33083490652243169</v>
      </c>
      <c r="S78" s="54">
        <f ca="1">SUMIFS('Investment Data'!$R$3:$R$129,'Investment Data'!$C$3:$C$129,Analysis!$N78)</f>
        <v>6232.3280000000004</v>
      </c>
    </row>
    <row r="79" spans="8:25" ht="15" thickBot="1">
      <c r="H79" s="88" t="s">
        <v>30</v>
      </c>
      <c r="I79" s="81">
        <f>SUMIFS('Investment Data'!$G:$G,'Investment Data'!$P:$P,Analysis!$H79)</f>
        <v>68473</v>
      </c>
      <c r="J79" s="81">
        <f>SUMIFS('Investment Data'!$I$3:$I$129,'Investment Data'!$P$3:$P$129,Analysis!$H79)</f>
        <v>34889.639999999985</v>
      </c>
      <c r="K79" s="84">
        <f t="shared" si="5"/>
        <v>0.9625596595436362</v>
      </c>
    </row>
    <row r="80" spans="8:25" ht="15" thickBot="1">
      <c r="H80" s="88" t="s">
        <v>33</v>
      </c>
      <c r="I80" s="81">
        <f>SUMIFS('Investment Data'!$G:$G,'Investment Data'!$P:$P,Analysis!$H80)</f>
        <v>44840</v>
      </c>
      <c r="J80" s="81">
        <f>SUMIFS('Investment Data'!$I$3:$I$129,'Investment Data'!$P$3:$P$129,Analysis!$H80)</f>
        <v>39382.050000000003</v>
      </c>
      <c r="K80" s="84">
        <f t="shared" si="5"/>
        <v>0.13858978900285782</v>
      </c>
      <c r="O80" s="59" t="s">
        <v>204</v>
      </c>
      <c r="P80" s="60" t="s">
        <v>15</v>
      </c>
      <c r="Q80" s="60" t="s">
        <v>201</v>
      </c>
      <c r="R80" s="60" t="s">
        <v>199</v>
      </c>
      <c r="S80" s="61" t="s">
        <v>184</v>
      </c>
      <c r="U80" s="35" t="s">
        <v>190</v>
      </c>
      <c r="V80" s="35" t="s">
        <v>192</v>
      </c>
    </row>
    <row r="81" spans="8:23" ht="15" thickBot="1">
      <c r="H81" s="88" t="s">
        <v>35</v>
      </c>
      <c r="I81" s="81">
        <f>SUMIFS('Investment Data'!$G:$G,'Investment Data'!$P:$P,Analysis!$H81)</f>
        <v>4511</v>
      </c>
      <c r="J81" s="81">
        <f>SUMIFS('Investment Data'!$I$3:$I$129,'Investment Data'!$P$3:$P$129,Analysis!$H81)</f>
        <v>3302.96</v>
      </c>
      <c r="K81" s="84">
        <f t="shared" si="5"/>
        <v>0.36574466539104317</v>
      </c>
      <c r="M81" s="57">
        <v>1</v>
      </c>
      <c r="N81" s="58"/>
      <c r="O81" s="202">
        <f ca="1">VLOOKUP($M$81,$M$74:$S$78,3,0)</f>
        <v>562605</v>
      </c>
      <c r="P81" s="202">
        <f ca="1">VLOOKUP($M$81,$M$74:$S$78,4,0)</f>
        <v>15876.306500000001</v>
      </c>
      <c r="Q81" s="202">
        <f ca="1">VLOOKUP($M$81,$M$74:$S$78,5,0)</f>
        <v>443307.18000000005</v>
      </c>
      <c r="R81" s="62">
        <f ca="1">VLOOKUP($M$81,$M$74:$S$78,6,0)</f>
        <v>0.26910870245774032</v>
      </c>
      <c r="S81" s="203">
        <f ca="1">VLOOKUP($M$81,$M$74:$S$78,7,0)</f>
        <v>17779.030000000002</v>
      </c>
      <c r="U81" s="35" t="s">
        <v>191</v>
      </c>
      <c r="V81" s="35" t="s">
        <v>193</v>
      </c>
    </row>
    <row r="82" spans="8:23" ht="14.4">
      <c r="H82" s="88" t="s">
        <v>38</v>
      </c>
      <c r="I82" s="81">
        <f>SUMIFS('Investment Data'!$G:$G,'Investment Data'!$P:$P,Analysis!$H82)</f>
        <v>26515</v>
      </c>
      <c r="J82" s="81">
        <f>SUMIFS('Investment Data'!$I$3:$I$129,'Investment Data'!$P$3:$P$129,Analysis!$H82)</f>
        <v>20001.649999999998</v>
      </c>
      <c r="K82" s="84">
        <f t="shared" si="5"/>
        <v>0.3256406346476417</v>
      </c>
      <c r="U82" s="35" t="s">
        <v>189</v>
      </c>
      <c r="V82" s="252" t="s">
        <v>194</v>
      </c>
      <c r="W82" s="252"/>
    </row>
    <row r="83" spans="8:23" ht="15" thickBot="1">
      <c r="H83" s="88" t="s">
        <v>77</v>
      </c>
      <c r="I83" s="81">
        <f>SUMIFS('Investment Data'!$G:$G,'Investment Data'!$P:$P,Analysis!$H83)</f>
        <v>660</v>
      </c>
      <c r="J83" s="81">
        <f>SUMIFS('Investment Data'!$I$3:$I$129,'Investment Data'!$P$3:$P$129,Analysis!$H83)</f>
        <v>508.9</v>
      </c>
      <c r="K83" s="84">
        <f t="shared" si="5"/>
        <v>0.29691491452151708</v>
      </c>
      <c r="R83" s="63" t="str">
        <f ca="1">IF($R$81&gt;0,"p","q")</f>
        <v>p</v>
      </c>
    </row>
    <row r="84" spans="8:23" ht="15" thickBot="1">
      <c r="H84" s="89" t="s">
        <v>80</v>
      </c>
      <c r="I84" s="85">
        <f>SUMIFS('Investment Data'!$G:$G,'Investment Data'!$P:$P,Analysis!$H84)</f>
        <v>35676</v>
      </c>
      <c r="J84" s="85">
        <f>SUMIFS('Investment Data'!$I$3:$I$129,'Investment Data'!$P$3:$P$129,Analysis!$H84)</f>
        <v>21991.38</v>
      </c>
      <c r="K84" s="86">
        <f t="shared" si="5"/>
        <v>0.62227199930154442</v>
      </c>
    </row>
    <row r="85" spans="8:23" ht="13.8" thickBot="1"/>
    <row r="86" spans="8:23" ht="16.2" thickBot="1">
      <c r="H86" s="52" t="s">
        <v>11</v>
      </c>
      <c r="I86" s="53" t="s">
        <v>195</v>
      </c>
      <c r="K86" s="90" t="str">
        <f>Dashboard!$C$156</f>
        <v>Financials</v>
      </c>
      <c r="P86" s="46"/>
    </row>
    <row r="87" spans="8:23" ht="15" thickTop="1">
      <c r="H87" s="98" t="s">
        <v>16</v>
      </c>
      <c r="I87" s="64">
        <f>SUMIFS('Investment Data'!$E$3:$E$129,'Investment Data'!$P$3:$P$129,Analysis!$H87)</f>
        <v>419</v>
      </c>
      <c r="K87" s="35" t="s">
        <v>186</v>
      </c>
      <c r="L87" s="35" t="s">
        <v>198</v>
      </c>
      <c r="M87" s="35" t="s">
        <v>200</v>
      </c>
      <c r="N87" s="35" t="s">
        <v>203</v>
      </c>
      <c r="O87" s="35" t="s">
        <v>178</v>
      </c>
    </row>
    <row r="88" spans="8:23" ht="14.4">
      <c r="H88" s="99" t="s">
        <v>17</v>
      </c>
      <c r="I88" s="64">
        <f>SUMIFS('Investment Data'!$E$3:$E$129,'Investment Data'!$P$3:$P$129,Analysis!$H88)</f>
        <v>215</v>
      </c>
      <c r="K88" s="51">
        <f ca="1">YEAR(TODAY())</f>
        <v>2024</v>
      </c>
      <c r="L88">
        <f ca="1">COUNTIFS('Investment Data'!$C$3:$C$129,Analysis!$K88,'Investment Data'!$P$3:$P$129,Analysis!$K$86)</f>
        <v>1</v>
      </c>
      <c r="M88" s="54">
        <f ca="1">SUMIFS('Investment Data'!$I$3:$I$129,'Investment Data'!$C$3:$C$129,Analysis!$K88,'Investment Data'!$P$3:$P$129,Analysis!$K$86)+SUMIFS('Investment Data'!$K$3:$K$129,'Investment Data'!$C$3:$C$129,Analysis!$K88,'Investment Data'!$P$3:$P$129,Analysis!$K$86)</f>
        <v>4408.8200000000006</v>
      </c>
      <c r="N88" s="54">
        <f ca="1">SUMIFS('Investment Data'!$G$3:$G$129,'Investment Data'!$C$3:$C$129,Analysis!$K88,'Investment Data'!$P$3:$P$129,Analysis!$K$86)</f>
        <v>3128</v>
      </c>
      <c r="O88" s="46">
        <f ca="1">IF(ISERROR((N88-M88)/M88),0,(N88-M88)/M88)</f>
        <v>-0.29051310781569684</v>
      </c>
    </row>
    <row r="89" spans="8:23" ht="14.4">
      <c r="H89" s="99" t="s">
        <v>18</v>
      </c>
      <c r="I89" s="64">
        <f>SUMIFS('Investment Data'!$E$3:$E$129,'Investment Data'!$P$3:$P$129,Analysis!$H89)</f>
        <v>1574</v>
      </c>
      <c r="K89" s="51">
        <f ca="1">K88-1</f>
        <v>2023</v>
      </c>
      <c r="L89">
        <f ca="1">COUNTIFS('Investment Data'!$C$3:$C$129,Analysis!$K89,'Investment Data'!$P$3:$P$129,Analysis!$K$86)</f>
        <v>1</v>
      </c>
      <c r="M89" s="54">
        <f ca="1">SUMIFS('Investment Data'!$I$3:$I$129,'Investment Data'!$C$3:$C$129,Analysis!$K89,'Investment Data'!$P$3:$P$129,Analysis!$K$86)+SUMIFS('Investment Data'!$K$3:$K$129,'Investment Data'!$C$3:$C$129,Analysis!$K89,'Investment Data'!$P$3:$P$129,Analysis!$K$86)</f>
        <v>2579.71</v>
      </c>
      <c r="N89" s="54">
        <f ca="1">SUMIFS('Investment Data'!$G$3:$G$129,'Investment Data'!$C$3:$C$129,Analysis!$K89,'Investment Data'!$P$3:$P$129,Analysis!$K$86)</f>
        <v>3432</v>
      </c>
      <c r="O89" s="46">
        <f t="shared" ref="O89:O91" ca="1" si="8">IF(ISERROR((N89-M89)/M89),0,(N89-M89)/M89)</f>
        <v>0.33038209721247735</v>
      </c>
    </row>
    <row r="90" spans="8:23" ht="14.4">
      <c r="H90" s="99" t="s">
        <v>19</v>
      </c>
      <c r="I90" s="64">
        <f>SUMIFS('Investment Data'!$E$3:$E$129,'Investment Data'!$P$3:$P$129,Analysis!$H90)</f>
        <v>715</v>
      </c>
      <c r="K90" s="51">
        <f t="shared" ref="K90:K91" ca="1" si="9">K89-1</f>
        <v>2022</v>
      </c>
      <c r="L90">
        <f ca="1">COUNTIFS('Investment Data'!$C$3:$C$129,Analysis!$K90,'Investment Data'!$P$3:$P$129,Analysis!$K$86)</f>
        <v>9</v>
      </c>
      <c r="M90" s="54">
        <f ca="1">SUMIFS('Investment Data'!$I$3:$I$129,'Investment Data'!$C$3:$C$129,Analysis!$K90,'Investment Data'!$P$3:$P$129,Analysis!$K$86)+SUMIFS('Investment Data'!$K$3:$K$129,'Investment Data'!$C$3:$C$129,Analysis!$K90,'Investment Data'!$P$3:$P$129,Analysis!$K$86)</f>
        <v>13964.999999999996</v>
      </c>
      <c r="N90" s="54">
        <f ca="1">SUMIFS('Investment Data'!$G$3:$G$129,'Investment Data'!$C$3:$C$129,Analysis!$K90,'Investment Data'!$P$3:$P$129,Analysis!$K$86)</f>
        <v>14343</v>
      </c>
      <c r="O90" s="46">
        <f t="shared" ca="1" si="8"/>
        <v>2.7067669172932598E-2</v>
      </c>
    </row>
    <row r="91" spans="8:23" ht="14.4">
      <c r="H91" s="99" t="s">
        <v>22</v>
      </c>
      <c r="I91" s="64">
        <f>SUMIFS('Investment Data'!$E$3:$E$129,'Investment Data'!$P$3:$P$129,Analysis!$H91)</f>
        <v>1404</v>
      </c>
      <c r="K91" s="51">
        <f t="shared" ca="1" si="9"/>
        <v>2021</v>
      </c>
      <c r="L91">
        <f ca="1">COUNTIFS('Investment Data'!$C$3:$C$129,Analysis!$K91,'Investment Data'!$P$3:$P$129,Analysis!$K$86)</f>
        <v>4</v>
      </c>
      <c r="M91" s="54">
        <f ca="1">SUMIFS('Investment Data'!$I$3:$I$129,'Investment Data'!$C$3:$C$129,Analysis!$K91,'Investment Data'!$P$3:$P$129,Analysis!$K$86)+SUMIFS('Investment Data'!$K$3:$K$129,'Investment Data'!$C$3:$C$129,Analysis!$K91,'Investment Data'!$P$3:$P$129,Analysis!$K$86)</f>
        <v>6393.71</v>
      </c>
      <c r="N91" s="54">
        <f ca="1">SUMIFS('Investment Data'!$G$3:$G$129,'Investment Data'!$C$3:$C$129,Analysis!$K91,'Investment Data'!$P$3:$P$129,Analysis!$K$86)</f>
        <v>8911</v>
      </c>
      <c r="O91" s="46">
        <f t="shared" ca="1" si="8"/>
        <v>0.39371350905812119</v>
      </c>
    </row>
    <row r="92" spans="8:23" ht="14.4">
      <c r="H92" s="99" t="s">
        <v>24</v>
      </c>
      <c r="I92" s="64">
        <f>SUMIFS('Investment Data'!$E$3:$E$129,'Investment Data'!$P$3:$P$129,Analysis!$H92)</f>
        <v>326</v>
      </c>
    </row>
    <row r="93" spans="8:23" ht="14.4">
      <c r="H93" s="99" t="s">
        <v>29</v>
      </c>
      <c r="I93" s="64">
        <f>SUMIFS('Investment Data'!$E$3:$E$129,'Investment Data'!$P$3:$P$129,Analysis!$H93)</f>
        <v>486</v>
      </c>
    </row>
    <row r="94" spans="8:23" ht="14.4">
      <c r="H94" s="99" t="s">
        <v>30</v>
      </c>
      <c r="I94" s="64">
        <f>SUMIFS('Investment Data'!$E$3:$E$129,'Investment Data'!$P$3:$P$129,Analysis!$H94)</f>
        <v>838</v>
      </c>
    </row>
    <row r="95" spans="8:23" ht="14.4">
      <c r="H95" s="99" t="s">
        <v>33</v>
      </c>
      <c r="I95" s="64">
        <f>SUMIFS('Investment Data'!$E$3:$E$129,'Investment Data'!$P$3:$P$129,Analysis!$H95)</f>
        <v>435</v>
      </c>
    </row>
    <row r="96" spans="8:23" ht="14.4">
      <c r="H96" s="99" t="s">
        <v>35</v>
      </c>
      <c r="I96" s="64">
        <f>SUMIFS('Investment Data'!$E$3:$E$129,'Investment Data'!$P$3:$P$129,Analysis!$H96)</f>
        <v>77</v>
      </c>
    </row>
    <row r="97" spans="8:9" ht="14.4">
      <c r="H97" s="99" t="s">
        <v>38</v>
      </c>
      <c r="I97" s="64">
        <f>SUMIFS('Investment Data'!$E$3:$E$129,'Investment Data'!$P$3:$P$129,Analysis!$H97)</f>
        <v>373</v>
      </c>
    </row>
    <row r="98" spans="8:9" ht="14.4">
      <c r="H98" s="99" t="s">
        <v>77</v>
      </c>
      <c r="I98" s="64">
        <f>SUMIFS('Investment Data'!$E$3:$E$129,'Investment Data'!$P$3:$P$129,Analysis!$H98)</f>
        <v>44</v>
      </c>
    </row>
    <row r="99" spans="8:9" ht="15" thickBot="1">
      <c r="H99" s="100" t="s">
        <v>80</v>
      </c>
      <c r="I99" s="65">
        <f>SUMIFS('Investment Data'!$E$3:$E$129,'Investment Data'!$P$3:$P$129,Analysis!$H99)</f>
        <v>430</v>
      </c>
    </row>
  </sheetData>
  <mergeCells count="7">
    <mergeCell ref="AG38:AI38"/>
    <mergeCell ref="AJ38:AL38"/>
    <mergeCell ref="V82:W82"/>
    <mergeCell ref="I38:O38"/>
    <mergeCell ref="P38:V38"/>
    <mergeCell ref="AA38:AC38"/>
    <mergeCell ref="AD38:AF38"/>
  </mergeCells>
  <conditionalFormatting sqref="I72:I84">
    <cfRule type="dataBar" priority="15">
      <dataBar>
        <cfvo type="min"/>
        <cfvo type="max"/>
        <color rgb="FF1C7F8C"/>
      </dataBar>
      <extLst>
        <ext xmlns:x14="http://schemas.microsoft.com/office/spreadsheetml/2009/9/main" uri="{B025F937-C7B1-47D3-B67F-A62EFF666E3E}">
          <x14:id>{01BD2CEE-F7C8-429F-B90C-52047FA857CA}</x14:id>
        </ext>
      </extLst>
    </cfRule>
  </conditionalFormatting>
  <conditionalFormatting sqref="J40:J52">
    <cfRule type="iconSet" priority="10">
      <iconSet>
        <cfvo type="percent" val="0"/>
        <cfvo type="num" val="0"/>
        <cfvo type="num" val="0.2" gte="0"/>
      </iconSet>
    </cfRule>
  </conditionalFormatting>
  <conditionalFormatting sqref="K72:K84 K86">
    <cfRule type="iconSet" priority="13">
      <iconSet iconSet="3Flags">
        <cfvo type="percent" val="0"/>
        <cfvo type="num" val="0"/>
        <cfvo type="num" val="0.2" gte="0"/>
      </iconSet>
    </cfRule>
  </conditionalFormatting>
  <conditionalFormatting sqref="N40:N52">
    <cfRule type="dataBar" priority="11">
      <dataBar>
        <cfvo type="min"/>
        <cfvo type="max"/>
        <color rgb="FF1C7F8C"/>
      </dataBar>
      <extLst>
        <ext xmlns:x14="http://schemas.microsoft.com/office/spreadsheetml/2009/9/main" uri="{B025F937-C7B1-47D3-B67F-A62EFF666E3E}">
          <x14:id>{1ED384FA-26A9-415F-B537-C8064C9BC0D3}</x14:id>
        </ext>
      </extLst>
    </cfRule>
  </conditionalFormatting>
  <conditionalFormatting sqref="Q40:Q52">
    <cfRule type="iconSet" priority="14">
      <iconSet>
        <cfvo type="percent" val="0"/>
        <cfvo type="num" val="0"/>
        <cfvo type="num" val="0.2" gte="0"/>
      </iconSet>
    </cfRule>
  </conditionalFormatting>
  <conditionalFormatting sqref="U40:U52">
    <cfRule type="dataBar" priority="12">
      <dataBar>
        <cfvo type="min"/>
        <cfvo type="max"/>
        <color rgb="FF1C7F8C"/>
      </dataBar>
      <extLst>
        <ext xmlns:x14="http://schemas.microsoft.com/office/spreadsheetml/2009/9/main" uri="{B025F937-C7B1-47D3-B67F-A62EFF666E3E}">
          <x14:id>{6491FCCA-0087-4496-9A1B-49C4C3739BBA}</x14:id>
        </ext>
      </extLst>
    </cfRule>
  </conditionalFormatting>
  <conditionalFormatting sqref="AA40:AA5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{8A507728-5B76-4C0E-842E-2ABDD2A73A34}</x14:id>
        </ext>
      </extLst>
    </cfRule>
  </conditionalFormatting>
  <conditionalFormatting sqref="AB40:AB5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{7654553C-4C9E-4560-AD2B-12E61BCB9B84}</x14:id>
        </ext>
      </extLst>
    </cfRule>
  </conditionalFormatting>
  <conditionalFormatting sqref="AD40:AD5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{07FAC8AD-0CF2-4FDB-AD23-A2E0F8648C82}</x14:id>
        </ext>
      </extLst>
    </cfRule>
  </conditionalFormatting>
  <conditionalFormatting sqref="AE40:AE5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{1E6A2DDE-5D49-46E4-A724-C2055ED1B494}</x14:id>
        </ext>
      </extLst>
    </cfRule>
  </conditionalFormatting>
  <conditionalFormatting sqref="AG40:AG5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{74F0EB4B-3C03-4F29-A785-CBEB7B8E7F08}</x14:id>
        </ext>
      </extLst>
    </cfRule>
  </conditionalFormatting>
  <conditionalFormatting sqref="AH40:AH5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{46DF5B4C-42FB-4011-ACD1-0CF3682AD743}</x14:id>
        </ext>
      </extLst>
    </cfRule>
  </conditionalFormatting>
  <conditionalFormatting sqref="AJ40:AJ5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{C7E68CA3-D6A1-4B62-B39F-827EED566F29}</x14:id>
        </ext>
      </extLst>
    </cfRule>
  </conditionalFormatting>
  <conditionalFormatting sqref="AK40:AK5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{08F8B421-4651-4B5A-85B6-82736DCC4ED2}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BD2CEE-F7C8-429F-B90C-52047FA857CA}">
            <x14:dataBar minLength="0" maxLength="100" border="1" negativeBarBorderColorSameAsPositive="0">
              <x14:cfvo type="autoMin"/>
              <x14:cfvo type="autoMax"/>
              <x14:borderColor rgb="FF1C7F8C"/>
              <x14:negativeFillColor rgb="FFFF0000"/>
              <x14:negativeBorderColor rgb="FFFF0000"/>
              <x14:axisColor rgb="FF000000"/>
            </x14:dataBar>
          </x14:cfRule>
          <xm:sqref>I72:I84</xm:sqref>
        </x14:conditionalFormatting>
        <x14:conditionalFormatting xmlns:xm="http://schemas.microsoft.com/office/excel/2006/main">
          <x14:cfRule type="dataBar" id="{1ED384FA-26A9-415F-B537-C8064C9BC0D3}">
            <x14:dataBar minLength="0" maxLength="100" border="1" negativeBarBorderColorSameAsPositive="0" axisPosition="none">
              <x14:cfvo type="autoMin"/>
              <x14:cfvo type="autoMax"/>
              <x14:borderColor rgb="FF1C7F8C"/>
              <x14:negativeFillColor rgb="FFC00000"/>
              <x14:negativeBorderColor rgb="FFC00000"/>
            </x14:dataBar>
          </x14:cfRule>
          <xm:sqref>N40:N52</xm:sqref>
        </x14:conditionalFormatting>
        <x14:conditionalFormatting xmlns:xm="http://schemas.microsoft.com/office/excel/2006/main">
          <x14:cfRule type="dataBar" id="{6491FCCA-0087-4496-9A1B-49C4C3739BBA}">
            <x14:dataBar minLength="0" maxLength="100" border="1" negativeBarBorderColorSameAsPositive="0" axisPosition="none">
              <x14:cfvo type="autoMin"/>
              <x14:cfvo type="autoMax"/>
              <x14:borderColor rgb="FF1C7F8C"/>
              <x14:negativeFillColor rgb="FFC00000"/>
              <x14:negativeBorderColor rgb="FFC00000"/>
            </x14:dataBar>
          </x14:cfRule>
          <xm:sqref>U40:U52</xm:sqref>
        </x14:conditionalFormatting>
        <x14:conditionalFormatting xmlns:xm="http://schemas.microsoft.com/office/excel/2006/main">
          <x14:cfRule type="dataBar" id="{8A507728-5B76-4C0E-842E-2ABDD2A73A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AA40:AA52</xm:sqref>
        </x14:conditionalFormatting>
        <x14:conditionalFormatting xmlns:xm="http://schemas.microsoft.com/office/excel/2006/main">
          <x14:cfRule type="dataBar" id="{7654553C-4C9E-4560-AD2B-12E61BCB9B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AB40:AB52</xm:sqref>
        </x14:conditionalFormatting>
        <x14:conditionalFormatting xmlns:xm="http://schemas.microsoft.com/office/excel/2006/main">
          <x14:cfRule type="dataBar" id="{07FAC8AD-0CF2-4FDB-AD23-A2E0F8648C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AD40:AD52</xm:sqref>
        </x14:conditionalFormatting>
        <x14:conditionalFormatting xmlns:xm="http://schemas.microsoft.com/office/excel/2006/main">
          <x14:cfRule type="dataBar" id="{1E6A2DDE-5D49-46E4-A724-C2055ED1B4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AE40:AE52</xm:sqref>
        </x14:conditionalFormatting>
        <x14:conditionalFormatting xmlns:xm="http://schemas.microsoft.com/office/excel/2006/main">
          <x14:cfRule type="dataBar" id="{74F0EB4B-3C03-4F29-A785-CBEB7B8E7F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AG40:AG52</xm:sqref>
        </x14:conditionalFormatting>
        <x14:conditionalFormatting xmlns:xm="http://schemas.microsoft.com/office/excel/2006/main">
          <x14:cfRule type="dataBar" id="{46DF5B4C-42FB-4011-ACD1-0CF3682AD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AH40:AH52</xm:sqref>
        </x14:conditionalFormatting>
        <x14:conditionalFormatting xmlns:xm="http://schemas.microsoft.com/office/excel/2006/main">
          <x14:cfRule type="dataBar" id="{C7E68CA3-D6A1-4B62-B39F-827EED566F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AJ40:AJ52</xm:sqref>
        </x14:conditionalFormatting>
        <x14:conditionalFormatting xmlns:xm="http://schemas.microsoft.com/office/excel/2006/main">
          <x14:cfRule type="dataBar" id="{08F8B421-4651-4B5A-85B6-82736DCC4E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AK40:AK52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9158-6A84-4EE2-9D7F-FC7336A063B7}">
  <dimension ref="B1:AG20"/>
  <sheetViews>
    <sheetView zoomScaleNormal="100" workbookViewId="0">
      <selection activeCell="C22" sqref="C22"/>
    </sheetView>
  </sheetViews>
  <sheetFormatPr defaultRowHeight="13.2"/>
  <cols>
    <col min="2" max="2" width="27.88671875" bestFit="1" customWidth="1"/>
    <col min="3" max="12" width="13.33203125" bestFit="1" customWidth="1"/>
    <col min="13" max="14" width="9.6640625" customWidth="1"/>
    <col min="15" max="16" width="10" bestFit="1" customWidth="1"/>
    <col min="17" max="17" width="10" customWidth="1"/>
    <col min="18" max="18" width="10" bestFit="1" customWidth="1"/>
    <col min="19" max="19" width="10" customWidth="1"/>
    <col min="20" max="20" width="10" bestFit="1" customWidth="1"/>
    <col min="21" max="21" width="9.33203125" bestFit="1" customWidth="1"/>
    <col min="22" max="22" width="10" bestFit="1" customWidth="1"/>
    <col min="23" max="23" width="10" customWidth="1"/>
    <col min="24" max="24" width="10" bestFit="1" customWidth="1"/>
    <col min="25" max="25" width="10" customWidth="1"/>
    <col min="26" max="28" width="10" bestFit="1" customWidth="1"/>
    <col min="29" max="29" width="10" customWidth="1"/>
    <col min="30" max="30" width="9.33203125" bestFit="1" customWidth="1"/>
    <col min="31" max="31" width="9.33203125" customWidth="1"/>
    <col min="32" max="32" width="9.33203125" bestFit="1" customWidth="1"/>
    <col min="33" max="33" width="9.33203125" customWidth="1"/>
  </cols>
  <sheetData>
    <row r="1" spans="2:33" ht="13.8" thickBot="1">
      <c r="C1" s="150">
        <v>44562</v>
      </c>
      <c r="D1" s="151"/>
      <c r="E1" s="152"/>
      <c r="F1" s="150">
        <v>44652</v>
      </c>
      <c r="G1" s="151"/>
      <c r="H1" s="152"/>
      <c r="I1" s="150">
        <v>44743</v>
      </c>
      <c r="J1" s="151"/>
      <c r="K1" s="152"/>
      <c r="L1" s="150">
        <v>44835</v>
      </c>
      <c r="M1" s="153"/>
      <c r="N1" s="152"/>
      <c r="O1" s="150">
        <v>44927</v>
      </c>
      <c r="P1" s="153"/>
      <c r="Q1" s="151"/>
      <c r="R1" s="150">
        <v>45017</v>
      </c>
      <c r="S1" s="151"/>
      <c r="T1" s="152"/>
      <c r="U1" s="151">
        <v>45108</v>
      </c>
      <c r="V1" s="151"/>
      <c r="W1" s="151"/>
      <c r="X1" s="150">
        <v>45200</v>
      </c>
      <c r="Y1" s="151"/>
      <c r="Z1" s="152"/>
      <c r="AA1" s="151">
        <v>45292</v>
      </c>
      <c r="AB1" s="151"/>
      <c r="AC1" s="151"/>
      <c r="AD1" s="150">
        <v>45383</v>
      </c>
      <c r="AE1" s="151"/>
      <c r="AF1" s="154"/>
    </row>
    <row r="2" spans="2:33" ht="16.2" thickBot="1">
      <c r="B2" s="101" t="s">
        <v>11</v>
      </c>
      <c r="C2" s="155" t="s">
        <v>205</v>
      </c>
      <c r="D2" s="156" t="s">
        <v>206</v>
      </c>
      <c r="E2" s="157" t="s">
        <v>207</v>
      </c>
      <c r="F2" s="155" t="s">
        <v>205</v>
      </c>
      <c r="G2" s="156" t="s">
        <v>206</v>
      </c>
      <c r="H2" s="157" t="s">
        <v>207</v>
      </c>
      <c r="I2" s="155" t="s">
        <v>205</v>
      </c>
      <c r="J2" s="156" t="s">
        <v>206</v>
      </c>
      <c r="K2" s="157" t="s">
        <v>207</v>
      </c>
      <c r="L2" s="155" t="s">
        <v>205</v>
      </c>
      <c r="M2" s="158" t="s">
        <v>206</v>
      </c>
      <c r="N2" s="159" t="s">
        <v>207</v>
      </c>
      <c r="O2" s="155" t="s">
        <v>205</v>
      </c>
      <c r="P2" s="158" t="s">
        <v>206</v>
      </c>
      <c r="Q2" s="159" t="s">
        <v>207</v>
      </c>
      <c r="R2" s="155" t="s">
        <v>205</v>
      </c>
      <c r="S2" s="158" t="s">
        <v>206</v>
      </c>
      <c r="T2" s="159" t="s">
        <v>207</v>
      </c>
      <c r="U2" s="160" t="s">
        <v>205</v>
      </c>
      <c r="V2" s="158" t="s">
        <v>206</v>
      </c>
      <c r="W2" s="159" t="s">
        <v>207</v>
      </c>
      <c r="X2" s="155" t="s">
        <v>205</v>
      </c>
      <c r="Y2" s="158" t="s">
        <v>206</v>
      </c>
      <c r="Z2" s="159" t="s">
        <v>207</v>
      </c>
      <c r="AA2" s="160" t="s">
        <v>205</v>
      </c>
      <c r="AB2" s="158" t="s">
        <v>206</v>
      </c>
      <c r="AC2" s="159" t="s">
        <v>207</v>
      </c>
      <c r="AD2" s="155" t="s">
        <v>205</v>
      </c>
      <c r="AE2" s="158" t="s">
        <v>206</v>
      </c>
      <c r="AF2" s="159" t="s">
        <v>207</v>
      </c>
      <c r="AG2" s="128"/>
    </row>
    <row r="3" spans="2:33" ht="14.4">
      <c r="B3" s="140" t="s">
        <v>16</v>
      </c>
      <c r="C3" s="103">
        <f>SUMIFS('Investment Data'!$I$3:$I$129,'Investment Data'!$B$3:$B$129,'Quarterly Analysis'!C$1,'Investment Data'!$P$3:$P$129,'Quarterly Analysis'!$B3)+SUMIFS('Investment Data'!$K$3:$K$129,'Investment Data'!$B$3:$B$129,'Quarterly Analysis'!C$1,'Investment Data'!$P$3:$P$129,'Quarterly Analysis'!$B3)</f>
        <v>0</v>
      </c>
      <c r="D3" s="104">
        <f>SUMIFS('Investment Data'!$G$3:$G$129,'Investment Data'!$B$3:$B$129,'Quarterly Analysis'!C$1,'Investment Data'!$P$3:$P$129,'Quarterly Analysis'!$B3)+(SUMIFS('Investment Data'!$R$3:$R$129,'Investment Data'!$B$3:$B$129,'Quarterly Analysis'!C$1,'Investment Data'!$P$3:$P$129,'Quarterly Analysis'!$B3)/4)</f>
        <v>0</v>
      </c>
      <c r="E3" s="122">
        <f>IFERROR(($D3-$C3)/$C3,0)</f>
        <v>0</v>
      </c>
      <c r="F3" s="105">
        <f>SUMIFS('Investment Data'!$I$3:$I$129,'Investment Data'!$B$3:$B$129,'Quarterly Analysis'!F$1,'Investment Data'!$P$3:$P$129,'Quarterly Analysis'!$B3)+SUMIFS('Investment Data'!$K$3:$K$129,'Investment Data'!$B$3:$B$129,'Quarterly Analysis'!F$1,'Investment Data'!$P$3:$P$129,'Quarterly Analysis'!$B3)</f>
        <v>0</v>
      </c>
      <c r="G3" s="125">
        <f>SUMIFS('Investment Data'!$G$3:$G$129,'Investment Data'!$B$3:$B$129,'Quarterly Analysis'!F$1,'Investment Data'!$P$3:$P$129,'Quarterly Analysis'!$B3)+(SUMIFS('Investment Data'!$R$3:$R$129,'Investment Data'!$B$3:$B$129,'Quarterly Analysis'!F$1,'Investment Data'!$P$3:$P$129,'Quarterly Analysis'!$B3)/4)</f>
        <v>0</v>
      </c>
      <c r="H3" s="119">
        <f>IFERROR(($G3-$F3)/$F3,0)</f>
        <v>0</v>
      </c>
      <c r="I3" s="106">
        <f>SUMIFS('Investment Data'!$I$3:$I$129,'Investment Data'!$B$3:$B$129,'Quarterly Analysis'!I$1,'Investment Data'!$P$3:$P$129,'Quarterly Analysis'!$B3)+SUMIFS('Investment Data'!$K$3:$K$129,'Investment Data'!$B$3:$B$129,'Quarterly Analysis'!I$1,'Investment Data'!$P$3:$P$129,'Quarterly Analysis'!$B3)</f>
        <v>0</v>
      </c>
      <c r="J3" s="125">
        <f>SUMIFS('Investment Data'!$G$3:$G$129,'Investment Data'!$B$3:$B$129,'Quarterly Analysis'!I$1,'Investment Data'!$P$3:$P$129,'Quarterly Analysis'!$B3)+(SUMIFS('Investment Data'!$R$3:$R$129,'Investment Data'!$B$3:$B$129,'Quarterly Analysis'!I$1,'Investment Data'!$P$3:$P$129,'Quarterly Analysis'!$B3)/4)</f>
        <v>0</v>
      </c>
      <c r="K3" s="116">
        <f>IFERROR(($J3-$I3)/$I3,0)</f>
        <v>0</v>
      </c>
      <c r="L3" s="105">
        <f>SUMIFS('Investment Data'!$I$3:$I$129,'Investment Data'!$B$3:$B$129,'Quarterly Analysis'!L$1,'Investment Data'!$P$3:$P$129,'Quarterly Analysis'!$B3)+SUMIFS('Investment Data'!$K$3:$K$129,'Investment Data'!$B$3:$B$129,'Quarterly Analysis'!L$1,'Investment Data'!$P$3:$P$129,'Quarterly Analysis'!$B3)</f>
        <v>633.65</v>
      </c>
      <c r="M3" s="115">
        <f>SUMIFS('Investment Data'!$G$3:$G$129,'Investment Data'!$B$3:$B$129,'Quarterly Analysis'!L$1,'Investment Data'!$P$3:$P$129,'Quarterly Analysis'!$B3)+(SUMIFS('Investment Data'!$R$3:$R$129,'Investment Data'!$B$3:$B$129,'Quarterly Analysis'!L$1,'Investment Data'!$P$3:$P$129,'Quarterly Analysis'!$B3)/4)</f>
        <v>1220.5</v>
      </c>
      <c r="N3" s="122">
        <f>IFERROR(($M3-$L3)/$L3,0)</f>
        <v>0.92614219206186388</v>
      </c>
      <c r="O3" s="106">
        <f>SUMIFS('Investment Data'!$I$3:$I$129,'Investment Data'!$B$3:$B$129,'Quarterly Analysis'!O$1,'Investment Data'!$P$3:$P$129,'Quarterly Analysis'!$B3)+SUMIFS('Investment Data'!$K$3:$K$129,'Investment Data'!$B$3:$B$129,'Quarterly Analysis'!O$1,'Investment Data'!$P$3:$P$129,'Quarterly Analysis'!$B3)</f>
        <v>0</v>
      </c>
      <c r="P3" s="125">
        <f>SUMIFS('Investment Data'!$G$3:$G$129,'Investment Data'!$B$3:$B$129,'Quarterly Analysis'!O$1,'Investment Data'!$P$3:$P$129,'Quarterly Analysis'!$B3)+(SUMIFS('Investment Data'!$R$3:$R$129,'Investment Data'!$B$3:$B$129,'Quarterly Analysis'!O$1,'Investment Data'!$P$3:$P$129,'Quarterly Analysis'!$B3)/4)</f>
        <v>0</v>
      </c>
      <c r="Q3" s="116">
        <f>IFERROR(($P3-$O3)/$O3,0)</f>
        <v>0</v>
      </c>
      <c r="R3" s="105">
        <f>SUMIFS('Investment Data'!$I$3:$I$129,'Investment Data'!$B$3:$B$129,'Quarterly Analysis'!R$1,'Investment Data'!$P$3:$P$129,'Quarterly Analysis'!$B3)+SUMIFS('Investment Data'!$K$3:$K$129,'Investment Data'!$B$3:$B$129,'Quarterly Analysis'!R$1,'Investment Data'!$P$3:$P$129,'Quarterly Analysis'!$B3)</f>
        <v>0</v>
      </c>
      <c r="S3" s="125">
        <f>SUMIFS('Investment Data'!$G$3:$G$129,'Investment Data'!$B$3:$B$129,'Quarterly Analysis'!R$1,'Investment Data'!$P$3:$P$129,'Quarterly Analysis'!$B3)+(SUMIFS('Investment Data'!$R$3:$R$129,'Investment Data'!$B$3:$B$129,'Quarterly Analysis'!R$1,'Investment Data'!$P$3:$P$129,'Quarterly Analysis'!$B3)/4)</f>
        <v>0</v>
      </c>
      <c r="T3" s="119">
        <f>IFERROR(($S3-$R3)/$R3,0)</f>
        <v>0</v>
      </c>
      <c r="U3" s="106">
        <f>SUMIFS('Investment Data'!$I$3:$I$129,'Investment Data'!$B$3:$B$129,'Quarterly Analysis'!U$1,'Investment Data'!$P$3:$P$129,'Quarterly Analysis'!$B3)+SUMIFS('Investment Data'!$K$3:$K$129,'Investment Data'!$B$3:$B$129,'Quarterly Analysis'!U$1,'Investment Data'!$P$3:$P$129,'Quarterly Analysis'!$B3)</f>
        <v>0</v>
      </c>
      <c r="V3" s="125">
        <f>SUMIFS('Investment Data'!$G$3:$G$129,'Investment Data'!$B$3:$B$129,'Quarterly Analysis'!U$1,'Investment Data'!$P$3:$P$129,'Quarterly Analysis'!$B3)+(SUMIFS('Investment Data'!$R$3:$R$129,'Investment Data'!$B$3:$B$129,'Quarterly Analysis'!U$1,'Investment Data'!$P$3:$P$129,'Quarterly Analysis'!$B3)/4)</f>
        <v>0</v>
      </c>
      <c r="W3" s="119">
        <f>IFERROR(($V3-$U3)/$U3,0)</f>
        <v>0</v>
      </c>
      <c r="X3" s="105">
        <f>SUMIFS('Investment Data'!$I$3:$I$129,'Investment Data'!$B$3:$B$129,'Quarterly Analysis'!X$1,'Investment Data'!$P$3:$P$129,'Quarterly Analysis'!$B3)+SUMIFS('Investment Data'!$K$3:$K$129,'Investment Data'!$B$3:$B$129,'Quarterly Analysis'!X$1,'Investment Data'!$P$3:$P$129,'Quarterly Analysis'!$B3)</f>
        <v>0</v>
      </c>
      <c r="Y3" s="125">
        <f>SUMIFS('Investment Data'!$G$3:$G$129,'Investment Data'!$B$3:$B$129,'Quarterly Analysis'!X$1,'Investment Data'!$P$3:$P$129,'Quarterly Analysis'!$B3)+(SUMIFS('Investment Data'!$R$3:$R$129,'Investment Data'!$B$3:$B$129,'Quarterly Analysis'!X$1,'Investment Data'!$P$3:$P$129,'Quarterly Analysis'!$B3)/4)</f>
        <v>0</v>
      </c>
      <c r="Z3" s="119">
        <f>IFERROR(($Y3-$X3)/$X3,0)</f>
        <v>0</v>
      </c>
      <c r="AA3" s="106">
        <f>SUMIFS('Investment Data'!$I$3:$I$129,'Investment Data'!$B$3:$B$129,'Quarterly Analysis'!AA$1,'Investment Data'!$P$3:$P$129,'Quarterly Analysis'!$B3)+SUMIFS('Investment Data'!$K$3:$K$129,'Investment Data'!$B$3:$B$129,'Quarterly Analysis'!AA$1,'Investment Data'!$P$3:$P$129,'Quarterly Analysis'!$B3)</f>
        <v>0</v>
      </c>
      <c r="AB3" s="125">
        <f>SUMIFS('Investment Data'!$G$3:$G$129,'Investment Data'!$B$3:$B$129,'Quarterly Analysis'!AA$1,'Investment Data'!$P$3:$P$129,'Quarterly Analysis'!$B3)+(SUMIFS('Investment Data'!$R$3:$R$129,'Investment Data'!$B$3:$B$129,'Quarterly Analysis'!AA$1,'Investment Data'!$P$3:$P$129,'Quarterly Analysis'!$B3)/4)</f>
        <v>0</v>
      </c>
      <c r="AC3" s="119">
        <f>IFERROR(($AB3-$AA3)/$AA3,0)</f>
        <v>0</v>
      </c>
      <c r="AD3" s="105">
        <f>SUMIFS('Investment Data'!$I$3:$I$129,'Investment Data'!$B$3:$B$129,'Quarterly Analysis'!AD$1,'Investment Data'!$P$3:$P$129,'Quarterly Analysis'!$B3)+SUMIFS('Investment Data'!$K$3:$K$129,'Investment Data'!$B$3:$B$129,'Quarterly Analysis'!AD$1,'Investment Data'!$P$3:$P$129,'Quarterly Analysis'!$B3)</f>
        <v>0</v>
      </c>
      <c r="AE3" s="125">
        <f>SUMIFS('Investment Data'!$G$3:$G$129,'Investment Data'!$B$3:$B$129,'Quarterly Analysis'!AD$1,'Investment Data'!$P$3:$P$129,'Quarterly Analysis'!$B3)+(SUMIFS('Investment Data'!$R$3:$R$129,'Investment Data'!$B$3:$B$129,'Quarterly Analysis'!AD$1,'Investment Data'!$P$3:$P$129,'Quarterly Analysis'!$B3)/4)</f>
        <v>0</v>
      </c>
      <c r="AF3" s="119">
        <f>IFERROR(($AE3-$AD3)/$AD3,0)</f>
        <v>0</v>
      </c>
      <c r="AG3" s="129"/>
    </row>
    <row r="4" spans="2:33" ht="14.4">
      <c r="B4" s="45" t="s">
        <v>17</v>
      </c>
      <c r="C4" s="107">
        <f>SUMIFS('Investment Data'!$I$3:$I$129,'Investment Data'!$B$3:$B$129,'Quarterly Analysis'!C$1,'Investment Data'!$P$3:$P$129,'Quarterly Analysis'!$B4)+SUMIFS('Investment Data'!$K$3:$K$129,'Investment Data'!$B$3:$B$129,'Quarterly Analysis'!C$1,'Investment Data'!$P$3:$P$129,'Quarterly Analysis'!$B4)</f>
        <v>0</v>
      </c>
      <c r="D4" s="108">
        <f>SUMIFS('Investment Data'!$G$3:$G$129,'Investment Data'!$B$3:$B$129,'Quarterly Analysis'!C$1,'Investment Data'!$P$3:$P$129,'Quarterly Analysis'!$B4)+(SUMIFS('Investment Data'!$R$3:$R$129,'Investment Data'!$B$3:$B$129,'Quarterly Analysis'!C$1,'Investment Data'!$P$3:$P$129,'Quarterly Analysis'!$B4)/4)</f>
        <v>0</v>
      </c>
      <c r="E4" s="123">
        <f t="shared" ref="E4:E15" si="0">IFERROR(($D4-$C4)/$C4,0)</f>
        <v>0</v>
      </c>
      <c r="F4" s="107">
        <f>SUMIFS('Investment Data'!$I$3:$I$129,'Investment Data'!$B$3:$B$129,'Quarterly Analysis'!F$1,'Investment Data'!$P$3:$P$129,'Quarterly Analysis'!$B4)+SUMIFS('Investment Data'!$K$3:$K$129,'Investment Data'!$B$3:$B$129,'Quarterly Analysis'!F$1,'Investment Data'!$P$3:$P$129,'Quarterly Analysis'!$B4)</f>
        <v>0</v>
      </c>
      <c r="G4" s="126">
        <f>SUMIFS('Investment Data'!$G$3:$G$129,'Investment Data'!$B$3:$B$129,'Quarterly Analysis'!F$1,'Investment Data'!$P$3:$P$129,'Quarterly Analysis'!$B4)+(SUMIFS('Investment Data'!$R$3:$R$129,'Investment Data'!$B$3:$B$129,'Quarterly Analysis'!F$1,'Investment Data'!$P$3:$P$129,'Quarterly Analysis'!$B4)/4)</f>
        <v>0</v>
      </c>
      <c r="H4" s="120">
        <f t="shared" ref="H4:H15" si="1">IFERROR(($G4-$F4)/$F4,0)</f>
        <v>0</v>
      </c>
      <c r="I4" s="109">
        <f>SUMIFS('Investment Data'!$I$3:$I$129,'Investment Data'!$B$3:$B$129,'Quarterly Analysis'!I$1,'Investment Data'!$P$3:$P$129,'Quarterly Analysis'!$B4)+SUMIFS('Investment Data'!$K$3:$K$129,'Investment Data'!$B$3:$B$129,'Quarterly Analysis'!I$1,'Investment Data'!$P$3:$P$129,'Quarterly Analysis'!$B4)</f>
        <v>0</v>
      </c>
      <c r="J4" s="126">
        <f>SUMIFS('Investment Data'!$G$3:$G$129,'Investment Data'!$B$3:$B$129,'Quarterly Analysis'!I$1,'Investment Data'!$P$3:$P$129,'Quarterly Analysis'!$B4)+(SUMIFS('Investment Data'!$R$3:$R$129,'Investment Data'!$B$3:$B$129,'Quarterly Analysis'!I$1,'Investment Data'!$P$3:$P$129,'Quarterly Analysis'!$B4)/4)</f>
        <v>0</v>
      </c>
      <c r="K4" s="117">
        <f t="shared" ref="K4:K15" si="2">IFERROR(($J4-$I4)/$I4,0)</f>
        <v>0</v>
      </c>
      <c r="L4" s="107">
        <f>SUMIFS('Investment Data'!$I$3:$I$129,'Investment Data'!$B$3:$B$129,'Quarterly Analysis'!L$1,'Investment Data'!$P$3:$P$129,'Quarterly Analysis'!$B4)+SUMIFS('Investment Data'!$K$3:$K$129,'Investment Data'!$B$3:$B$129,'Quarterly Analysis'!L$1,'Investment Data'!$P$3:$P$129,'Quarterly Analysis'!$B4)</f>
        <v>4686.75</v>
      </c>
      <c r="M4" s="113">
        <f>SUMIFS('Investment Data'!$G$3:$G$129,'Investment Data'!$B$3:$B$129,'Quarterly Analysis'!L$1,'Investment Data'!$P$3:$P$129,'Quarterly Analysis'!$B4)+(SUMIFS('Investment Data'!$R$3:$R$129,'Investment Data'!$B$3:$B$129,'Quarterly Analysis'!L$1,'Investment Data'!$P$3:$P$129,'Quarterly Analysis'!$B4)/4)</f>
        <v>8276.32</v>
      </c>
      <c r="N4" s="123">
        <f t="shared" ref="N4:N15" si="3">IFERROR(($M4-$L4)/$L4,0)</f>
        <v>0.76589747692964205</v>
      </c>
      <c r="O4" s="109">
        <f>SUMIFS('Investment Data'!$I$3:$I$129,'Investment Data'!$B$3:$B$129,'Quarterly Analysis'!O$1,'Investment Data'!$P$3:$P$129,'Quarterly Analysis'!$B4)+SUMIFS('Investment Data'!$K$3:$K$129,'Investment Data'!$B$3:$B$129,'Quarterly Analysis'!O$1,'Investment Data'!$P$3:$P$129,'Quarterly Analysis'!$B4)</f>
        <v>0</v>
      </c>
      <c r="P4" s="126">
        <f>SUMIFS('Investment Data'!$G$3:$G$129,'Investment Data'!$B$3:$B$129,'Quarterly Analysis'!O$1,'Investment Data'!$P$3:$P$129,'Quarterly Analysis'!$B4)+(SUMIFS('Investment Data'!$R$3:$R$129,'Investment Data'!$B$3:$B$129,'Quarterly Analysis'!O$1,'Investment Data'!$P$3:$P$129,'Quarterly Analysis'!$B4)/4)</f>
        <v>0</v>
      </c>
      <c r="Q4" s="117">
        <f t="shared" ref="Q4:Q15" si="4">IFERROR(($P4-$O4)/$O4,0)</f>
        <v>0</v>
      </c>
      <c r="R4" s="107">
        <f>SUMIFS('Investment Data'!$I$3:$I$129,'Investment Data'!$B$3:$B$129,'Quarterly Analysis'!R$1,'Investment Data'!$P$3:$P$129,'Quarterly Analysis'!$B4)+SUMIFS('Investment Data'!$K$3:$K$129,'Investment Data'!$B$3:$B$129,'Quarterly Analysis'!R$1,'Investment Data'!$P$3:$P$129,'Quarterly Analysis'!$B4)</f>
        <v>0</v>
      </c>
      <c r="S4" s="126">
        <f>SUMIFS('Investment Data'!$G$3:$G$129,'Investment Data'!$B$3:$B$129,'Quarterly Analysis'!R$1,'Investment Data'!$P$3:$P$129,'Quarterly Analysis'!$B4)+(SUMIFS('Investment Data'!$R$3:$R$129,'Investment Data'!$B$3:$B$129,'Quarterly Analysis'!R$1,'Investment Data'!$P$3:$P$129,'Quarterly Analysis'!$B4)/4)</f>
        <v>0</v>
      </c>
      <c r="T4" s="120">
        <f t="shared" ref="T4:T15" si="5">IFERROR(($S4-$R4)/$R4,0)</f>
        <v>0</v>
      </c>
      <c r="U4" s="109">
        <f>SUMIFS('Investment Data'!$I$3:$I$129,'Investment Data'!$B$3:$B$129,'Quarterly Analysis'!U$1,'Investment Data'!$P$3:$P$129,'Quarterly Analysis'!$B4)+SUMIFS('Investment Data'!$K$3:$K$129,'Investment Data'!$B$3:$B$129,'Quarterly Analysis'!U$1,'Investment Data'!$P$3:$P$129,'Quarterly Analysis'!$B4)</f>
        <v>5580.9000000000005</v>
      </c>
      <c r="V4" s="126">
        <f>SUMIFS('Investment Data'!$G$3:$G$129,'Investment Data'!$B$3:$B$129,'Quarterly Analysis'!U$1,'Investment Data'!$P$3:$P$129,'Quarterly Analysis'!$B4)+(SUMIFS('Investment Data'!$R$3:$R$129,'Investment Data'!$B$3:$B$129,'Quarterly Analysis'!U$1,'Investment Data'!$P$3:$P$129,'Quarterly Analysis'!$B4)/4)</f>
        <v>5762.625</v>
      </c>
      <c r="W4" s="120">
        <f t="shared" ref="W4:W15" si="6">IFERROR(($V4-$U4)/$U4,0)</f>
        <v>3.2561952373273029E-2</v>
      </c>
      <c r="X4" s="107">
        <f>SUMIFS('Investment Data'!$I$3:$I$129,'Investment Data'!$B$3:$B$129,'Quarterly Analysis'!X$1,'Investment Data'!$P$3:$P$129,'Quarterly Analysis'!$B4)+SUMIFS('Investment Data'!$K$3:$K$129,'Investment Data'!$B$3:$B$129,'Quarterly Analysis'!X$1,'Investment Data'!$P$3:$P$129,'Quarterly Analysis'!$B4)</f>
        <v>0</v>
      </c>
      <c r="Y4" s="126">
        <f>SUMIFS('Investment Data'!$G$3:$G$129,'Investment Data'!$B$3:$B$129,'Quarterly Analysis'!X$1,'Investment Data'!$P$3:$P$129,'Quarterly Analysis'!$B4)+(SUMIFS('Investment Data'!$R$3:$R$129,'Investment Data'!$B$3:$B$129,'Quarterly Analysis'!X$1,'Investment Data'!$P$3:$P$129,'Quarterly Analysis'!$B4)/4)</f>
        <v>0</v>
      </c>
      <c r="Z4" s="120">
        <f t="shared" ref="Z4:Z15" si="7">IFERROR(($Y4-$X4)/$X4,0)</f>
        <v>0</v>
      </c>
      <c r="AA4" s="109">
        <f>SUMIFS('Investment Data'!$I$3:$I$129,'Investment Data'!$B$3:$B$129,'Quarterly Analysis'!AA$1,'Investment Data'!$P$3:$P$129,'Quarterly Analysis'!$B4)+SUMIFS('Investment Data'!$K$3:$K$129,'Investment Data'!$B$3:$B$129,'Quarterly Analysis'!AA$1,'Investment Data'!$P$3:$P$129,'Quarterly Analysis'!$B4)</f>
        <v>0</v>
      </c>
      <c r="AB4" s="126">
        <f>SUMIFS('Investment Data'!$G$3:$G$129,'Investment Data'!$B$3:$B$129,'Quarterly Analysis'!AA$1,'Investment Data'!$P$3:$P$129,'Quarterly Analysis'!$B4)+(SUMIFS('Investment Data'!$R$3:$R$129,'Investment Data'!$B$3:$B$129,'Quarterly Analysis'!AA$1,'Investment Data'!$P$3:$P$129,'Quarterly Analysis'!$B4)/4)</f>
        <v>0</v>
      </c>
      <c r="AC4" s="120">
        <f t="shared" ref="AC4:AC15" si="8">IFERROR(($AB4-$AA4)/$AA4,0)</f>
        <v>0</v>
      </c>
      <c r="AD4" s="107">
        <f>SUMIFS('Investment Data'!$I$3:$I$129,'Investment Data'!$B$3:$B$129,'Quarterly Analysis'!AD$1,'Investment Data'!$P$3:$P$129,'Quarterly Analysis'!$B4)+SUMIFS('Investment Data'!$K$3:$K$129,'Investment Data'!$B$3:$B$129,'Quarterly Analysis'!AD$1,'Investment Data'!$P$3:$P$129,'Quarterly Analysis'!$B4)</f>
        <v>0</v>
      </c>
      <c r="AE4" s="126">
        <f>SUMIFS('Investment Data'!$G$3:$G$129,'Investment Data'!$B$3:$B$129,'Quarterly Analysis'!AD$1,'Investment Data'!$P$3:$P$129,'Quarterly Analysis'!$B4)+(SUMIFS('Investment Data'!$R$3:$R$129,'Investment Data'!$B$3:$B$129,'Quarterly Analysis'!AD$1,'Investment Data'!$P$3:$P$129,'Quarterly Analysis'!$B4)/4)</f>
        <v>0</v>
      </c>
      <c r="AF4" s="120">
        <f t="shared" ref="AF4:AF15" si="9">IFERROR(($AE4-$AD4)/$AD4,0)</f>
        <v>0</v>
      </c>
      <c r="AG4" s="129"/>
    </row>
    <row r="5" spans="2:33" ht="14.4">
      <c r="B5" s="45" t="s">
        <v>18</v>
      </c>
      <c r="C5" s="107">
        <f>SUMIFS('Investment Data'!$I$3:$I$129,'Investment Data'!$B$3:$B$129,'Quarterly Analysis'!C$1,'Investment Data'!$P$3:$P$129,'Quarterly Analysis'!$B5)+SUMIFS('Investment Data'!$K$3:$K$129,'Investment Data'!$B$3:$B$129,'Quarterly Analysis'!C$1,'Investment Data'!$P$3:$P$129,'Quarterly Analysis'!$B5)</f>
        <v>0</v>
      </c>
      <c r="D5" s="108">
        <f>SUMIFS('Investment Data'!$G$3:$G$129,'Investment Data'!$B$3:$B$129,'Quarterly Analysis'!C$1,'Investment Data'!$P$3:$P$129,'Quarterly Analysis'!$B5)+(SUMIFS('Investment Data'!$R$3:$R$129,'Investment Data'!$B$3:$B$129,'Quarterly Analysis'!C$1,'Investment Data'!$P$3:$P$129,'Quarterly Analysis'!$B5)/4)</f>
        <v>0</v>
      </c>
      <c r="E5" s="123">
        <f t="shared" si="0"/>
        <v>0</v>
      </c>
      <c r="F5" s="107">
        <f>SUMIFS('Investment Data'!$I$3:$I$129,'Investment Data'!$B$3:$B$129,'Quarterly Analysis'!F$1,'Investment Data'!$P$3:$P$129,'Quarterly Analysis'!$B5)+SUMIFS('Investment Data'!$K$3:$K$129,'Investment Data'!$B$3:$B$129,'Quarterly Analysis'!F$1,'Investment Data'!$P$3:$P$129,'Quarterly Analysis'!$B5)</f>
        <v>5480.0300000000007</v>
      </c>
      <c r="G5" s="126">
        <f>SUMIFS('Investment Data'!$G$3:$G$129,'Investment Data'!$B$3:$B$129,'Quarterly Analysis'!F$1,'Investment Data'!$P$3:$P$129,'Quarterly Analysis'!$B5)+(SUMIFS('Investment Data'!$R$3:$R$129,'Investment Data'!$B$3:$B$129,'Quarterly Analysis'!F$1,'Investment Data'!$P$3:$P$129,'Quarterly Analysis'!$B5)/4)</f>
        <v>4636.66</v>
      </c>
      <c r="H5" s="120">
        <f t="shared" si="1"/>
        <v>-0.15389879252485858</v>
      </c>
      <c r="I5" s="109">
        <f>SUMIFS('Investment Data'!$I$3:$I$129,'Investment Data'!$B$3:$B$129,'Quarterly Analysis'!I$1,'Investment Data'!$P$3:$P$129,'Quarterly Analysis'!$B5)+SUMIFS('Investment Data'!$K$3:$K$129,'Investment Data'!$B$3:$B$129,'Quarterly Analysis'!I$1,'Investment Data'!$P$3:$P$129,'Quarterly Analysis'!$B5)</f>
        <v>8590.8499999999985</v>
      </c>
      <c r="J5" s="126">
        <f>SUMIFS('Investment Data'!$G$3:$G$129,'Investment Data'!$B$3:$B$129,'Quarterly Analysis'!I$1,'Investment Data'!$P$3:$P$129,'Quarterly Analysis'!$B5)+(SUMIFS('Investment Data'!$R$3:$R$129,'Investment Data'!$B$3:$B$129,'Quarterly Analysis'!I$1,'Investment Data'!$P$3:$P$129,'Quarterly Analysis'!$B5)/4)</f>
        <v>7909.3125</v>
      </c>
      <c r="K5" s="117">
        <f t="shared" si="2"/>
        <v>-7.9332953083804128E-2</v>
      </c>
      <c r="L5" s="107">
        <f>SUMIFS('Investment Data'!$I$3:$I$129,'Investment Data'!$B$3:$B$129,'Quarterly Analysis'!L$1,'Investment Data'!$P$3:$P$129,'Quarterly Analysis'!$B5)+SUMIFS('Investment Data'!$K$3:$K$129,'Investment Data'!$B$3:$B$129,'Quarterly Analysis'!L$1,'Investment Data'!$P$3:$P$129,'Quarterly Analysis'!$B5)</f>
        <v>6203.75</v>
      </c>
      <c r="M5" s="113">
        <f>SUMIFS('Investment Data'!$G$3:$G$129,'Investment Data'!$B$3:$B$129,'Quarterly Analysis'!L$1,'Investment Data'!$P$3:$P$129,'Quarterly Analysis'!$B5)+(SUMIFS('Investment Data'!$R$3:$R$129,'Investment Data'!$B$3:$B$129,'Quarterly Analysis'!L$1,'Investment Data'!$P$3:$P$129,'Quarterly Analysis'!$B5)/4)</f>
        <v>8717.7240000000002</v>
      </c>
      <c r="N5" s="123">
        <f t="shared" si="3"/>
        <v>0.40523457586137418</v>
      </c>
      <c r="O5" s="109">
        <f>SUMIFS('Investment Data'!$I$3:$I$129,'Investment Data'!$B$3:$B$129,'Quarterly Analysis'!O$1,'Investment Data'!$P$3:$P$129,'Quarterly Analysis'!$B5)+SUMIFS('Investment Data'!$K$3:$K$129,'Investment Data'!$B$3:$B$129,'Quarterly Analysis'!O$1,'Investment Data'!$P$3:$P$129,'Quarterly Analysis'!$B5)</f>
        <v>1602</v>
      </c>
      <c r="P5" s="126">
        <f>SUMIFS('Investment Data'!$G$3:$G$129,'Investment Data'!$B$3:$B$129,'Quarterly Analysis'!O$1,'Investment Data'!$P$3:$P$129,'Quarterly Analysis'!$B5)+(SUMIFS('Investment Data'!$R$3:$R$129,'Investment Data'!$B$3:$B$129,'Quarterly Analysis'!O$1,'Investment Data'!$P$3:$P$129,'Quarterly Analysis'!$B5)/4)</f>
        <v>2791.8</v>
      </c>
      <c r="Q5" s="117">
        <f t="shared" si="4"/>
        <v>0.74269662921348323</v>
      </c>
      <c r="R5" s="107">
        <f>SUMIFS('Investment Data'!$I$3:$I$129,'Investment Data'!$B$3:$B$129,'Quarterly Analysis'!R$1,'Investment Data'!$P$3:$P$129,'Quarterly Analysis'!$B5)+SUMIFS('Investment Data'!$K$3:$K$129,'Investment Data'!$B$3:$B$129,'Quarterly Analysis'!R$1,'Investment Data'!$P$3:$P$129,'Quarterly Analysis'!$B5)</f>
        <v>12362.95</v>
      </c>
      <c r="S5" s="126">
        <f>SUMIFS('Investment Data'!$G$3:$G$129,'Investment Data'!$B$3:$B$129,'Quarterly Analysis'!R$1,'Investment Data'!$P$3:$P$129,'Quarterly Analysis'!$B5)+(SUMIFS('Investment Data'!$R$3:$R$129,'Investment Data'!$B$3:$B$129,'Quarterly Analysis'!R$1,'Investment Data'!$P$3:$P$129,'Quarterly Analysis'!$B5)/4)</f>
        <v>17644.29</v>
      </c>
      <c r="T5" s="120">
        <f t="shared" si="5"/>
        <v>0.42719092126070235</v>
      </c>
      <c r="U5" s="109">
        <f>SUMIFS('Investment Data'!$I$3:$I$129,'Investment Data'!$B$3:$B$129,'Quarterly Analysis'!U$1,'Investment Data'!$P$3:$P$129,'Quarterly Analysis'!$B5)+SUMIFS('Investment Data'!$K$3:$K$129,'Investment Data'!$B$3:$B$129,'Quarterly Analysis'!U$1,'Investment Data'!$P$3:$P$129,'Quarterly Analysis'!$B5)</f>
        <v>3815.34</v>
      </c>
      <c r="V5" s="126">
        <f>SUMIFS('Investment Data'!$G$3:$G$129,'Investment Data'!$B$3:$B$129,'Quarterly Analysis'!U$1,'Investment Data'!$P$3:$P$129,'Quarterly Analysis'!$B5)+(SUMIFS('Investment Data'!$R$3:$R$129,'Investment Data'!$B$3:$B$129,'Quarterly Analysis'!U$1,'Investment Data'!$P$3:$P$129,'Quarterly Analysis'!$B5)/4)</f>
        <v>5935.5839999999998</v>
      </c>
      <c r="W5" s="120">
        <f t="shared" si="6"/>
        <v>0.55571561119061463</v>
      </c>
      <c r="X5" s="107">
        <f>SUMIFS('Investment Data'!$I$3:$I$129,'Investment Data'!$B$3:$B$129,'Quarterly Analysis'!X$1,'Investment Data'!$P$3:$P$129,'Quarterly Analysis'!$B5)+SUMIFS('Investment Data'!$K$3:$K$129,'Investment Data'!$B$3:$B$129,'Quarterly Analysis'!X$1,'Investment Data'!$P$3:$P$129,'Quarterly Analysis'!$B5)</f>
        <v>16873.61</v>
      </c>
      <c r="Y5" s="126">
        <f>SUMIFS('Investment Data'!$G$3:$G$129,'Investment Data'!$B$3:$B$129,'Quarterly Analysis'!X$1,'Investment Data'!$P$3:$P$129,'Quarterly Analysis'!$B5)+(SUMIFS('Investment Data'!$R$3:$R$129,'Investment Data'!$B$3:$B$129,'Quarterly Analysis'!X$1,'Investment Data'!$P$3:$P$129,'Quarterly Analysis'!$B5)/4)</f>
        <v>11160</v>
      </c>
      <c r="Z5" s="120">
        <f t="shared" si="7"/>
        <v>-0.33861218790762621</v>
      </c>
      <c r="AA5" s="109">
        <f>SUMIFS('Investment Data'!$I$3:$I$129,'Investment Data'!$B$3:$B$129,'Quarterly Analysis'!AA$1,'Investment Data'!$P$3:$P$129,'Quarterly Analysis'!$B5)+SUMIFS('Investment Data'!$K$3:$K$129,'Investment Data'!$B$3:$B$129,'Quarterly Analysis'!AA$1,'Investment Data'!$P$3:$P$129,'Quarterly Analysis'!$B5)</f>
        <v>9984.25</v>
      </c>
      <c r="AB5" s="126">
        <f>SUMIFS('Investment Data'!$G$3:$G$129,'Investment Data'!$B$3:$B$129,'Quarterly Analysis'!AA$1,'Investment Data'!$P$3:$P$129,'Quarterly Analysis'!$B5)+(SUMIFS('Investment Data'!$R$3:$R$129,'Investment Data'!$B$3:$B$129,'Quarterly Analysis'!AA$1,'Investment Data'!$P$3:$P$129,'Quarterly Analysis'!$B5)/4)</f>
        <v>15240.96</v>
      </c>
      <c r="AC5" s="120">
        <f t="shared" si="8"/>
        <v>0.5265002378746525</v>
      </c>
      <c r="AD5" s="107">
        <f>SUMIFS('Investment Data'!$I$3:$I$129,'Investment Data'!$B$3:$B$129,'Quarterly Analysis'!AD$1,'Investment Data'!$P$3:$P$129,'Quarterly Analysis'!$B5)+SUMIFS('Investment Data'!$K$3:$K$129,'Investment Data'!$B$3:$B$129,'Quarterly Analysis'!AD$1,'Investment Data'!$P$3:$P$129,'Quarterly Analysis'!$B5)</f>
        <v>0</v>
      </c>
      <c r="AE5" s="126">
        <f>SUMIFS('Investment Data'!$G$3:$G$129,'Investment Data'!$B$3:$B$129,'Quarterly Analysis'!AD$1,'Investment Data'!$P$3:$P$129,'Quarterly Analysis'!$B5)+(SUMIFS('Investment Data'!$R$3:$R$129,'Investment Data'!$B$3:$B$129,'Quarterly Analysis'!AD$1,'Investment Data'!$P$3:$P$129,'Quarterly Analysis'!$B5)/4)</f>
        <v>0</v>
      </c>
      <c r="AF5" s="120">
        <f t="shared" si="9"/>
        <v>0</v>
      </c>
      <c r="AG5" s="129"/>
    </row>
    <row r="6" spans="2:33" ht="14.4">
      <c r="B6" s="45" t="s">
        <v>19</v>
      </c>
      <c r="C6" s="107">
        <f>SUMIFS('Investment Data'!$I$3:$I$129,'Investment Data'!$B$3:$B$129,'Quarterly Analysis'!C$1,'Investment Data'!$P$3:$P$129,'Quarterly Analysis'!$B6)+SUMIFS('Investment Data'!$K$3:$K$129,'Investment Data'!$B$3:$B$129,'Quarterly Analysis'!C$1,'Investment Data'!$P$3:$P$129,'Quarterly Analysis'!$B6)</f>
        <v>10716.23</v>
      </c>
      <c r="D6" s="108">
        <f>SUMIFS('Investment Data'!$G$3:$G$129,'Investment Data'!$B$3:$B$129,'Quarterly Analysis'!C$1,'Investment Data'!$P$3:$P$129,'Quarterly Analysis'!$B6)+(SUMIFS('Investment Data'!$R$3:$R$129,'Investment Data'!$B$3:$B$129,'Quarterly Analysis'!C$1,'Investment Data'!$P$3:$P$129,'Quarterly Analysis'!$B6)/4)</f>
        <v>9815.0400000000009</v>
      </c>
      <c r="E6" s="123">
        <f t="shared" si="0"/>
        <v>-8.4095806081056379E-2</v>
      </c>
      <c r="F6" s="107">
        <f>SUMIFS('Investment Data'!$I$3:$I$129,'Investment Data'!$B$3:$B$129,'Quarterly Analysis'!F$1,'Investment Data'!$P$3:$P$129,'Quarterly Analysis'!$B6)+SUMIFS('Investment Data'!$K$3:$K$129,'Investment Data'!$B$3:$B$129,'Quarterly Analysis'!F$1,'Investment Data'!$P$3:$P$129,'Quarterly Analysis'!$B6)</f>
        <v>7694.67</v>
      </c>
      <c r="G6" s="126">
        <f>SUMIFS('Investment Data'!$G$3:$G$129,'Investment Data'!$B$3:$B$129,'Quarterly Analysis'!F$1,'Investment Data'!$P$3:$P$129,'Quarterly Analysis'!$B6)+(SUMIFS('Investment Data'!$R$3:$R$129,'Investment Data'!$B$3:$B$129,'Quarterly Analysis'!F$1,'Investment Data'!$P$3:$P$129,'Quarterly Analysis'!$B6)/4)</f>
        <v>9979.6</v>
      </c>
      <c r="H6" s="120">
        <f t="shared" si="1"/>
        <v>0.29694970674505861</v>
      </c>
      <c r="I6" s="109">
        <f>SUMIFS('Investment Data'!$I$3:$I$129,'Investment Data'!$B$3:$B$129,'Quarterly Analysis'!I$1,'Investment Data'!$P$3:$P$129,'Quarterly Analysis'!$B6)+SUMIFS('Investment Data'!$K$3:$K$129,'Investment Data'!$B$3:$B$129,'Quarterly Analysis'!I$1,'Investment Data'!$P$3:$P$129,'Quarterly Analysis'!$B6)</f>
        <v>8040.6600000000008</v>
      </c>
      <c r="J6" s="126">
        <f>SUMIFS('Investment Data'!$G$3:$G$129,'Investment Data'!$B$3:$B$129,'Quarterly Analysis'!I$1,'Investment Data'!$P$3:$P$129,'Quarterly Analysis'!$B6)+(SUMIFS('Investment Data'!$R$3:$R$129,'Investment Data'!$B$3:$B$129,'Quarterly Analysis'!I$1,'Investment Data'!$P$3:$P$129,'Quarterly Analysis'!$B6)/4)</f>
        <v>10305.66</v>
      </c>
      <c r="K6" s="117">
        <f t="shared" si="2"/>
        <v>0.28169329383408809</v>
      </c>
      <c r="L6" s="107">
        <f>SUMIFS('Investment Data'!$I$3:$I$129,'Investment Data'!$B$3:$B$129,'Quarterly Analysis'!L$1,'Investment Data'!$P$3:$P$129,'Quarterly Analysis'!$B6)+SUMIFS('Investment Data'!$K$3:$K$129,'Investment Data'!$B$3:$B$129,'Quarterly Analysis'!L$1,'Investment Data'!$P$3:$P$129,'Quarterly Analysis'!$B6)</f>
        <v>0</v>
      </c>
      <c r="M6" s="113">
        <f>SUMIFS('Investment Data'!$G$3:$G$129,'Investment Data'!$B$3:$B$129,'Quarterly Analysis'!L$1,'Investment Data'!$P$3:$P$129,'Quarterly Analysis'!$B6)+(SUMIFS('Investment Data'!$R$3:$R$129,'Investment Data'!$B$3:$B$129,'Quarterly Analysis'!L$1,'Investment Data'!$P$3:$P$129,'Quarterly Analysis'!$B6)/4)</f>
        <v>0</v>
      </c>
      <c r="N6" s="123">
        <f t="shared" si="3"/>
        <v>0</v>
      </c>
      <c r="O6" s="109">
        <f>SUMIFS('Investment Data'!$I$3:$I$129,'Investment Data'!$B$3:$B$129,'Quarterly Analysis'!O$1,'Investment Data'!$P$3:$P$129,'Quarterly Analysis'!$B6)+SUMIFS('Investment Data'!$K$3:$K$129,'Investment Data'!$B$3:$B$129,'Quarterly Analysis'!O$1,'Investment Data'!$P$3:$P$129,'Quarterly Analysis'!$B6)</f>
        <v>5872.3700000000008</v>
      </c>
      <c r="P6" s="126">
        <f>SUMIFS('Investment Data'!$G$3:$G$129,'Investment Data'!$B$3:$B$129,'Quarterly Analysis'!O$1,'Investment Data'!$P$3:$P$129,'Quarterly Analysis'!$B6)+(SUMIFS('Investment Data'!$R$3:$R$129,'Investment Data'!$B$3:$B$129,'Quarterly Analysis'!O$1,'Investment Data'!$P$3:$P$129,'Quarterly Analysis'!$B6)/4)</f>
        <v>6057.55</v>
      </c>
      <c r="Q6" s="117">
        <f t="shared" si="4"/>
        <v>3.153411654919553E-2</v>
      </c>
      <c r="R6" s="107">
        <f>SUMIFS('Investment Data'!$I$3:$I$129,'Investment Data'!$B$3:$B$129,'Quarterly Analysis'!R$1,'Investment Data'!$P$3:$P$129,'Quarterly Analysis'!$B6)+SUMIFS('Investment Data'!$K$3:$K$129,'Investment Data'!$B$3:$B$129,'Quarterly Analysis'!R$1,'Investment Data'!$P$3:$P$129,'Quarterly Analysis'!$B6)</f>
        <v>0</v>
      </c>
      <c r="S6" s="126">
        <f>SUMIFS('Investment Data'!$G$3:$G$129,'Investment Data'!$B$3:$B$129,'Quarterly Analysis'!R$1,'Investment Data'!$P$3:$P$129,'Quarterly Analysis'!$B6)+(SUMIFS('Investment Data'!$R$3:$R$129,'Investment Data'!$B$3:$B$129,'Quarterly Analysis'!R$1,'Investment Data'!$P$3:$P$129,'Quarterly Analysis'!$B6)/4)</f>
        <v>0</v>
      </c>
      <c r="T6" s="120">
        <f t="shared" si="5"/>
        <v>0</v>
      </c>
      <c r="U6" s="109">
        <f>SUMIFS('Investment Data'!$I$3:$I$129,'Investment Data'!$B$3:$B$129,'Quarterly Analysis'!U$1,'Investment Data'!$P$3:$P$129,'Quarterly Analysis'!$B6)+SUMIFS('Investment Data'!$K$3:$K$129,'Investment Data'!$B$3:$B$129,'Quarterly Analysis'!U$1,'Investment Data'!$P$3:$P$129,'Quarterly Analysis'!$B6)</f>
        <v>2733.2799999999997</v>
      </c>
      <c r="V6" s="126">
        <f>SUMIFS('Investment Data'!$G$3:$G$129,'Investment Data'!$B$3:$B$129,'Quarterly Analysis'!U$1,'Investment Data'!$P$3:$P$129,'Quarterly Analysis'!$B6)+(SUMIFS('Investment Data'!$R$3:$R$129,'Investment Data'!$B$3:$B$129,'Quarterly Analysis'!U$1,'Investment Data'!$P$3:$P$129,'Quarterly Analysis'!$B6)/4)</f>
        <v>2838.4549999999999</v>
      </c>
      <c r="W6" s="120">
        <f t="shared" si="6"/>
        <v>3.8479409354328933E-2</v>
      </c>
      <c r="X6" s="107">
        <f>SUMIFS('Investment Data'!$I$3:$I$129,'Investment Data'!$B$3:$B$129,'Quarterly Analysis'!X$1,'Investment Data'!$P$3:$P$129,'Quarterly Analysis'!$B6)+SUMIFS('Investment Data'!$K$3:$K$129,'Investment Data'!$B$3:$B$129,'Quarterly Analysis'!X$1,'Investment Data'!$P$3:$P$129,'Quarterly Analysis'!$B6)</f>
        <v>0</v>
      </c>
      <c r="Y6" s="126">
        <f>SUMIFS('Investment Data'!$G$3:$G$129,'Investment Data'!$B$3:$B$129,'Quarterly Analysis'!X$1,'Investment Data'!$P$3:$P$129,'Quarterly Analysis'!$B6)+(SUMIFS('Investment Data'!$R$3:$R$129,'Investment Data'!$B$3:$B$129,'Quarterly Analysis'!X$1,'Investment Data'!$P$3:$P$129,'Quarterly Analysis'!$B6)/4)</f>
        <v>0</v>
      </c>
      <c r="Z6" s="120">
        <f t="shared" si="7"/>
        <v>0</v>
      </c>
      <c r="AA6" s="109">
        <f>SUMIFS('Investment Data'!$I$3:$I$129,'Investment Data'!$B$3:$B$129,'Quarterly Analysis'!AA$1,'Investment Data'!$P$3:$P$129,'Quarterly Analysis'!$B6)+SUMIFS('Investment Data'!$K$3:$K$129,'Investment Data'!$B$3:$B$129,'Quarterly Analysis'!AA$1,'Investment Data'!$P$3:$P$129,'Quarterly Analysis'!$B6)</f>
        <v>0</v>
      </c>
      <c r="AB6" s="126">
        <f>SUMIFS('Investment Data'!$G$3:$G$129,'Investment Data'!$B$3:$B$129,'Quarterly Analysis'!AA$1,'Investment Data'!$P$3:$P$129,'Quarterly Analysis'!$B6)+(SUMIFS('Investment Data'!$R$3:$R$129,'Investment Data'!$B$3:$B$129,'Quarterly Analysis'!AA$1,'Investment Data'!$P$3:$P$129,'Quarterly Analysis'!$B6)/4)</f>
        <v>0</v>
      </c>
      <c r="AC6" s="120">
        <f t="shared" si="8"/>
        <v>0</v>
      </c>
      <c r="AD6" s="107">
        <f>SUMIFS('Investment Data'!$I$3:$I$129,'Investment Data'!$B$3:$B$129,'Quarterly Analysis'!AD$1,'Investment Data'!$P$3:$P$129,'Quarterly Analysis'!$B6)+SUMIFS('Investment Data'!$K$3:$K$129,'Investment Data'!$B$3:$B$129,'Quarterly Analysis'!AD$1,'Investment Data'!$P$3:$P$129,'Quarterly Analysis'!$B6)</f>
        <v>0</v>
      </c>
      <c r="AE6" s="126">
        <f>SUMIFS('Investment Data'!$G$3:$G$129,'Investment Data'!$B$3:$B$129,'Quarterly Analysis'!AD$1,'Investment Data'!$P$3:$P$129,'Quarterly Analysis'!$B6)+(SUMIFS('Investment Data'!$R$3:$R$129,'Investment Data'!$B$3:$B$129,'Quarterly Analysis'!AD$1,'Investment Data'!$P$3:$P$129,'Quarterly Analysis'!$B6)/4)</f>
        <v>0</v>
      </c>
      <c r="AF6" s="120">
        <f t="shared" si="9"/>
        <v>0</v>
      </c>
      <c r="AG6" s="129"/>
    </row>
    <row r="7" spans="2:33" ht="14.4">
      <c r="B7" s="45" t="s">
        <v>22</v>
      </c>
      <c r="C7" s="107">
        <f>SUMIFS('Investment Data'!$I$3:$I$129,'Investment Data'!$B$3:$B$129,'Quarterly Analysis'!C$1,'Investment Data'!$P$3:$P$129,'Quarterly Analysis'!$B7)+SUMIFS('Investment Data'!$K$3:$K$129,'Investment Data'!$B$3:$B$129,'Quarterly Analysis'!C$1,'Investment Data'!$P$3:$P$129,'Quarterly Analysis'!$B7)</f>
        <v>0</v>
      </c>
      <c r="D7" s="108">
        <f>SUMIFS('Investment Data'!$G$3:$G$129,'Investment Data'!$B$3:$B$129,'Quarterly Analysis'!C$1,'Investment Data'!$P$3:$P$129,'Quarterly Analysis'!$B7)+(SUMIFS('Investment Data'!$R$3:$R$129,'Investment Data'!$B$3:$B$129,'Quarterly Analysis'!C$1,'Investment Data'!$P$3:$P$129,'Quarterly Analysis'!$B7)/4)</f>
        <v>0</v>
      </c>
      <c r="E7" s="123">
        <f t="shared" si="0"/>
        <v>0</v>
      </c>
      <c r="F7" s="107">
        <f>SUMIFS('Investment Data'!$I$3:$I$129,'Investment Data'!$B$3:$B$129,'Quarterly Analysis'!F$1,'Investment Data'!$P$3:$P$129,'Quarterly Analysis'!$B7)+SUMIFS('Investment Data'!$K$3:$K$129,'Investment Data'!$B$3:$B$129,'Quarterly Analysis'!F$1,'Investment Data'!$P$3:$P$129,'Quarterly Analysis'!$B7)</f>
        <v>7680.35</v>
      </c>
      <c r="G7" s="126">
        <f>SUMIFS('Investment Data'!$G$3:$G$129,'Investment Data'!$B$3:$B$129,'Quarterly Analysis'!F$1,'Investment Data'!$P$3:$P$129,'Quarterly Analysis'!$B7)+(SUMIFS('Investment Data'!$R$3:$R$129,'Investment Data'!$B$3:$B$129,'Quarterly Analysis'!F$1,'Investment Data'!$P$3:$P$129,'Quarterly Analysis'!$B7)/4)</f>
        <v>6989.24</v>
      </c>
      <c r="H7" s="120">
        <f t="shared" si="1"/>
        <v>-8.9984180408444997E-2</v>
      </c>
      <c r="I7" s="109">
        <f>SUMIFS('Investment Data'!$I$3:$I$129,'Investment Data'!$B$3:$B$129,'Quarterly Analysis'!I$1,'Investment Data'!$P$3:$P$129,'Quarterly Analysis'!$B7)+SUMIFS('Investment Data'!$K$3:$K$129,'Investment Data'!$B$3:$B$129,'Quarterly Analysis'!I$1,'Investment Data'!$P$3:$P$129,'Quarterly Analysis'!$B7)</f>
        <v>4369.42</v>
      </c>
      <c r="J7" s="126">
        <f>SUMIFS('Investment Data'!$G$3:$G$129,'Investment Data'!$B$3:$B$129,'Quarterly Analysis'!I$1,'Investment Data'!$P$3:$P$129,'Quarterly Analysis'!$B7)+(SUMIFS('Investment Data'!$R$3:$R$129,'Investment Data'!$B$3:$B$129,'Quarterly Analysis'!I$1,'Investment Data'!$P$3:$P$129,'Quarterly Analysis'!$B7)/4)</f>
        <v>5618.13</v>
      </c>
      <c r="K7" s="117">
        <f t="shared" si="2"/>
        <v>0.28578392555533688</v>
      </c>
      <c r="L7" s="107">
        <f>SUMIFS('Investment Data'!$I$3:$I$129,'Investment Data'!$B$3:$B$129,'Quarterly Analysis'!L$1,'Investment Data'!$P$3:$P$129,'Quarterly Analysis'!$B7)+SUMIFS('Investment Data'!$K$3:$K$129,'Investment Data'!$B$3:$B$129,'Quarterly Analysis'!L$1,'Investment Data'!$P$3:$P$129,'Quarterly Analysis'!$B7)</f>
        <v>28353.519999999997</v>
      </c>
      <c r="M7" s="113">
        <f>SUMIFS('Investment Data'!$G$3:$G$129,'Investment Data'!$B$3:$B$129,'Quarterly Analysis'!L$1,'Investment Data'!$P$3:$P$129,'Quarterly Analysis'!$B7)+(SUMIFS('Investment Data'!$R$3:$R$129,'Investment Data'!$B$3:$B$129,'Quarterly Analysis'!L$1,'Investment Data'!$P$3:$P$129,'Quarterly Analysis'!$B7)/4)</f>
        <v>23869.68</v>
      </c>
      <c r="N7" s="123">
        <f t="shared" si="3"/>
        <v>-0.15814050601124646</v>
      </c>
      <c r="O7" s="109">
        <f>SUMIFS('Investment Data'!$I$3:$I$129,'Investment Data'!$B$3:$B$129,'Quarterly Analysis'!O$1,'Investment Data'!$P$3:$P$129,'Quarterly Analysis'!$B7)+SUMIFS('Investment Data'!$K$3:$K$129,'Investment Data'!$B$3:$B$129,'Quarterly Analysis'!O$1,'Investment Data'!$P$3:$P$129,'Quarterly Analysis'!$B7)</f>
        <v>10686.74</v>
      </c>
      <c r="P7" s="126">
        <f>SUMIFS('Investment Data'!$G$3:$G$129,'Investment Data'!$B$3:$B$129,'Quarterly Analysis'!O$1,'Investment Data'!$P$3:$P$129,'Quarterly Analysis'!$B7)+(SUMIFS('Investment Data'!$R$3:$R$129,'Investment Data'!$B$3:$B$129,'Quarterly Analysis'!O$1,'Investment Data'!$P$3:$P$129,'Quarterly Analysis'!$B7)/4)</f>
        <v>12860.48</v>
      </c>
      <c r="Q7" s="117">
        <f t="shared" si="4"/>
        <v>0.20340534157282761</v>
      </c>
      <c r="R7" s="107">
        <f>SUMIFS('Investment Data'!$I$3:$I$129,'Investment Data'!$B$3:$B$129,'Quarterly Analysis'!R$1,'Investment Data'!$P$3:$P$129,'Quarterly Analysis'!$B7)+SUMIFS('Investment Data'!$K$3:$K$129,'Investment Data'!$B$3:$B$129,'Quarterly Analysis'!R$1,'Investment Data'!$P$3:$P$129,'Quarterly Analysis'!$B7)</f>
        <v>1015.8</v>
      </c>
      <c r="S7" s="126">
        <f>SUMIFS('Investment Data'!$G$3:$G$129,'Investment Data'!$B$3:$B$129,'Quarterly Analysis'!R$1,'Investment Data'!$P$3:$P$129,'Quarterly Analysis'!$B7)+(SUMIFS('Investment Data'!$R$3:$R$129,'Investment Data'!$B$3:$B$129,'Quarterly Analysis'!R$1,'Investment Data'!$P$3:$P$129,'Quarterly Analysis'!$B7)/4)</f>
        <v>1090.2</v>
      </c>
      <c r="T7" s="120">
        <f t="shared" si="5"/>
        <v>7.3242764323685858E-2</v>
      </c>
      <c r="U7" s="109">
        <f>SUMIFS('Investment Data'!$I$3:$I$129,'Investment Data'!$B$3:$B$129,'Quarterly Analysis'!U$1,'Investment Data'!$P$3:$P$129,'Quarterly Analysis'!$B7)+SUMIFS('Investment Data'!$K$3:$K$129,'Investment Data'!$B$3:$B$129,'Quarterly Analysis'!U$1,'Investment Data'!$P$3:$P$129,'Quarterly Analysis'!$B7)</f>
        <v>0</v>
      </c>
      <c r="V7" s="126">
        <f>SUMIFS('Investment Data'!$G$3:$G$129,'Investment Data'!$B$3:$B$129,'Quarterly Analysis'!U$1,'Investment Data'!$P$3:$P$129,'Quarterly Analysis'!$B7)+(SUMIFS('Investment Data'!$R$3:$R$129,'Investment Data'!$B$3:$B$129,'Quarterly Analysis'!U$1,'Investment Data'!$P$3:$P$129,'Quarterly Analysis'!$B7)/4)</f>
        <v>0</v>
      </c>
      <c r="W7" s="120">
        <f t="shared" si="6"/>
        <v>0</v>
      </c>
      <c r="X7" s="107">
        <f>SUMIFS('Investment Data'!$I$3:$I$129,'Investment Data'!$B$3:$B$129,'Quarterly Analysis'!X$1,'Investment Data'!$P$3:$P$129,'Quarterly Analysis'!$B7)+SUMIFS('Investment Data'!$K$3:$K$129,'Investment Data'!$B$3:$B$129,'Quarterly Analysis'!X$1,'Investment Data'!$P$3:$P$129,'Quarterly Analysis'!$B7)</f>
        <v>1588</v>
      </c>
      <c r="Y7" s="126">
        <f>SUMIFS('Investment Data'!$G$3:$G$129,'Investment Data'!$B$3:$B$129,'Quarterly Analysis'!X$1,'Investment Data'!$P$3:$P$129,'Quarterly Analysis'!$B7)+(SUMIFS('Investment Data'!$R$3:$R$129,'Investment Data'!$B$3:$B$129,'Quarterly Analysis'!X$1,'Investment Data'!$P$3:$P$129,'Quarterly Analysis'!$B7)/4)</f>
        <v>1542.5</v>
      </c>
      <c r="Z7" s="120">
        <f t="shared" si="7"/>
        <v>-2.8652392947103273E-2</v>
      </c>
      <c r="AA7" s="109">
        <f>SUMIFS('Investment Data'!$I$3:$I$129,'Investment Data'!$B$3:$B$129,'Quarterly Analysis'!AA$1,'Investment Data'!$P$3:$P$129,'Quarterly Analysis'!$B7)+SUMIFS('Investment Data'!$K$3:$K$129,'Investment Data'!$B$3:$B$129,'Quarterly Analysis'!AA$1,'Investment Data'!$P$3:$P$129,'Quarterly Analysis'!$B7)</f>
        <v>2121.1299999999997</v>
      </c>
      <c r="AB7" s="126">
        <f>SUMIFS('Investment Data'!$G$3:$G$129,'Investment Data'!$B$3:$B$129,'Quarterly Analysis'!AA$1,'Investment Data'!$P$3:$P$129,'Quarterly Analysis'!$B7)+(SUMIFS('Investment Data'!$R$3:$R$129,'Investment Data'!$B$3:$B$129,'Quarterly Analysis'!AA$1,'Investment Data'!$P$3:$P$129,'Quarterly Analysis'!$B7)/4)</f>
        <v>3259.52</v>
      </c>
      <c r="AC7" s="120">
        <f t="shared" si="8"/>
        <v>0.53669034901208346</v>
      </c>
      <c r="AD7" s="107">
        <f>SUMIFS('Investment Data'!$I$3:$I$129,'Investment Data'!$B$3:$B$129,'Quarterly Analysis'!AD$1,'Investment Data'!$P$3:$P$129,'Quarterly Analysis'!$B7)+SUMIFS('Investment Data'!$K$3:$K$129,'Investment Data'!$B$3:$B$129,'Quarterly Analysis'!AD$1,'Investment Data'!$P$3:$P$129,'Quarterly Analysis'!$B7)</f>
        <v>0</v>
      </c>
      <c r="AE7" s="126">
        <f>SUMIFS('Investment Data'!$G$3:$G$129,'Investment Data'!$B$3:$B$129,'Quarterly Analysis'!AD$1,'Investment Data'!$P$3:$P$129,'Quarterly Analysis'!$B7)+(SUMIFS('Investment Data'!$R$3:$R$129,'Investment Data'!$B$3:$B$129,'Quarterly Analysis'!AD$1,'Investment Data'!$P$3:$P$129,'Quarterly Analysis'!$B7)/4)</f>
        <v>0</v>
      </c>
      <c r="AF7" s="120">
        <f t="shared" si="9"/>
        <v>0</v>
      </c>
      <c r="AG7" s="129"/>
    </row>
    <row r="8" spans="2:33" ht="14.4">
      <c r="B8" s="45" t="s">
        <v>24</v>
      </c>
      <c r="C8" s="107">
        <f>SUMIFS('Investment Data'!$I$3:$I$129,'Investment Data'!$B$3:$B$129,'Quarterly Analysis'!C$1,'Investment Data'!$P$3:$P$129,'Quarterly Analysis'!$B8)+SUMIFS('Investment Data'!$K$3:$K$129,'Investment Data'!$B$3:$B$129,'Quarterly Analysis'!C$1,'Investment Data'!$P$3:$P$129,'Quarterly Analysis'!$B8)</f>
        <v>0</v>
      </c>
      <c r="D8" s="108">
        <f>SUMIFS('Investment Data'!$G$3:$G$129,'Investment Data'!$B$3:$B$129,'Quarterly Analysis'!C$1,'Investment Data'!$P$3:$P$129,'Quarterly Analysis'!$B8)+(SUMIFS('Investment Data'!$R$3:$R$129,'Investment Data'!$B$3:$B$129,'Quarterly Analysis'!C$1,'Investment Data'!$P$3:$P$129,'Quarterly Analysis'!$B8)/4)</f>
        <v>0</v>
      </c>
      <c r="E8" s="123">
        <f t="shared" si="0"/>
        <v>0</v>
      </c>
      <c r="F8" s="107">
        <f>SUMIFS('Investment Data'!$I$3:$I$129,'Investment Data'!$B$3:$B$129,'Quarterly Analysis'!F$1,'Investment Data'!$P$3:$P$129,'Quarterly Analysis'!$B8)+SUMIFS('Investment Data'!$K$3:$K$129,'Investment Data'!$B$3:$B$129,'Quarterly Analysis'!F$1,'Investment Data'!$P$3:$P$129,'Quarterly Analysis'!$B8)</f>
        <v>304.5</v>
      </c>
      <c r="G8" s="126">
        <f>SUMIFS('Investment Data'!$G$3:$G$129,'Investment Data'!$B$3:$B$129,'Quarterly Analysis'!F$1,'Investment Data'!$P$3:$P$129,'Quarterly Analysis'!$B8)+(SUMIFS('Investment Data'!$R$3:$R$129,'Investment Data'!$B$3:$B$129,'Quarterly Analysis'!F$1,'Investment Data'!$P$3:$P$129,'Quarterly Analysis'!$B8)/4)</f>
        <v>761.25</v>
      </c>
      <c r="H8" s="120">
        <f t="shared" si="1"/>
        <v>1.5</v>
      </c>
      <c r="I8" s="109">
        <f>SUMIFS('Investment Data'!$I$3:$I$129,'Investment Data'!$B$3:$B$129,'Quarterly Analysis'!I$1,'Investment Data'!$P$3:$P$129,'Quarterly Analysis'!$B8)+SUMIFS('Investment Data'!$K$3:$K$129,'Investment Data'!$B$3:$B$129,'Quarterly Analysis'!I$1,'Investment Data'!$P$3:$P$129,'Quarterly Analysis'!$B8)</f>
        <v>0</v>
      </c>
      <c r="J8" s="126">
        <f>SUMIFS('Investment Data'!$G$3:$G$129,'Investment Data'!$B$3:$B$129,'Quarterly Analysis'!I$1,'Investment Data'!$P$3:$P$129,'Quarterly Analysis'!$B8)+(SUMIFS('Investment Data'!$R$3:$R$129,'Investment Data'!$B$3:$B$129,'Quarterly Analysis'!I$1,'Investment Data'!$P$3:$P$129,'Quarterly Analysis'!$B8)/4)</f>
        <v>0</v>
      </c>
      <c r="K8" s="117">
        <f t="shared" si="2"/>
        <v>0</v>
      </c>
      <c r="L8" s="107">
        <f>SUMIFS('Investment Data'!$I$3:$I$129,'Investment Data'!$B$3:$B$129,'Quarterly Analysis'!L$1,'Investment Data'!$P$3:$P$129,'Quarterly Analysis'!$B8)+SUMIFS('Investment Data'!$K$3:$K$129,'Investment Data'!$B$3:$B$129,'Quarterly Analysis'!L$1,'Investment Data'!$P$3:$P$129,'Quarterly Analysis'!$B8)</f>
        <v>0</v>
      </c>
      <c r="M8" s="113">
        <f>SUMIFS('Investment Data'!$G$3:$G$129,'Investment Data'!$B$3:$B$129,'Quarterly Analysis'!L$1,'Investment Data'!$P$3:$P$129,'Quarterly Analysis'!$B8)+(SUMIFS('Investment Data'!$R$3:$R$129,'Investment Data'!$B$3:$B$129,'Quarterly Analysis'!L$1,'Investment Data'!$P$3:$P$129,'Quarterly Analysis'!$B8)/4)</f>
        <v>0</v>
      </c>
      <c r="N8" s="123">
        <f t="shared" si="3"/>
        <v>0</v>
      </c>
      <c r="O8" s="109">
        <f>SUMIFS('Investment Data'!$I$3:$I$129,'Investment Data'!$B$3:$B$129,'Quarterly Analysis'!O$1,'Investment Data'!$P$3:$P$129,'Quarterly Analysis'!$B8)+SUMIFS('Investment Data'!$K$3:$K$129,'Investment Data'!$B$3:$B$129,'Quarterly Analysis'!O$1,'Investment Data'!$P$3:$P$129,'Quarterly Analysis'!$B8)</f>
        <v>4214.6000000000004</v>
      </c>
      <c r="P8" s="126">
        <f>SUMIFS('Investment Data'!$G$3:$G$129,'Investment Data'!$B$3:$B$129,'Quarterly Analysis'!O$1,'Investment Data'!$P$3:$P$129,'Quarterly Analysis'!$B8)+(SUMIFS('Investment Data'!$R$3:$R$129,'Investment Data'!$B$3:$B$129,'Quarterly Analysis'!O$1,'Investment Data'!$P$3:$P$129,'Quarterly Analysis'!$B8)/4)</f>
        <v>5049</v>
      </c>
      <c r="Q8" s="117">
        <f t="shared" si="4"/>
        <v>0.19797845584397086</v>
      </c>
      <c r="R8" s="107">
        <f>SUMIFS('Investment Data'!$I$3:$I$129,'Investment Data'!$B$3:$B$129,'Quarterly Analysis'!R$1,'Investment Data'!$P$3:$P$129,'Quarterly Analysis'!$B8)+SUMIFS('Investment Data'!$K$3:$K$129,'Investment Data'!$B$3:$B$129,'Quarterly Analysis'!R$1,'Investment Data'!$P$3:$P$129,'Quarterly Analysis'!$B8)</f>
        <v>0</v>
      </c>
      <c r="S8" s="126">
        <f>SUMIFS('Investment Data'!$G$3:$G$129,'Investment Data'!$B$3:$B$129,'Quarterly Analysis'!R$1,'Investment Data'!$P$3:$P$129,'Quarterly Analysis'!$B8)+(SUMIFS('Investment Data'!$R$3:$R$129,'Investment Data'!$B$3:$B$129,'Quarterly Analysis'!R$1,'Investment Data'!$P$3:$P$129,'Quarterly Analysis'!$B8)/4)</f>
        <v>0</v>
      </c>
      <c r="T8" s="120">
        <f t="shared" si="5"/>
        <v>0</v>
      </c>
      <c r="U8" s="109">
        <f>SUMIFS('Investment Data'!$I$3:$I$129,'Investment Data'!$B$3:$B$129,'Quarterly Analysis'!U$1,'Investment Data'!$P$3:$P$129,'Quarterly Analysis'!$B8)+SUMIFS('Investment Data'!$K$3:$K$129,'Investment Data'!$B$3:$B$129,'Quarterly Analysis'!U$1,'Investment Data'!$P$3:$P$129,'Quarterly Analysis'!$B8)</f>
        <v>0</v>
      </c>
      <c r="V8" s="126">
        <f>SUMIFS('Investment Data'!$G$3:$G$129,'Investment Data'!$B$3:$B$129,'Quarterly Analysis'!U$1,'Investment Data'!$P$3:$P$129,'Quarterly Analysis'!$B8)+(SUMIFS('Investment Data'!$R$3:$R$129,'Investment Data'!$B$3:$B$129,'Quarterly Analysis'!U$1,'Investment Data'!$P$3:$P$129,'Quarterly Analysis'!$B8)/4)</f>
        <v>0</v>
      </c>
      <c r="W8" s="120">
        <f t="shared" si="6"/>
        <v>0</v>
      </c>
      <c r="X8" s="107">
        <f>SUMIFS('Investment Data'!$I$3:$I$129,'Investment Data'!$B$3:$B$129,'Quarterly Analysis'!X$1,'Investment Data'!$P$3:$P$129,'Quarterly Analysis'!$B8)+SUMIFS('Investment Data'!$K$3:$K$129,'Investment Data'!$B$3:$B$129,'Quarterly Analysis'!X$1,'Investment Data'!$P$3:$P$129,'Quarterly Analysis'!$B8)</f>
        <v>0</v>
      </c>
      <c r="Y8" s="126">
        <f>SUMIFS('Investment Data'!$G$3:$G$129,'Investment Data'!$B$3:$B$129,'Quarterly Analysis'!X$1,'Investment Data'!$P$3:$P$129,'Quarterly Analysis'!$B8)+(SUMIFS('Investment Data'!$R$3:$R$129,'Investment Data'!$B$3:$B$129,'Quarterly Analysis'!X$1,'Investment Data'!$P$3:$P$129,'Quarterly Analysis'!$B8)/4)</f>
        <v>0</v>
      </c>
      <c r="Z8" s="120">
        <f t="shared" si="7"/>
        <v>0</v>
      </c>
      <c r="AA8" s="109">
        <f>SUMIFS('Investment Data'!$I$3:$I$129,'Investment Data'!$B$3:$B$129,'Quarterly Analysis'!AA$1,'Investment Data'!$P$3:$P$129,'Quarterly Analysis'!$B8)+SUMIFS('Investment Data'!$K$3:$K$129,'Investment Data'!$B$3:$B$129,'Quarterly Analysis'!AA$1,'Investment Data'!$P$3:$P$129,'Quarterly Analysis'!$B8)</f>
        <v>0</v>
      </c>
      <c r="AB8" s="126">
        <f>SUMIFS('Investment Data'!$G$3:$G$129,'Investment Data'!$B$3:$B$129,'Quarterly Analysis'!AA$1,'Investment Data'!$P$3:$P$129,'Quarterly Analysis'!$B8)+(SUMIFS('Investment Data'!$R$3:$R$129,'Investment Data'!$B$3:$B$129,'Quarterly Analysis'!AA$1,'Investment Data'!$P$3:$P$129,'Quarterly Analysis'!$B8)/4)</f>
        <v>0</v>
      </c>
      <c r="AC8" s="120">
        <f t="shared" si="8"/>
        <v>0</v>
      </c>
      <c r="AD8" s="107">
        <f>SUMIFS('Investment Data'!$I$3:$I$129,'Investment Data'!$B$3:$B$129,'Quarterly Analysis'!AD$1,'Investment Data'!$P$3:$P$129,'Quarterly Analysis'!$B8)+SUMIFS('Investment Data'!$K$3:$K$129,'Investment Data'!$B$3:$B$129,'Quarterly Analysis'!AD$1,'Investment Data'!$P$3:$P$129,'Quarterly Analysis'!$B8)</f>
        <v>0</v>
      </c>
      <c r="AE8" s="126">
        <f>SUMIFS('Investment Data'!$G$3:$G$129,'Investment Data'!$B$3:$B$129,'Quarterly Analysis'!AD$1,'Investment Data'!$P$3:$P$129,'Quarterly Analysis'!$B8)+(SUMIFS('Investment Data'!$R$3:$R$129,'Investment Data'!$B$3:$B$129,'Quarterly Analysis'!AD$1,'Investment Data'!$P$3:$P$129,'Quarterly Analysis'!$B8)/4)</f>
        <v>0</v>
      </c>
      <c r="AF8" s="120">
        <f t="shared" si="9"/>
        <v>0</v>
      </c>
      <c r="AG8" s="129"/>
    </row>
    <row r="9" spans="2:33" ht="14.4">
      <c r="B9" s="45" t="s">
        <v>29</v>
      </c>
      <c r="C9" s="107">
        <f>SUMIFS('Investment Data'!$I$3:$I$129,'Investment Data'!$B$3:$B$129,'Quarterly Analysis'!C$1,'Investment Data'!$P$3:$P$129,'Quarterly Analysis'!$B9)+SUMIFS('Investment Data'!$K$3:$K$129,'Investment Data'!$B$3:$B$129,'Quarterly Analysis'!C$1,'Investment Data'!$P$3:$P$129,'Quarterly Analysis'!$B9)</f>
        <v>10305.279999999997</v>
      </c>
      <c r="D9" s="108">
        <f>SUMIFS('Investment Data'!$G$3:$G$129,'Investment Data'!$B$3:$B$129,'Quarterly Analysis'!C$1,'Investment Data'!$P$3:$P$129,'Quarterly Analysis'!$B9)+(SUMIFS('Investment Data'!$R$3:$R$129,'Investment Data'!$B$3:$B$129,'Quarterly Analysis'!C$1,'Investment Data'!$P$3:$P$129,'Quarterly Analysis'!$B9)/4)</f>
        <v>10554.85</v>
      </c>
      <c r="E9" s="123">
        <f t="shared" si="0"/>
        <v>2.4217682586014491E-2</v>
      </c>
      <c r="F9" s="107">
        <f>SUMIFS('Investment Data'!$I$3:$I$129,'Investment Data'!$B$3:$B$129,'Quarterly Analysis'!F$1,'Investment Data'!$P$3:$P$129,'Quarterly Analysis'!$B9)+SUMIFS('Investment Data'!$K$3:$K$129,'Investment Data'!$B$3:$B$129,'Quarterly Analysis'!F$1,'Investment Data'!$P$3:$P$129,'Quarterly Analysis'!$B9)</f>
        <v>1185.72</v>
      </c>
      <c r="G9" s="126">
        <f>SUMIFS('Investment Data'!$G$3:$G$129,'Investment Data'!$B$3:$B$129,'Quarterly Analysis'!F$1,'Investment Data'!$P$3:$P$129,'Quarterly Analysis'!$B9)+(SUMIFS('Investment Data'!$R$3:$R$129,'Investment Data'!$B$3:$B$129,'Quarterly Analysis'!F$1,'Investment Data'!$P$3:$P$129,'Quarterly Analysis'!$B9)/4)</f>
        <v>1099.9000000000001</v>
      </c>
      <c r="H9" s="120">
        <f t="shared" si="1"/>
        <v>-7.2377964443544801E-2</v>
      </c>
      <c r="I9" s="109">
        <f>SUMIFS('Investment Data'!$I$3:$I$129,'Investment Data'!$B$3:$B$129,'Quarterly Analysis'!I$1,'Investment Data'!$P$3:$P$129,'Quarterly Analysis'!$B9)+SUMIFS('Investment Data'!$K$3:$K$129,'Investment Data'!$B$3:$B$129,'Quarterly Analysis'!I$1,'Investment Data'!$P$3:$P$129,'Quarterly Analysis'!$B9)</f>
        <v>0</v>
      </c>
      <c r="J9" s="126">
        <f>SUMIFS('Investment Data'!$G$3:$G$129,'Investment Data'!$B$3:$B$129,'Quarterly Analysis'!I$1,'Investment Data'!$P$3:$P$129,'Quarterly Analysis'!$B9)+(SUMIFS('Investment Data'!$R$3:$R$129,'Investment Data'!$B$3:$B$129,'Quarterly Analysis'!I$1,'Investment Data'!$P$3:$P$129,'Quarterly Analysis'!$B9)/4)</f>
        <v>0</v>
      </c>
      <c r="K9" s="117">
        <f t="shared" si="2"/>
        <v>0</v>
      </c>
      <c r="L9" s="107">
        <f>SUMIFS('Investment Data'!$I$3:$I$129,'Investment Data'!$B$3:$B$129,'Quarterly Analysis'!L$1,'Investment Data'!$P$3:$P$129,'Quarterly Analysis'!$B9)+SUMIFS('Investment Data'!$K$3:$K$129,'Investment Data'!$B$3:$B$129,'Quarterly Analysis'!L$1,'Investment Data'!$P$3:$P$129,'Quarterly Analysis'!$B9)</f>
        <v>2474</v>
      </c>
      <c r="M9" s="113">
        <f>SUMIFS('Investment Data'!$G$3:$G$129,'Investment Data'!$B$3:$B$129,'Quarterly Analysis'!L$1,'Investment Data'!$P$3:$P$129,'Quarterly Analysis'!$B9)+(SUMIFS('Investment Data'!$R$3:$R$129,'Investment Data'!$B$3:$B$129,'Quarterly Analysis'!L$1,'Investment Data'!$P$3:$P$129,'Quarterly Analysis'!$B9)/4)</f>
        <v>2811.9</v>
      </c>
      <c r="N9" s="123">
        <f t="shared" si="3"/>
        <v>0.1365804365400162</v>
      </c>
      <c r="O9" s="109">
        <f>SUMIFS('Investment Data'!$I$3:$I$129,'Investment Data'!$B$3:$B$129,'Quarterly Analysis'!O$1,'Investment Data'!$P$3:$P$129,'Quarterly Analysis'!$B9)+SUMIFS('Investment Data'!$K$3:$K$129,'Investment Data'!$B$3:$B$129,'Quarterly Analysis'!O$1,'Investment Data'!$P$3:$P$129,'Quarterly Analysis'!$B9)</f>
        <v>2579.71</v>
      </c>
      <c r="P9" s="126">
        <f>SUMIFS('Investment Data'!$G$3:$G$129,'Investment Data'!$B$3:$B$129,'Quarterly Analysis'!O$1,'Investment Data'!$P$3:$P$129,'Quarterly Analysis'!$B9)+(SUMIFS('Investment Data'!$R$3:$R$129,'Investment Data'!$B$3:$B$129,'Quarterly Analysis'!O$1,'Investment Data'!$P$3:$P$129,'Quarterly Analysis'!$B9)/4)</f>
        <v>3444.87</v>
      </c>
      <c r="Q9" s="117">
        <f t="shared" si="4"/>
        <v>0.33537103007702412</v>
      </c>
      <c r="R9" s="107">
        <f>SUMIFS('Investment Data'!$I$3:$I$129,'Investment Data'!$B$3:$B$129,'Quarterly Analysis'!R$1,'Investment Data'!$P$3:$P$129,'Quarterly Analysis'!$B9)+SUMIFS('Investment Data'!$K$3:$K$129,'Investment Data'!$B$3:$B$129,'Quarterly Analysis'!R$1,'Investment Data'!$P$3:$P$129,'Quarterly Analysis'!$B9)</f>
        <v>0</v>
      </c>
      <c r="S9" s="126">
        <f>SUMIFS('Investment Data'!$G$3:$G$129,'Investment Data'!$B$3:$B$129,'Quarterly Analysis'!R$1,'Investment Data'!$P$3:$P$129,'Quarterly Analysis'!$B9)+(SUMIFS('Investment Data'!$R$3:$R$129,'Investment Data'!$B$3:$B$129,'Quarterly Analysis'!R$1,'Investment Data'!$P$3:$P$129,'Quarterly Analysis'!$B9)/4)</f>
        <v>0</v>
      </c>
      <c r="T9" s="120">
        <f t="shared" si="5"/>
        <v>0</v>
      </c>
      <c r="U9" s="109">
        <f>SUMIFS('Investment Data'!$I$3:$I$129,'Investment Data'!$B$3:$B$129,'Quarterly Analysis'!U$1,'Investment Data'!$P$3:$P$129,'Quarterly Analysis'!$B9)+SUMIFS('Investment Data'!$K$3:$K$129,'Investment Data'!$B$3:$B$129,'Quarterly Analysis'!U$1,'Investment Data'!$P$3:$P$129,'Quarterly Analysis'!$B9)</f>
        <v>0</v>
      </c>
      <c r="V9" s="126">
        <f>SUMIFS('Investment Data'!$G$3:$G$129,'Investment Data'!$B$3:$B$129,'Quarterly Analysis'!U$1,'Investment Data'!$P$3:$P$129,'Quarterly Analysis'!$B9)+(SUMIFS('Investment Data'!$R$3:$R$129,'Investment Data'!$B$3:$B$129,'Quarterly Analysis'!U$1,'Investment Data'!$P$3:$P$129,'Quarterly Analysis'!$B9)/4)</f>
        <v>0</v>
      </c>
      <c r="W9" s="120">
        <f t="shared" si="6"/>
        <v>0</v>
      </c>
      <c r="X9" s="107">
        <f>SUMIFS('Investment Data'!$I$3:$I$129,'Investment Data'!$B$3:$B$129,'Quarterly Analysis'!X$1,'Investment Data'!$P$3:$P$129,'Quarterly Analysis'!$B9)+SUMIFS('Investment Data'!$K$3:$K$129,'Investment Data'!$B$3:$B$129,'Quarterly Analysis'!X$1,'Investment Data'!$P$3:$P$129,'Quarterly Analysis'!$B9)</f>
        <v>0</v>
      </c>
      <c r="Y9" s="126">
        <f>SUMIFS('Investment Data'!$G$3:$G$129,'Investment Data'!$B$3:$B$129,'Quarterly Analysis'!X$1,'Investment Data'!$P$3:$P$129,'Quarterly Analysis'!$B9)+(SUMIFS('Investment Data'!$R$3:$R$129,'Investment Data'!$B$3:$B$129,'Quarterly Analysis'!X$1,'Investment Data'!$P$3:$P$129,'Quarterly Analysis'!$B9)/4)</f>
        <v>0</v>
      </c>
      <c r="Z9" s="120">
        <f t="shared" si="7"/>
        <v>0</v>
      </c>
      <c r="AA9" s="109">
        <f>SUMIFS('Investment Data'!$I$3:$I$129,'Investment Data'!$B$3:$B$129,'Quarterly Analysis'!AA$1,'Investment Data'!$P$3:$P$129,'Quarterly Analysis'!$B9)+SUMIFS('Investment Data'!$K$3:$K$129,'Investment Data'!$B$3:$B$129,'Quarterly Analysis'!AA$1,'Investment Data'!$P$3:$P$129,'Quarterly Analysis'!$B9)</f>
        <v>4408.8200000000006</v>
      </c>
      <c r="AB9" s="126">
        <f>SUMIFS('Investment Data'!$G$3:$G$129,'Investment Data'!$B$3:$B$129,'Quarterly Analysis'!AA$1,'Investment Data'!$P$3:$P$129,'Quarterly Analysis'!$B9)+(SUMIFS('Investment Data'!$R$3:$R$129,'Investment Data'!$B$3:$B$129,'Quarterly Analysis'!AA$1,'Investment Data'!$P$3:$P$129,'Quarterly Analysis'!$B9)/4)</f>
        <v>3155.2</v>
      </c>
      <c r="AC9" s="120">
        <f t="shared" si="8"/>
        <v>-0.2843436565793116</v>
      </c>
      <c r="AD9" s="107">
        <f>SUMIFS('Investment Data'!$I$3:$I$129,'Investment Data'!$B$3:$B$129,'Quarterly Analysis'!AD$1,'Investment Data'!$P$3:$P$129,'Quarterly Analysis'!$B9)+SUMIFS('Investment Data'!$K$3:$K$129,'Investment Data'!$B$3:$B$129,'Quarterly Analysis'!AD$1,'Investment Data'!$P$3:$P$129,'Quarterly Analysis'!$B9)</f>
        <v>0</v>
      </c>
      <c r="AE9" s="126">
        <f>SUMIFS('Investment Data'!$G$3:$G$129,'Investment Data'!$B$3:$B$129,'Quarterly Analysis'!AD$1,'Investment Data'!$P$3:$P$129,'Quarterly Analysis'!$B9)+(SUMIFS('Investment Data'!$R$3:$R$129,'Investment Data'!$B$3:$B$129,'Quarterly Analysis'!AD$1,'Investment Data'!$P$3:$P$129,'Quarterly Analysis'!$B9)/4)</f>
        <v>0</v>
      </c>
      <c r="AF9" s="120">
        <f t="shared" si="9"/>
        <v>0</v>
      </c>
      <c r="AG9" s="129"/>
    </row>
    <row r="10" spans="2:33" ht="14.4">
      <c r="B10" s="45" t="s">
        <v>30</v>
      </c>
      <c r="C10" s="107">
        <f>SUMIFS('Investment Data'!$I$3:$I$129,'Investment Data'!$B$3:$B$129,'Quarterly Analysis'!C$1,'Investment Data'!$P$3:$P$129,'Quarterly Analysis'!$B10)+SUMIFS('Investment Data'!$K$3:$K$129,'Investment Data'!$B$3:$B$129,'Quarterly Analysis'!C$1,'Investment Data'!$P$3:$P$129,'Quarterly Analysis'!$B10)</f>
        <v>0</v>
      </c>
      <c r="D10" s="108">
        <f>SUMIFS('Investment Data'!$G$3:$G$129,'Investment Data'!$B$3:$B$129,'Quarterly Analysis'!C$1,'Investment Data'!$P$3:$P$129,'Quarterly Analysis'!$B10)+(SUMIFS('Investment Data'!$R$3:$R$129,'Investment Data'!$B$3:$B$129,'Quarterly Analysis'!C$1,'Investment Data'!$P$3:$P$129,'Quarterly Analysis'!$B10)/4)</f>
        <v>0</v>
      </c>
      <c r="E10" s="123">
        <f t="shared" si="0"/>
        <v>0</v>
      </c>
      <c r="F10" s="107">
        <f>SUMIFS('Investment Data'!$I$3:$I$129,'Investment Data'!$B$3:$B$129,'Quarterly Analysis'!F$1,'Investment Data'!$P$3:$P$129,'Quarterly Analysis'!$B10)+SUMIFS('Investment Data'!$K$3:$K$129,'Investment Data'!$B$3:$B$129,'Quarterly Analysis'!F$1,'Investment Data'!$P$3:$P$129,'Quarterly Analysis'!$B10)</f>
        <v>361.96</v>
      </c>
      <c r="G10" s="126">
        <f>SUMIFS('Investment Data'!$G$3:$G$129,'Investment Data'!$B$3:$B$129,'Quarterly Analysis'!F$1,'Investment Data'!$P$3:$P$129,'Quarterly Analysis'!$B10)+(SUMIFS('Investment Data'!$R$3:$R$129,'Investment Data'!$B$3:$B$129,'Quarterly Analysis'!F$1,'Investment Data'!$P$3:$P$129,'Quarterly Analysis'!$B10)/4)</f>
        <v>556.08000000000004</v>
      </c>
      <c r="H10" s="120">
        <f t="shared" si="1"/>
        <v>0.53630235385125447</v>
      </c>
      <c r="I10" s="109">
        <f>SUMIFS('Investment Data'!$I$3:$I$129,'Investment Data'!$B$3:$B$129,'Quarterly Analysis'!I$1,'Investment Data'!$P$3:$P$129,'Quarterly Analysis'!$B10)+SUMIFS('Investment Data'!$K$3:$K$129,'Investment Data'!$B$3:$B$129,'Quarterly Analysis'!I$1,'Investment Data'!$P$3:$P$129,'Quarterly Analysis'!$B10)</f>
        <v>0</v>
      </c>
      <c r="J10" s="126">
        <f>SUMIFS('Investment Data'!$G$3:$G$129,'Investment Data'!$B$3:$B$129,'Quarterly Analysis'!I$1,'Investment Data'!$P$3:$P$129,'Quarterly Analysis'!$B10)+(SUMIFS('Investment Data'!$R$3:$R$129,'Investment Data'!$B$3:$B$129,'Quarterly Analysis'!I$1,'Investment Data'!$P$3:$P$129,'Quarterly Analysis'!$B10)/4)</f>
        <v>0</v>
      </c>
      <c r="K10" s="117">
        <f t="shared" si="2"/>
        <v>0</v>
      </c>
      <c r="L10" s="107">
        <f>SUMIFS('Investment Data'!$I$3:$I$129,'Investment Data'!$B$3:$B$129,'Quarterly Analysis'!L$1,'Investment Data'!$P$3:$P$129,'Quarterly Analysis'!$B10)+SUMIFS('Investment Data'!$K$3:$K$129,'Investment Data'!$B$3:$B$129,'Quarterly Analysis'!L$1,'Investment Data'!$P$3:$P$129,'Quarterly Analysis'!$B10)</f>
        <v>0</v>
      </c>
      <c r="M10" s="113">
        <f>SUMIFS('Investment Data'!$G$3:$G$129,'Investment Data'!$B$3:$B$129,'Quarterly Analysis'!L$1,'Investment Data'!$P$3:$P$129,'Quarterly Analysis'!$B10)+(SUMIFS('Investment Data'!$R$3:$R$129,'Investment Data'!$B$3:$B$129,'Quarterly Analysis'!L$1,'Investment Data'!$P$3:$P$129,'Quarterly Analysis'!$B10)/4)</f>
        <v>0</v>
      </c>
      <c r="N10" s="123">
        <f t="shared" si="3"/>
        <v>0</v>
      </c>
      <c r="O10" s="109">
        <f>SUMIFS('Investment Data'!$I$3:$I$129,'Investment Data'!$B$3:$B$129,'Quarterly Analysis'!O$1,'Investment Data'!$P$3:$P$129,'Quarterly Analysis'!$B10)+SUMIFS('Investment Data'!$K$3:$K$129,'Investment Data'!$B$3:$B$129,'Quarterly Analysis'!O$1,'Investment Data'!$P$3:$P$129,'Quarterly Analysis'!$B10)</f>
        <v>2509.6799999999998</v>
      </c>
      <c r="P10" s="126">
        <f>SUMIFS('Investment Data'!$G$3:$G$129,'Investment Data'!$B$3:$B$129,'Quarterly Analysis'!O$1,'Investment Data'!$P$3:$P$129,'Quarterly Analysis'!$B10)+(SUMIFS('Investment Data'!$R$3:$R$129,'Investment Data'!$B$3:$B$129,'Quarterly Analysis'!O$1,'Investment Data'!$P$3:$P$129,'Quarterly Analysis'!$B10)/4)</f>
        <v>1352</v>
      </c>
      <c r="Q10" s="117">
        <f t="shared" si="4"/>
        <v>-0.46128590099136141</v>
      </c>
      <c r="R10" s="107">
        <f>SUMIFS('Investment Data'!$I$3:$I$129,'Investment Data'!$B$3:$B$129,'Quarterly Analysis'!R$1,'Investment Data'!$P$3:$P$129,'Quarterly Analysis'!$B10)+SUMIFS('Investment Data'!$K$3:$K$129,'Investment Data'!$B$3:$B$129,'Quarterly Analysis'!R$1,'Investment Data'!$P$3:$P$129,'Quarterly Analysis'!$B10)</f>
        <v>6018.46</v>
      </c>
      <c r="S10" s="126">
        <f>SUMIFS('Investment Data'!$G$3:$G$129,'Investment Data'!$B$3:$B$129,'Quarterly Analysis'!R$1,'Investment Data'!$P$3:$P$129,'Quarterly Analysis'!$B10)+(SUMIFS('Investment Data'!$R$3:$R$129,'Investment Data'!$B$3:$B$129,'Quarterly Analysis'!R$1,'Investment Data'!$P$3:$P$129,'Quarterly Analysis'!$B10)/4)</f>
        <v>19083.368999999999</v>
      </c>
      <c r="T10" s="120">
        <f t="shared" si="5"/>
        <v>2.1708059869135958</v>
      </c>
      <c r="U10" s="109">
        <f>SUMIFS('Investment Data'!$I$3:$I$129,'Investment Data'!$B$3:$B$129,'Quarterly Analysis'!U$1,'Investment Data'!$P$3:$P$129,'Quarterly Analysis'!$B10)+SUMIFS('Investment Data'!$K$3:$K$129,'Investment Data'!$B$3:$B$129,'Quarterly Analysis'!U$1,'Investment Data'!$P$3:$P$129,'Quarterly Analysis'!$B10)</f>
        <v>4977.83</v>
      </c>
      <c r="V10" s="126">
        <f>SUMIFS('Investment Data'!$G$3:$G$129,'Investment Data'!$B$3:$B$129,'Quarterly Analysis'!U$1,'Investment Data'!$P$3:$P$129,'Quarterly Analysis'!$B10)+(SUMIFS('Investment Data'!$R$3:$R$129,'Investment Data'!$B$3:$B$129,'Quarterly Analysis'!U$1,'Investment Data'!$P$3:$P$129,'Quarterly Analysis'!$B10)/4)</f>
        <v>11672.37</v>
      </c>
      <c r="W10" s="120">
        <f t="shared" si="6"/>
        <v>1.3448711587177546</v>
      </c>
      <c r="X10" s="107">
        <f>SUMIFS('Investment Data'!$I$3:$I$129,'Investment Data'!$B$3:$B$129,'Quarterly Analysis'!X$1,'Investment Data'!$P$3:$P$129,'Quarterly Analysis'!$B10)+SUMIFS('Investment Data'!$K$3:$K$129,'Investment Data'!$B$3:$B$129,'Quarterly Analysis'!X$1,'Investment Data'!$P$3:$P$129,'Quarterly Analysis'!$B10)</f>
        <v>1424.98</v>
      </c>
      <c r="Y10" s="126">
        <f>SUMIFS('Investment Data'!$G$3:$G$129,'Investment Data'!$B$3:$B$129,'Quarterly Analysis'!X$1,'Investment Data'!$P$3:$P$129,'Quarterly Analysis'!$B10)+(SUMIFS('Investment Data'!$R$3:$R$129,'Investment Data'!$B$3:$B$129,'Quarterly Analysis'!X$1,'Investment Data'!$P$3:$P$129,'Quarterly Analysis'!$B10)/4)</f>
        <v>1533.3</v>
      </c>
      <c r="Z10" s="120">
        <f t="shared" si="7"/>
        <v>7.601510196634334E-2</v>
      </c>
      <c r="AA10" s="109">
        <f>SUMIFS('Investment Data'!$I$3:$I$129,'Investment Data'!$B$3:$B$129,'Quarterly Analysis'!AA$1,'Investment Data'!$P$3:$P$129,'Quarterly Analysis'!$B10)+SUMIFS('Investment Data'!$K$3:$K$129,'Investment Data'!$B$3:$B$129,'Quarterly Analysis'!AA$1,'Investment Data'!$P$3:$P$129,'Quarterly Analysis'!$B10)</f>
        <v>0</v>
      </c>
      <c r="AB10" s="126">
        <f>SUMIFS('Investment Data'!$G$3:$G$129,'Investment Data'!$B$3:$B$129,'Quarterly Analysis'!AA$1,'Investment Data'!$P$3:$P$129,'Quarterly Analysis'!$B10)+(SUMIFS('Investment Data'!$R$3:$R$129,'Investment Data'!$B$3:$B$129,'Quarterly Analysis'!AA$1,'Investment Data'!$P$3:$P$129,'Quarterly Analysis'!$B10)/4)</f>
        <v>0</v>
      </c>
      <c r="AC10" s="120">
        <f t="shared" si="8"/>
        <v>0</v>
      </c>
      <c r="AD10" s="107">
        <f>SUMIFS('Investment Data'!$I$3:$I$129,'Investment Data'!$B$3:$B$129,'Quarterly Analysis'!AD$1,'Investment Data'!$P$3:$P$129,'Quarterly Analysis'!$B10)+SUMIFS('Investment Data'!$K$3:$K$129,'Investment Data'!$B$3:$B$129,'Quarterly Analysis'!AD$1,'Investment Data'!$P$3:$P$129,'Quarterly Analysis'!$B10)</f>
        <v>0</v>
      </c>
      <c r="AE10" s="126">
        <f>SUMIFS('Investment Data'!$G$3:$G$129,'Investment Data'!$B$3:$B$129,'Quarterly Analysis'!AD$1,'Investment Data'!$P$3:$P$129,'Quarterly Analysis'!$B10)+(SUMIFS('Investment Data'!$R$3:$R$129,'Investment Data'!$B$3:$B$129,'Quarterly Analysis'!AD$1,'Investment Data'!$P$3:$P$129,'Quarterly Analysis'!$B10)/4)</f>
        <v>0</v>
      </c>
      <c r="AF10" s="120">
        <f t="shared" si="9"/>
        <v>0</v>
      </c>
      <c r="AG10" s="129"/>
    </row>
    <row r="11" spans="2:33" ht="14.4">
      <c r="B11" s="45" t="s">
        <v>33</v>
      </c>
      <c r="C11" s="107">
        <f>SUMIFS('Investment Data'!$I$3:$I$129,'Investment Data'!$B$3:$B$129,'Quarterly Analysis'!C$1,'Investment Data'!$P$3:$P$129,'Quarterly Analysis'!$B11)+SUMIFS('Investment Data'!$K$3:$K$129,'Investment Data'!$B$3:$B$129,'Quarterly Analysis'!C$1,'Investment Data'!$P$3:$P$129,'Quarterly Analysis'!$B11)</f>
        <v>1739.1</v>
      </c>
      <c r="D11" s="108">
        <f>SUMIFS('Investment Data'!$G$3:$G$129,'Investment Data'!$B$3:$B$129,'Quarterly Analysis'!C$1,'Investment Data'!$P$3:$P$129,'Quarterly Analysis'!$B11)+(SUMIFS('Investment Data'!$R$3:$R$129,'Investment Data'!$B$3:$B$129,'Quarterly Analysis'!C$1,'Investment Data'!$P$3:$P$129,'Quarterly Analysis'!$B11)/4)</f>
        <v>2956.8</v>
      </c>
      <c r="E11" s="123">
        <f t="shared" si="0"/>
        <v>0.70018975332068334</v>
      </c>
      <c r="F11" s="107">
        <f>SUMIFS('Investment Data'!$I$3:$I$129,'Investment Data'!$B$3:$B$129,'Quarterly Analysis'!F$1,'Investment Data'!$P$3:$P$129,'Quarterly Analysis'!$B11)+SUMIFS('Investment Data'!$K$3:$K$129,'Investment Data'!$B$3:$B$129,'Quarterly Analysis'!F$1,'Investment Data'!$P$3:$P$129,'Quarterly Analysis'!$B11)</f>
        <v>0</v>
      </c>
      <c r="G11" s="126">
        <f>SUMIFS('Investment Data'!$G$3:$G$129,'Investment Data'!$B$3:$B$129,'Quarterly Analysis'!F$1,'Investment Data'!$P$3:$P$129,'Quarterly Analysis'!$B11)+(SUMIFS('Investment Data'!$R$3:$R$129,'Investment Data'!$B$3:$B$129,'Quarterly Analysis'!F$1,'Investment Data'!$P$3:$P$129,'Quarterly Analysis'!$B11)/4)</f>
        <v>0</v>
      </c>
      <c r="H11" s="120">
        <f t="shared" si="1"/>
        <v>0</v>
      </c>
      <c r="I11" s="109">
        <f>SUMIFS('Investment Data'!$I$3:$I$129,'Investment Data'!$B$3:$B$129,'Quarterly Analysis'!I$1,'Investment Data'!$P$3:$P$129,'Quarterly Analysis'!$B11)+SUMIFS('Investment Data'!$K$3:$K$129,'Investment Data'!$B$3:$B$129,'Quarterly Analysis'!I$1,'Investment Data'!$P$3:$P$129,'Quarterly Analysis'!$B11)</f>
        <v>0</v>
      </c>
      <c r="J11" s="126">
        <f>SUMIFS('Investment Data'!$G$3:$G$129,'Investment Data'!$B$3:$B$129,'Quarterly Analysis'!I$1,'Investment Data'!$P$3:$P$129,'Quarterly Analysis'!$B11)+(SUMIFS('Investment Data'!$R$3:$R$129,'Investment Data'!$B$3:$B$129,'Quarterly Analysis'!I$1,'Investment Data'!$P$3:$P$129,'Quarterly Analysis'!$B11)/4)</f>
        <v>0</v>
      </c>
      <c r="K11" s="117">
        <f t="shared" si="2"/>
        <v>0</v>
      </c>
      <c r="L11" s="107">
        <f>SUMIFS('Investment Data'!$I$3:$I$129,'Investment Data'!$B$3:$B$129,'Quarterly Analysis'!L$1,'Investment Data'!$P$3:$P$129,'Quarterly Analysis'!$B11)+SUMIFS('Investment Data'!$K$3:$K$129,'Investment Data'!$B$3:$B$129,'Quarterly Analysis'!L$1,'Investment Data'!$P$3:$P$129,'Quarterly Analysis'!$B11)</f>
        <v>3760.56</v>
      </c>
      <c r="M11" s="113">
        <f>SUMIFS('Investment Data'!$G$3:$G$129,'Investment Data'!$B$3:$B$129,'Quarterly Analysis'!L$1,'Investment Data'!$P$3:$P$129,'Quarterly Analysis'!$B11)+(SUMIFS('Investment Data'!$R$3:$R$129,'Investment Data'!$B$3:$B$129,'Quarterly Analysis'!L$1,'Investment Data'!$P$3:$P$129,'Quarterly Analysis'!$B11)/4)</f>
        <v>4062.1</v>
      </c>
      <c r="N11" s="123">
        <f t="shared" si="3"/>
        <v>8.0184866083774745E-2</v>
      </c>
      <c r="O11" s="109">
        <f>SUMIFS('Investment Data'!$I$3:$I$129,'Investment Data'!$B$3:$B$129,'Quarterly Analysis'!O$1,'Investment Data'!$P$3:$P$129,'Quarterly Analysis'!$B11)+SUMIFS('Investment Data'!$K$3:$K$129,'Investment Data'!$B$3:$B$129,'Quarterly Analysis'!O$1,'Investment Data'!$P$3:$P$129,'Quarterly Analysis'!$B11)</f>
        <v>7240.87</v>
      </c>
      <c r="P11" s="126">
        <f>SUMIFS('Investment Data'!$G$3:$G$129,'Investment Data'!$B$3:$B$129,'Quarterly Analysis'!O$1,'Investment Data'!$P$3:$P$129,'Quarterly Analysis'!$B11)+(SUMIFS('Investment Data'!$R$3:$R$129,'Investment Data'!$B$3:$B$129,'Quarterly Analysis'!O$1,'Investment Data'!$P$3:$P$129,'Quarterly Analysis'!$B11)/4)</f>
        <v>9597.75</v>
      </c>
      <c r="Q11" s="117">
        <f t="shared" si="4"/>
        <v>0.32549679803670001</v>
      </c>
      <c r="R11" s="107">
        <f>SUMIFS('Investment Data'!$I$3:$I$129,'Investment Data'!$B$3:$B$129,'Quarterly Analysis'!R$1,'Investment Data'!$P$3:$P$129,'Quarterly Analysis'!$B11)+SUMIFS('Investment Data'!$K$3:$K$129,'Investment Data'!$B$3:$B$129,'Quarterly Analysis'!R$1,'Investment Data'!$P$3:$P$129,'Quarterly Analysis'!$B11)</f>
        <v>0</v>
      </c>
      <c r="S11" s="126">
        <f>SUMIFS('Investment Data'!$G$3:$G$129,'Investment Data'!$B$3:$B$129,'Quarterly Analysis'!R$1,'Investment Data'!$P$3:$P$129,'Quarterly Analysis'!$B11)+(SUMIFS('Investment Data'!$R$3:$R$129,'Investment Data'!$B$3:$B$129,'Quarterly Analysis'!R$1,'Investment Data'!$P$3:$P$129,'Quarterly Analysis'!$B11)/4)</f>
        <v>0</v>
      </c>
      <c r="T11" s="120">
        <f t="shared" si="5"/>
        <v>0</v>
      </c>
      <c r="U11" s="109">
        <f>SUMIFS('Investment Data'!$I$3:$I$129,'Investment Data'!$B$3:$B$129,'Quarterly Analysis'!U$1,'Investment Data'!$P$3:$P$129,'Quarterly Analysis'!$B11)+SUMIFS('Investment Data'!$K$3:$K$129,'Investment Data'!$B$3:$B$129,'Quarterly Analysis'!U$1,'Investment Data'!$P$3:$P$129,'Quarterly Analysis'!$B11)</f>
        <v>0</v>
      </c>
      <c r="V11" s="126">
        <f>SUMIFS('Investment Data'!$G$3:$G$129,'Investment Data'!$B$3:$B$129,'Quarterly Analysis'!U$1,'Investment Data'!$P$3:$P$129,'Quarterly Analysis'!$B11)+(SUMIFS('Investment Data'!$R$3:$R$129,'Investment Data'!$B$3:$B$129,'Quarterly Analysis'!U$1,'Investment Data'!$P$3:$P$129,'Quarterly Analysis'!$B11)/4)</f>
        <v>0</v>
      </c>
      <c r="W11" s="120">
        <f t="shared" si="6"/>
        <v>0</v>
      </c>
      <c r="X11" s="107">
        <f>SUMIFS('Investment Data'!$I$3:$I$129,'Investment Data'!$B$3:$B$129,'Quarterly Analysis'!X$1,'Investment Data'!$P$3:$P$129,'Quarterly Analysis'!$B11)+SUMIFS('Investment Data'!$K$3:$K$129,'Investment Data'!$B$3:$B$129,'Quarterly Analysis'!X$1,'Investment Data'!$P$3:$P$129,'Quarterly Analysis'!$B11)</f>
        <v>18248.800000000003</v>
      </c>
      <c r="Y11" s="126">
        <f>SUMIFS('Investment Data'!$G$3:$G$129,'Investment Data'!$B$3:$B$129,'Quarterly Analysis'!X$1,'Investment Data'!$P$3:$P$129,'Quarterly Analysis'!$B11)+(SUMIFS('Investment Data'!$R$3:$R$129,'Investment Data'!$B$3:$B$129,'Quarterly Analysis'!X$1,'Investment Data'!$P$3:$P$129,'Quarterly Analysis'!$B11)/4)</f>
        <v>23492.97</v>
      </c>
      <c r="Z11" s="120">
        <f t="shared" si="7"/>
        <v>0.28737067642803898</v>
      </c>
      <c r="AA11" s="109">
        <f>SUMIFS('Investment Data'!$I$3:$I$129,'Investment Data'!$B$3:$B$129,'Quarterly Analysis'!AA$1,'Investment Data'!$P$3:$P$129,'Quarterly Analysis'!$B11)+SUMIFS('Investment Data'!$K$3:$K$129,'Investment Data'!$B$3:$B$129,'Quarterly Analysis'!AA$1,'Investment Data'!$P$3:$P$129,'Quarterly Analysis'!$B11)</f>
        <v>0</v>
      </c>
      <c r="AB11" s="126">
        <f>SUMIFS('Investment Data'!$G$3:$G$129,'Investment Data'!$B$3:$B$129,'Quarterly Analysis'!AA$1,'Investment Data'!$P$3:$P$129,'Quarterly Analysis'!$B11)+(SUMIFS('Investment Data'!$R$3:$R$129,'Investment Data'!$B$3:$B$129,'Quarterly Analysis'!AA$1,'Investment Data'!$P$3:$P$129,'Quarterly Analysis'!$B11)/4)</f>
        <v>0</v>
      </c>
      <c r="AC11" s="120">
        <f t="shared" si="8"/>
        <v>0</v>
      </c>
      <c r="AD11" s="107">
        <f>SUMIFS('Investment Data'!$I$3:$I$129,'Investment Data'!$B$3:$B$129,'Quarterly Analysis'!AD$1,'Investment Data'!$P$3:$P$129,'Quarterly Analysis'!$B11)+SUMIFS('Investment Data'!$K$3:$K$129,'Investment Data'!$B$3:$B$129,'Quarterly Analysis'!AD$1,'Investment Data'!$P$3:$P$129,'Quarterly Analysis'!$B11)</f>
        <v>0</v>
      </c>
      <c r="AE11" s="126">
        <f>SUMIFS('Investment Data'!$G$3:$G$129,'Investment Data'!$B$3:$B$129,'Quarterly Analysis'!AD$1,'Investment Data'!$P$3:$P$129,'Quarterly Analysis'!$B11)+(SUMIFS('Investment Data'!$R$3:$R$129,'Investment Data'!$B$3:$B$129,'Quarterly Analysis'!AD$1,'Investment Data'!$P$3:$P$129,'Quarterly Analysis'!$B11)/4)</f>
        <v>0</v>
      </c>
      <c r="AF11" s="120">
        <f t="shared" si="9"/>
        <v>0</v>
      </c>
      <c r="AG11" s="129"/>
    </row>
    <row r="12" spans="2:33" ht="14.4">
      <c r="B12" s="45" t="s">
        <v>35</v>
      </c>
      <c r="C12" s="107">
        <f>SUMIFS('Investment Data'!$I$3:$I$129,'Investment Data'!$B$3:$B$129,'Quarterly Analysis'!C$1,'Investment Data'!$P$3:$P$129,'Quarterly Analysis'!$B12)+SUMIFS('Investment Data'!$K$3:$K$129,'Investment Data'!$B$3:$B$129,'Quarterly Analysis'!C$1,'Investment Data'!$P$3:$P$129,'Quarterly Analysis'!$B12)</f>
        <v>0</v>
      </c>
      <c r="D12" s="108">
        <f>SUMIFS('Investment Data'!$G$3:$G$129,'Investment Data'!$B$3:$B$129,'Quarterly Analysis'!C$1,'Investment Data'!$P$3:$P$129,'Quarterly Analysis'!$B12)+(SUMIFS('Investment Data'!$R$3:$R$129,'Investment Data'!$B$3:$B$129,'Quarterly Analysis'!C$1,'Investment Data'!$P$3:$P$129,'Quarterly Analysis'!$B12)/4)</f>
        <v>0</v>
      </c>
      <c r="E12" s="123">
        <f t="shared" si="0"/>
        <v>0</v>
      </c>
      <c r="F12" s="107">
        <f>SUMIFS('Investment Data'!$I$3:$I$129,'Investment Data'!$B$3:$B$129,'Quarterly Analysis'!F$1,'Investment Data'!$P$3:$P$129,'Quarterly Analysis'!$B12)+SUMIFS('Investment Data'!$K$3:$K$129,'Investment Data'!$B$3:$B$129,'Quarterly Analysis'!F$1,'Investment Data'!$P$3:$P$129,'Quarterly Analysis'!$B12)</f>
        <v>0</v>
      </c>
      <c r="G12" s="126">
        <f>SUMIFS('Investment Data'!$G$3:$G$129,'Investment Data'!$B$3:$B$129,'Quarterly Analysis'!F$1,'Investment Data'!$P$3:$P$129,'Quarterly Analysis'!$B12)+(SUMIFS('Investment Data'!$R$3:$R$129,'Investment Data'!$B$3:$B$129,'Quarterly Analysis'!F$1,'Investment Data'!$P$3:$P$129,'Quarterly Analysis'!$B12)/4)</f>
        <v>0</v>
      </c>
      <c r="H12" s="120">
        <f t="shared" si="1"/>
        <v>0</v>
      </c>
      <c r="I12" s="109">
        <f>SUMIFS('Investment Data'!$I$3:$I$129,'Investment Data'!$B$3:$B$129,'Quarterly Analysis'!I$1,'Investment Data'!$P$3:$P$129,'Quarterly Analysis'!$B12)+SUMIFS('Investment Data'!$K$3:$K$129,'Investment Data'!$B$3:$B$129,'Quarterly Analysis'!I$1,'Investment Data'!$P$3:$P$129,'Quarterly Analysis'!$B12)</f>
        <v>0</v>
      </c>
      <c r="J12" s="126">
        <f>SUMIFS('Investment Data'!$G$3:$G$129,'Investment Data'!$B$3:$B$129,'Quarterly Analysis'!I$1,'Investment Data'!$P$3:$P$129,'Quarterly Analysis'!$B12)+(SUMIFS('Investment Data'!$R$3:$R$129,'Investment Data'!$B$3:$B$129,'Quarterly Analysis'!I$1,'Investment Data'!$P$3:$P$129,'Quarterly Analysis'!$B12)/4)</f>
        <v>0</v>
      </c>
      <c r="K12" s="117">
        <f t="shared" si="2"/>
        <v>0</v>
      </c>
      <c r="L12" s="107">
        <f>SUMIFS('Investment Data'!$I$3:$I$129,'Investment Data'!$B$3:$B$129,'Quarterly Analysis'!L$1,'Investment Data'!$P$3:$P$129,'Quarterly Analysis'!$B12)+SUMIFS('Investment Data'!$K$3:$K$129,'Investment Data'!$B$3:$B$129,'Quarterly Analysis'!L$1,'Investment Data'!$P$3:$P$129,'Quarterly Analysis'!$B12)</f>
        <v>0</v>
      </c>
      <c r="M12" s="113">
        <f>SUMIFS('Investment Data'!$G$3:$G$129,'Investment Data'!$B$3:$B$129,'Quarterly Analysis'!L$1,'Investment Data'!$P$3:$P$129,'Quarterly Analysis'!$B12)+(SUMIFS('Investment Data'!$R$3:$R$129,'Investment Data'!$B$3:$B$129,'Quarterly Analysis'!L$1,'Investment Data'!$P$3:$P$129,'Quarterly Analysis'!$B12)/4)</f>
        <v>0</v>
      </c>
      <c r="N12" s="123">
        <f t="shared" si="3"/>
        <v>0</v>
      </c>
      <c r="O12" s="109">
        <f>SUMIFS('Investment Data'!$I$3:$I$129,'Investment Data'!$B$3:$B$129,'Quarterly Analysis'!O$1,'Investment Data'!$P$3:$P$129,'Quarterly Analysis'!$B12)+SUMIFS('Investment Data'!$K$3:$K$129,'Investment Data'!$B$3:$B$129,'Quarterly Analysis'!O$1,'Investment Data'!$P$3:$P$129,'Quarterly Analysis'!$B12)</f>
        <v>0</v>
      </c>
      <c r="P12" s="126">
        <f>SUMIFS('Investment Data'!$G$3:$G$129,'Investment Data'!$B$3:$B$129,'Quarterly Analysis'!O$1,'Investment Data'!$P$3:$P$129,'Quarterly Analysis'!$B12)+(SUMIFS('Investment Data'!$R$3:$R$129,'Investment Data'!$B$3:$B$129,'Quarterly Analysis'!O$1,'Investment Data'!$P$3:$P$129,'Quarterly Analysis'!$B12)/4)</f>
        <v>0</v>
      </c>
      <c r="Q12" s="117">
        <f t="shared" si="4"/>
        <v>0</v>
      </c>
      <c r="R12" s="107">
        <f>SUMIFS('Investment Data'!$I$3:$I$129,'Investment Data'!$B$3:$B$129,'Quarterly Analysis'!R$1,'Investment Data'!$P$3:$P$129,'Quarterly Analysis'!$B12)+SUMIFS('Investment Data'!$K$3:$K$129,'Investment Data'!$B$3:$B$129,'Quarterly Analysis'!R$1,'Investment Data'!$P$3:$P$129,'Quarterly Analysis'!$B12)</f>
        <v>0</v>
      </c>
      <c r="S12" s="126">
        <f>SUMIFS('Investment Data'!$G$3:$G$129,'Investment Data'!$B$3:$B$129,'Quarterly Analysis'!R$1,'Investment Data'!$P$3:$P$129,'Quarterly Analysis'!$B12)+(SUMIFS('Investment Data'!$R$3:$R$129,'Investment Data'!$B$3:$B$129,'Quarterly Analysis'!R$1,'Investment Data'!$P$3:$P$129,'Quarterly Analysis'!$B12)/4)</f>
        <v>0</v>
      </c>
      <c r="T12" s="120">
        <f t="shared" si="5"/>
        <v>0</v>
      </c>
      <c r="U12" s="109">
        <f>SUMIFS('Investment Data'!$I$3:$I$129,'Investment Data'!$B$3:$B$129,'Quarterly Analysis'!U$1,'Investment Data'!$P$3:$P$129,'Quarterly Analysis'!$B12)+SUMIFS('Investment Data'!$K$3:$K$129,'Investment Data'!$B$3:$B$129,'Quarterly Analysis'!U$1,'Investment Data'!$P$3:$P$129,'Quarterly Analysis'!$B12)</f>
        <v>0</v>
      </c>
      <c r="V12" s="126">
        <f>SUMIFS('Investment Data'!$G$3:$G$129,'Investment Data'!$B$3:$B$129,'Quarterly Analysis'!U$1,'Investment Data'!$P$3:$P$129,'Quarterly Analysis'!$B12)+(SUMIFS('Investment Data'!$R$3:$R$129,'Investment Data'!$B$3:$B$129,'Quarterly Analysis'!U$1,'Investment Data'!$P$3:$P$129,'Quarterly Analysis'!$B12)/4)</f>
        <v>0</v>
      </c>
      <c r="W12" s="120">
        <f t="shared" si="6"/>
        <v>0</v>
      </c>
      <c r="X12" s="107">
        <f>SUMIFS('Investment Data'!$I$3:$I$129,'Investment Data'!$B$3:$B$129,'Quarterly Analysis'!X$1,'Investment Data'!$P$3:$P$129,'Quarterly Analysis'!$B12)+SUMIFS('Investment Data'!$K$3:$K$129,'Investment Data'!$B$3:$B$129,'Quarterly Analysis'!X$1,'Investment Data'!$P$3:$P$129,'Quarterly Analysis'!$B12)</f>
        <v>0</v>
      </c>
      <c r="Y12" s="126">
        <f>SUMIFS('Investment Data'!$G$3:$G$129,'Investment Data'!$B$3:$B$129,'Quarterly Analysis'!X$1,'Investment Data'!$P$3:$P$129,'Quarterly Analysis'!$B12)+(SUMIFS('Investment Data'!$R$3:$R$129,'Investment Data'!$B$3:$B$129,'Quarterly Analysis'!X$1,'Investment Data'!$P$3:$P$129,'Quarterly Analysis'!$B12)/4)</f>
        <v>0</v>
      </c>
      <c r="Z12" s="120">
        <f t="shared" si="7"/>
        <v>0</v>
      </c>
      <c r="AA12" s="109">
        <f>SUMIFS('Investment Data'!$I$3:$I$129,'Investment Data'!$B$3:$B$129,'Quarterly Analysis'!AA$1,'Investment Data'!$P$3:$P$129,'Quarterly Analysis'!$B12)+SUMIFS('Investment Data'!$K$3:$K$129,'Investment Data'!$B$3:$B$129,'Quarterly Analysis'!AA$1,'Investment Data'!$P$3:$P$129,'Quarterly Analysis'!$B12)</f>
        <v>0</v>
      </c>
      <c r="AB12" s="126">
        <f>SUMIFS('Investment Data'!$G$3:$G$129,'Investment Data'!$B$3:$B$129,'Quarterly Analysis'!AA$1,'Investment Data'!$P$3:$P$129,'Quarterly Analysis'!$B12)+(SUMIFS('Investment Data'!$R$3:$R$129,'Investment Data'!$B$3:$B$129,'Quarterly Analysis'!AA$1,'Investment Data'!$P$3:$P$129,'Quarterly Analysis'!$B12)/4)</f>
        <v>0</v>
      </c>
      <c r="AC12" s="120">
        <f t="shared" si="8"/>
        <v>0</v>
      </c>
      <c r="AD12" s="107">
        <f>SUMIFS('Investment Data'!$I$3:$I$129,'Investment Data'!$B$3:$B$129,'Quarterly Analysis'!AD$1,'Investment Data'!$P$3:$P$129,'Quarterly Analysis'!$B12)+SUMIFS('Investment Data'!$K$3:$K$129,'Investment Data'!$B$3:$B$129,'Quarterly Analysis'!AD$1,'Investment Data'!$P$3:$P$129,'Quarterly Analysis'!$B12)</f>
        <v>0</v>
      </c>
      <c r="AE12" s="126">
        <f>SUMIFS('Investment Data'!$G$3:$G$129,'Investment Data'!$B$3:$B$129,'Quarterly Analysis'!AD$1,'Investment Data'!$P$3:$P$129,'Quarterly Analysis'!$B12)+(SUMIFS('Investment Data'!$R$3:$R$129,'Investment Data'!$B$3:$B$129,'Quarterly Analysis'!AD$1,'Investment Data'!$P$3:$P$129,'Quarterly Analysis'!$B12)/4)</f>
        <v>0</v>
      </c>
      <c r="AF12" s="120">
        <f t="shared" si="9"/>
        <v>0</v>
      </c>
      <c r="AG12" s="129"/>
    </row>
    <row r="13" spans="2:33" ht="14.4">
      <c r="B13" s="45" t="s">
        <v>38</v>
      </c>
      <c r="C13" s="107">
        <f>SUMIFS('Investment Data'!$I$3:$I$129,'Investment Data'!$B$3:$B$129,'Quarterly Analysis'!C$1,'Investment Data'!$P$3:$P$129,'Quarterly Analysis'!$B13)+SUMIFS('Investment Data'!$K$3:$K$129,'Investment Data'!$B$3:$B$129,'Quarterly Analysis'!C$1,'Investment Data'!$P$3:$P$129,'Quarterly Analysis'!$B13)</f>
        <v>7465.42</v>
      </c>
      <c r="D13" s="108">
        <f>SUMIFS('Investment Data'!$G$3:$G$129,'Investment Data'!$B$3:$B$129,'Quarterly Analysis'!C$1,'Investment Data'!$P$3:$P$129,'Quarterly Analysis'!$B13)+(SUMIFS('Investment Data'!$R$3:$R$129,'Investment Data'!$B$3:$B$129,'Quarterly Analysis'!C$1,'Investment Data'!$P$3:$P$129,'Quarterly Analysis'!$B13)/4)</f>
        <v>7836.6</v>
      </c>
      <c r="E13" s="123">
        <f t="shared" si="0"/>
        <v>4.9719908591881003E-2</v>
      </c>
      <c r="F13" s="107">
        <f>SUMIFS('Investment Data'!$I$3:$I$129,'Investment Data'!$B$3:$B$129,'Quarterly Analysis'!F$1,'Investment Data'!$P$3:$P$129,'Quarterly Analysis'!$B13)+SUMIFS('Investment Data'!$K$3:$K$129,'Investment Data'!$B$3:$B$129,'Quarterly Analysis'!F$1,'Investment Data'!$P$3:$P$129,'Quarterly Analysis'!$B13)</f>
        <v>0</v>
      </c>
      <c r="G13" s="126">
        <f>SUMIFS('Investment Data'!$G$3:$G$129,'Investment Data'!$B$3:$B$129,'Quarterly Analysis'!F$1,'Investment Data'!$P$3:$P$129,'Quarterly Analysis'!$B13)+(SUMIFS('Investment Data'!$R$3:$R$129,'Investment Data'!$B$3:$B$129,'Quarterly Analysis'!F$1,'Investment Data'!$P$3:$P$129,'Quarterly Analysis'!$B13)/4)</f>
        <v>0</v>
      </c>
      <c r="H13" s="120">
        <f t="shared" si="1"/>
        <v>0</v>
      </c>
      <c r="I13" s="109">
        <f>SUMIFS('Investment Data'!$I$3:$I$129,'Investment Data'!$B$3:$B$129,'Quarterly Analysis'!I$1,'Investment Data'!$P$3:$P$129,'Quarterly Analysis'!$B13)+SUMIFS('Investment Data'!$K$3:$K$129,'Investment Data'!$B$3:$B$129,'Quarterly Analysis'!I$1,'Investment Data'!$P$3:$P$129,'Quarterly Analysis'!$B13)</f>
        <v>2329.3500000000004</v>
      </c>
      <c r="J13" s="126">
        <f>SUMIFS('Investment Data'!$G$3:$G$129,'Investment Data'!$B$3:$B$129,'Quarterly Analysis'!I$1,'Investment Data'!$P$3:$P$129,'Quarterly Analysis'!$B13)+(SUMIFS('Investment Data'!$R$3:$R$129,'Investment Data'!$B$3:$B$129,'Quarterly Analysis'!I$1,'Investment Data'!$P$3:$P$129,'Quarterly Analysis'!$B13)/4)</f>
        <v>4384.53</v>
      </c>
      <c r="K13" s="117">
        <f t="shared" si="2"/>
        <v>0.88229763667976002</v>
      </c>
      <c r="L13" s="107">
        <f>SUMIFS('Investment Data'!$I$3:$I$129,'Investment Data'!$B$3:$B$129,'Quarterly Analysis'!L$1,'Investment Data'!$P$3:$P$129,'Quarterly Analysis'!$B13)+SUMIFS('Investment Data'!$K$3:$K$129,'Investment Data'!$B$3:$B$129,'Quarterly Analysis'!L$1,'Investment Data'!$P$3:$P$129,'Quarterly Analysis'!$B13)</f>
        <v>0</v>
      </c>
      <c r="M13" s="113">
        <f>SUMIFS('Investment Data'!$G$3:$G$129,'Investment Data'!$B$3:$B$129,'Quarterly Analysis'!L$1,'Investment Data'!$P$3:$P$129,'Quarterly Analysis'!$B13)+(SUMIFS('Investment Data'!$R$3:$R$129,'Investment Data'!$B$3:$B$129,'Quarterly Analysis'!L$1,'Investment Data'!$P$3:$P$129,'Quarterly Analysis'!$B13)/4)</f>
        <v>0</v>
      </c>
      <c r="N13" s="123">
        <f t="shared" si="3"/>
        <v>0</v>
      </c>
      <c r="O13" s="109">
        <f>SUMIFS('Investment Data'!$I$3:$I$129,'Investment Data'!$B$3:$B$129,'Quarterly Analysis'!O$1,'Investment Data'!$P$3:$P$129,'Quarterly Analysis'!$B13)+SUMIFS('Investment Data'!$K$3:$K$129,'Investment Data'!$B$3:$B$129,'Quarterly Analysis'!O$1,'Investment Data'!$P$3:$P$129,'Quarterly Analysis'!$B13)</f>
        <v>0</v>
      </c>
      <c r="P13" s="126">
        <f>SUMIFS('Investment Data'!$G$3:$G$129,'Investment Data'!$B$3:$B$129,'Quarterly Analysis'!O$1,'Investment Data'!$P$3:$P$129,'Quarterly Analysis'!$B13)+(SUMIFS('Investment Data'!$R$3:$R$129,'Investment Data'!$B$3:$B$129,'Quarterly Analysis'!O$1,'Investment Data'!$P$3:$P$129,'Quarterly Analysis'!$B13)/4)</f>
        <v>0</v>
      </c>
      <c r="Q13" s="117">
        <f t="shared" si="4"/>
        <v>0</v>
      </c>
      <c r="R13" s="107">
        <f>SUMIFS('Investment Data'!$I$3:$I$129,'Investment Data'!$B$3:$B$129,'Quarterly Analysis'!R$1,'Investment Data'!$P$3:$P$129,'Quarterly Analysis'!$B13)+SUMIFS('Investment Data'!$K$3:$K$129,'Investment Data'!$B$3:$B$129,'Quarterly Analysis'!R$1,'Investment Data'!$P$3:$P$129,'Quarterly Analysis'!$B13)</f>
        <v>7651.2300000000005</v>
      </c>
      <c r="S13" s="126">
        <f>SUMIFS('Investment Data'!$G$3:$G$129,'Investment Data'!$B$3:$B$129,'Quarterly Analysis'!R$1,'Investment Data'!$P$3:$P$129,'Quarterly Analysis'!$B13)+(SUMIFS('Investment Data'!$R$3:$R$129,'Investment Data'!$B$3:$B$129,'Quarterly Analysis'!R$1,'Investment Data'!$P$3:$P$129,'Quarterly Analysis'!$B13)/4)</f>
        <v>12208.25</v>
      </c>
      <c r="T13" s="120">
        <f t="shared" si="5"/>
        <v>0.59559312685672749</v>
      </c>
      <c r="U13" s="109">
        <f>SUMIFS('Investment Data'!$I$3:$I$129,'Investment Data'!$B$3:$B$129,'Quarterly Analysis'!U$1,'Investment Data'!$P$3:$P$129,'Quarterly Analysis'!$B13)+SUMIFS('Investment Data'!$K$3:$K$129,'Investment Data'!$B$3:$B$129,'Quarterly Analysis'!U$1,'Investment Data'!$P$3:$P$129,'Quarterly Analysis'!$B13)</f>
        <v>0</v>
      </c>
      <c r="V13" s="126">
        <f>SUMIFS('Investment Data'!$G$3:$G$129,'Investment Data'!$B$3:$B$129,'Quarterly Analysis'!U$1,'Investment Data'!$P$3:$P$129,'Quarterly Analysis'!$B13)+(SUMIFS('Investment Data'!$R$3:$R$129,'Investment Data'!$B$3:$B$129,'Quarterly Analysis'!U$1,'Investment Data'!$P$3:$P$129,'Quarterly Analysis'!$B13)/4)</f>
        <v>0</v>
      </c>
      <c r="W13" s="120">
        <f t="shared" si="6"/>
        <v>0</v>
      </c>
      <c r="X13" s="107">
        <f>SUMIFS('Investment Data'!$I$3:$I$129,'Investment Data'!$B$3:$B$129,'Quarterly Analysis'!X$1,'Investment Data'!$P$3:$P$129,'Quarterly Analysis'!$B13)+SUMIFS('Investment Data'!$K$3:$K$129,'Investment Data'!$B$3:$B$129,'Quarterly Analysis'!X$1,'Investment Data'!$P$3:$P$129,'Quarterly Analysis'!$B13)</f>
        <v>0</v>
      </c>
      <c r="Y13" s="126">
        <f>SUMIFS('Investment Data'!$G$3:$G$129,'Investment Data'!$B$3:$B$129,'Quarterly Analysis'!X$1,'Investment Data'!$P$3:$P$129,'Quarterly Analysis'!$B13)+(SUMIFS('Investment Data'!$R$3:$R$129,'Investment Data'!$B$3:$B$129,'Quarterly Analysis'!X$1,'Investment Data'!$P$3:$P$129,'Quarterly Analysis'!$B13)/4)</f>
        <v>0</v>
      </c>
      <c r="Z13" s="120">
        <f t="shared" si="7"/>
        <v>0</v>
      </c>
      <c r="AA13" s="109">
        <f>SUMIFS('Investment Data'!$I$3:$I$129,'Investment Data'!$B$3:$B$129,'Quarterly Analysis'!AA$1,'Investment Data'!$P$3:$P$129,'Quarterly Analysis'!$B13)+SUMIFS('Investment Data'!$K$3:$K$129,'Investment Data'!$B$3:$B$129,'Quarterly Analysis'!AA$1,'Investment Data'!$P$3:$P$129,'Quarterly Analysis'!$B13)</f>
        <v>0</v>
      </c>
      <c r="AB13" s="126">
        <f>SUMIFS('Investment Data'!$G$3:$G$129,'Investment Data'!$B$3:$B$129,'Quarterly Analysis'!AA$1,'Investment Data'!$P$3:$P$129,'Quarterly Analysis'!$B13)+(SUMIFS('Investment Data'!$R$3:$R$129,'Investment Data'!$B$3:$B$129,'Quarterly Analysis'!AA$1,'Investment Data'!$P$3:$P$129,'Quarterly Analysis'!$B13)/4)</f>
        <v>0</v>
      </c>
      <c r="AC13" s="120">
        <f t="shared" si="8"/>
        <v>0</v>
      </c>
      <c r="AD13" s="107">
        <f>SUMIFS('Investment Data'!$I$3:$I$129,'Investment Data'!$B$3:$B$129,'Quarterly Analysis'!AD$1,'Investment Data'!$P$3:$P$129,'Quarterly Analysis'!$B13)+SUMIFS('Investment Data'!$K$3:$K$129,'Investment Data'!$B$3:$B$129,'Quarterly Analysis'!AD$1,'Investment Data'!$P$3:$P$129,'Quarterly Analysis'!$B13)</f>
        <v>0</v>
      </c>
      <c r="AE13" s="126">
        <f>SUMIFS('Investment Data'!$G$3:$G$129,'Investment Data'!$B$3:$B$129,'Quarterly Analysis'!AD$1,'Investment Data'!$P$3:$P$129,'Quarterly Analysis'!$B13)+(SUMIFS('Investment Data'!$R$3:$R$129,'Investment Data'!$B$3:$B$129,'Quarterly Analysis'!AD$1,'Investment Data'!$P$3:$P$129,'Quarterly Analysis'!$B13)/4)</f>
        <v>0</v>
      </c>
      <c r="AF13" s="120">
        <f t="shared" si="9"/>
        <v>0</v>
      </c>
      <c r="AG13" s="129"/>
    </row>
    <row r="14" spans="2:33" ht="14.4">
      <c r="B14" s="45" t="s">
        <v>77</v>
      </c>
      <c r="C14" s="107">
        <f>SUMIFS('Investment Data'!$I$3:$I$129,'Investment Data'!$B$3:$B$129,'Quarterly Analysis'!C$1,'Investment Data'!$P$3:$P$129,'Quarterly Analysis'!$B14)+SUMIFS('Investment Data'!$K$3:$K$129,'Investment Data'!$B$3:$B$129,'Quarterly Analysis'!C$1,'Investment Data'!$P$3:$P$129,'Quarterly Analysis'!$B14)</f>
        <v>0</v>
      </c>
      <c r="D14" s="108">
        <f>SUMIFS('Investment Data'!$G$3:$G$129,'Investment Data'!$B$3:$B$129,'Quarterly Analysis'!C$1,'Investment Data'!$P$3:$P$129,'Quarterly Analysis'!$B14)+(SUMIFS('Investment Data'!$R$3:$R$129,'Investment Data'!$B$3:$B$129,'Quarterly Analysis'!C$1,'Investment Data'!$P$3:$P$129,'Quarterly Analysis'!$B14)/4)</f>
        <v>0</v>
      </c>
      <c r="E14" s="123">
        <f t="shared" si="0"/>
        <v>0</v>
      </c>
      <c r="F14" s="107">
        <f>SUMIFS('Investment Data'!$I$3:$I$129,'Investment Data'!$B$3:$B$129,'Quarterly Analysis'!F$1,'Investment Data'!$P$3:$P$129,'Quarterly Analysis'!$B14)+SUMIFS('Investment Data'!$K$3:$K$129,'Investment Data'!$B$3:$B$129,'Quarterly Analysis'!F$1,'Investment Data'!$P$3:$P$129,'Quarterly Analysis'!$B14)</f>
        <v>0</v>
      </c>
      <c r="G14" s="126">
        <f>SUMIFS('Investment Data'!$G$3:$G$129,'Investment Data'!$B$3:$B$129,'Quarterly Analysis'!F$1,'Investment Data'!$P$3:$P$129,'Quarterly Analysis'!$B14)+(SUMIFS('Investment Data'!$R$3:$R$129,'Investment Data'!$B$3:$B$129,'Quarterly Analysis'!F$1,'Investment Data'!$P$3:$P$129,'Quarterly Analysis'!$B14)/4)</f>
        <v>0</v>
      </c>
      <c r="H14" s="120">
        <f t="shared" si="1"/>
        <v>0</v>
      </c>
      <c r="I14" s="109">
        <f>SUMIFS('Investment Data'!$I$3:$I$129,'Investment Data'!$B$3:$B$129,'Quarterly Analysis'!I$1,'Investment Data'!$P$3:$P$129,'Quarterly Analysis'!$B14)+SUMIFS('Investment Data'!$K$3:$K$129,'Investment Data'!$B$3:$B$129,'Quarterly Analysis'!I$1,'Investment Data'!$P$3:$P$129,'Quarterly Analysis'!$B14)</f>
        <v>0</v>
      </c>
      <c r="J14" s="126">
        <f>SUMIFS('Investment Data'!$G$3:$G$129,'Investment Data'!$B$3:$B$129,'Quarterly Analysis'!I$1,'Investment Data'!$P$3:$P$129,'Quarterly Analysis'!$B14)+(SUMIFS('Investment Data'!$R$3:$R$129,'Investment Data'!$B$3:$B$129,'Quarterly Analysis'!I$1,'Investment Data'!$P$3:$P$129,'Quarterly Analysis'!$B14)/4)</f>
        <v>0</v>
      </c>
      <c r="K14" s="117">
        <f t="shared" si="2"/>
        <v>0</v>
      </c>
      <c r="L14" s="107">
        <f>SUMIFS('Investment Data'!$I$3:$I$129,'Investment Data'!$B$3:$B$129,'Quarterly Analysis'!L$1,'Investment Data'!$P$3:$P$129,'Quarterly Analysis'!$B14)+SUMIFS('Investment Data'!$K$3:$K$129,'Investment Data'!$B$3:$B$129,'Quarterly Analysis'!L$1,'Investment Data'!$P$3:$P$129,'Quarterly Analysis'!$B14)</f>
        <v>0</v>
      </c>
      <c r="M14" s="113">
        <f>SUMIFS('Investment Data'!$G$3:$G$129,'Investment Data'!$B$3:$B$129,'Quarterly Analysis'!L$1,'Investment Data'!$P$3:$P$129,'Quarterly Analysis'!$B14)+(SUMIFS('Investment Data'!$R$3:$R$129,'Investment Data'!$B$3:$B$129,'Quarterly Analysis'!L$1,'Investment Data'!$P$3:$P$129,'Quarterly Analysis'!$B14)/4)</f>
        <v>0</v>
      </c>
      <c r="N14" s="123">
        <f t="shared" si="3"/>
        <v>0</v>
      </c>
      <c r="O14" s="109">
        <f>SUMIFS('Investment Data'!$I$3:$I$129,'Investment Data'!$B$3:$B$129,'Quarterly Analysis'!O$1,'Investment Data'!$P$3:$P$129,'Quarterly Analysis'!$B14)+SUMIFS('Investment Data'!$K$3:$K$129,'Investment Data'!$B$3:$B$129,'Quarterly Analysis'!O$1,'Investment Data'!$P$3:$P$129,'Quarterly Analysis'!$B14)</f>
        <v>0</v>
      </c>
      <c r="P14" s="126">
        <f>SUMIFS('Investment Data'!$G$3:$G$129,'Investment Data'!$B$3:$B$129,'Quarterly Analysis'!O$1,'Investment Data'!$P$3:$P$129,'Quarterly Analysis'!$B14)+(SUMIFS('Investment Data'!$R$3:$R$129,'Investment Data'!$B$3:$B$129,'Quarterly Analysis'!O$1,'Investment Data'!$P$3:$P$129,'Quarterly Analysis'!$B14)/4)</f>
        <v>0</v>
      </c>
      <c r="Q14" s="117">
        <f t="shared" si="4"/>
        <v>0</v>
      </c>
      <c r="R14" s="107">
        <f>SUMIFS('Investment Data'!$I$3:$I$129,'Investment Data'!$B$3:$B$129,'Quarterly Analysis'!R$1,'Investment Data'!$P$3:$P$129,'Quarterly Analysis'!$B14)+SUMIFS('Investment Data'!$K$3:$K$129,'Investment Data'!$B$3:$B$129,'Quarterly Analysis'!R$1,'Investment Data'!$P$3:$P$129,'Quarterly Analysis'!$B14)</f>
        <v>0</v>
      </c>
      <c r="S14" s="126">
        <f>SUMIFS('Investment Data'!$G$3:$G$129,'Investment Data'!$B$3:$B$129,'Quarterly Analysis'!R$1,'Investment Data'!$P$3:$P$129,'Quarterly Analysis'!$B14)+(SUMIFS('Investment Data'!$R$3:$R$129,'Investment Data'!$B$3:$B$129,'Quarterly Analysis'!R$1,'Investment Data'!$P$3:$P$129,'Quarterly Analysis'!$B14)/4)</f>
        <v>0</v>
      </c>
      <c r="T14" s="120">
        <f t="shared" si="5"/>
        <v>0</v>
      </c>
      <c r="U14" s="109">
        <f>SUMIFS('Investment Data'!$I$3:$I$129,'Investment Data'!$B$3:$B$129,'Quarterly Analysis'!U$1,'Investment Data'!$P$3:$P$129,'Quarterly Analysis'!$B14)+SUMIFS('Investment Data'!$K$3:$K$129,'Investment Data'!$B$3:$B$129,'Quarterly Analysis'!U$1,'Investment Data'!$P$3:$P$129,'Quarterly Analysis'!$B14)</f>
        <v>0</v>
      </c>
      <c r="V14" s="126">
        <f>SUMIFS('Investment Data'!$G$3:$G$129,'Investment Data'!$B$3:$B$129,'Quarterly Analysis'!U$1,'Investment Data'!$P$3:$P$129,'Quarterly Analysis'!$B14)+(SUMIFS('Investment Data'!$R$3:$R$129,'Investment Data'!$B$3:$B$129,'Quarterly Analysis'!U$1,'Investment Data'!$P$3:$P$129,'Quarterly Analysis'!$B14)/4)</f>
        <v>0</v>
      </c>
      <c r="W14" s="120">
        <f t="shared" si="6"/>
        <v>0</v>
      </c>
      <c r="X14" s="107">
        <f>SUMIFS('Investment Data'!$I$3:$I$129,'Investment Data'!$B$3:$B$129,'Quarterly Analysis'!X$1,'Investment Data'!$P$3:$P$129,'Quarterly Analysis'!$B14)+SUMIFS('Investment Data'!$K$3:$K$129,'Investment Data'!$B$3:$B$129,'Quarterly Analysis'!X$1,'Investment Data'!$P$3:$P$129,'Quarterly Analysis'!$B14)</f>
        <v>508.9</v>
      </c>
      <c r="Y14" s="126">
        <f>SUMIFS('Investment Data'!$G$3:$G$129,'Investment Data'!$B$3:$B$129,'Quarterly Analysis'!X$1,'Investment Data'!$P$3:$P$129,'Quarterly Analysis'!$B14)+(SUMIFS('Investment Data'!$R$3:$R$129,'Investment Data'!$B$3:$B$129,'Quarterly Analysis'!X$1,'Investment Data'!$P$3:$P$129,'Quarterly Analysis'!$B14)/4)</f>
        <v>663.03599999999994</v>
      </c>
      <c r="Z14" s="120">
        <f t="shared" si="7"/>
        <v>0.30288072312831593</v>
      </c>
      <c r="AA14" s="109">
        <f>SUMIFS('Investment Data'!$I$3:$I$129,'Investment Data'!$B$3:$B$129,'Quarterly Analysis'!AA$1,'Investment Data'!$P$3:$P$129,'Quarterly Analysis'!$B14)+SUMIFS('Investment Data'!$K$3:$K$129,'Investment Data'!$B$3:$B$129,'Quarterly Analysis'!AA$1,'Investment Data'!$P$3:$P$129,'Quarterly Analysis'!$B14)</f>
        <v>0</v>
      </c>
      <c r="AB14" s="126">
        <f>SUMIFS('Investment Data'!$G$3:$G$129,'Investment Data'!$B$3:$B$129,'Quarterly Analysis'!AA$1,'Investment Data'!$P$3:$P$129,'Quarterly Analysis'!$B14)+(SUMIFS('Investment Data'!$R$3:$R$129,'Investment Data'!$B$3:$B$129,'Quarterly Analysis'!AA$1,'Investment Data'!$P$3:$P$129,'Quarterly Analysis'!$B14)/4)</f>
        <v>0</v>
      </c>
      <c r="AC14" s="120">
        <f t="shared" si="8"/>
        <v>0</v>
      </c>
      <c r="AD14" s="107">
        <f>SUMIFS('Investment Data'!$I$3:$I$129,'Investment Data'!$B$3:$B$129,'Quarterly Analysis'!AD$1,'Investment Data'!$P$3:$P$129,'Quarterly Analysis'!$B14)+SUMIFS('Investment Data'!$K$3:$K$129,'Investment Data'!$B$3:$B$129,'Quarterly Analysis'!AD$1,'Investment Data'!$P$3:$P$129,'Quarterly Analysis'!$B14)</f>
        <v>0</v>
      </c>
      <c r="AE14" s="126">
        <f>SUMIFS('Investment Data'!$G$3:$G$129,'Investment Data'!$B$3:$B$129,'Quarterly Analysis'!AD$1,'Investment Data'!$P$3:$P$129,'Quarterly Analysis'!$B14)+(SUMIFS('Investment Data'!$R$3:$R$129,'Investment Data'!$B$3:$B$129,'Quarterly Analysis'!AD$1,'Investment Data'!$P$3:$P$129,'Quarterly Analysis'!$B14)/4)</f>
        <v>0</v>
      </c>
      <c r="AF14" s="120">
        <f t="shared" si="9"/>
        <v>0</v>
      </c>
      <c r="AG14" s="129"/>
    </row>
    <row r="15" spans="2:33" ht="14.4">
      <c r="B15" s="45" t="s">
        <v>80</v>
      </c>
      <c r="C15" s="110">
        <f>SUMIFS('Investment Data'!$I$3:$I$129,'Investment Data'!$B$3:$B$129,'Quarterly Analysis'!C$1,'Investment Data'!$P$3:$P$129,'Quarterly Analysis'!$B15)+SUMIFS('Investment Data'!$K$3:$K$129,'Investment Data'!$B$3:$B$129,'Quarterly Analysis'!C$1,'Investment Data'!$P$3:$P$129,'Quarterly Analysis'!$B15)</f>
        <v>0</v>
      </c>
      <c r="D15" s="111">
        <f>SUMIFS('Investment Data'!$G$3:$G$129,'Investment Data'!$B$3:$B$129,'Quarterly Analysis'!C$1,'Investment Data'!$P$3:$P$129,'Quarterly Analysis'!$B15)+(SUMIFS('Investment Data'!$R$3:$R$129,'Investment Data'!$B$3:$B$129,'Quarterly Analysis'!C$1,'Investment Data'!$P$3:$P$129,'Quarterly Analysis'!$B15)/4)</f>
        <v>0</v>
      </c>
      <c r="E15" s="124">
        <f t="shared" si="0"/>
        <v>0</v>
      </c>
      <c r="F15" s="110">
        <f>SUMIFS('Investment Data'!$I$3:$I$129,'Investment Data'!$B$3:$B$129,'Quarterly Analysis'!F$1,'Investment Data'!$P$3:$P$129,'Quarterly Analysis'!$B15)+SUMIFS('Investment Data'!$K$3:$K$129,'Investment Data'!$B$3:$B$129,'Quarterly Analysis'!F$1,'Investment Data'!$P$3:$P$129,'Quarterly Analysis'!$B15)</f>
        <v>0</v>
      </c>
      <c r="G15" s="127">
        <f>SUMIFS('Investment Data'!$G$3:$G$129,'Investment Data'!$B$3:$B$129,'Quarterly Analysis'!F$1,'Investment Data'!$P$3:$P$129,'Quarterly Analysis'!$B15)+(SUMIFS('Investment Data'!$R$3:$R$129,'Investment Data'!$B$3:$B$129,'Quarterly Analysis'!F$1,'Investment Data'!$P$3:$P$129,'Quarterly Analysis'!$B15)/4)</f>
        <v>0</v>
      </c>
      <c r="H15" s="121">
        <f t="shared" si="1"/>
        <v>0</v>
      </c>
      <c r="I15" s="112">
        <f>SUMIFS('Investment Data'!$I$3:$I$129,'Investment Data'!$B$3:$B$129,'Quarterly Analysis'!I$1,'Investment Data'!$P$3:$P$129,'Quarterly Analysis'!$B15)+SUMIFS('Investment Data'!$K$3:$K$129,'Investment Data'!$B$3:$B$129,'Quarterly Analysis'!I$1,'Investment Data'!$P$3:$P$129,'Quarterly Analysis'!$B15)</f>
        <v>0</v>
      </c>
      <c r="J15" s="127">
        <f>SUMIFS('Investment Data'!$G$3:$G$129,'Investment Data'!$B$3:$B$129,'Quarterly Analysis'!I$1,'Investment Data'!$P$3:$P$129,'Quarterly Analysis'!$B15)+(SUMIFS('Investment Data'!$R$3:$R$129,'Investment Data'!$B$3:$B$129,'Quarterly Analysis'!I$1,'Investment Data'!$P$3:$P$129,'Quarterly Analysis'!$B15)/4)</f>
        <v>0</v>
      </c>
      <c r="K15" s="118">
        <f t="shared" si="2"/>
        <v>0</v>
      </c>
      <c r="L15" s="110">
        <f>SUMIFS('Investment Data'!$I$3:$I$129,'Investment Data'!$B$3:$B$129,'Quarterly Analysis'!L$1,'Investment Data'!$P$3:$P$129,'Quarterly Analysis'!$B15)+SUMIFS('Investment Data'!$K$3:$K$129,'Investment Data'!$B$3:$B$129,'Quarterly Analysis'!L$1,'Investment Data'!$P$3:$P$129,'Quarterly Analysis'!$B15)</f>
        <v>0</v>
      </c>
      <c r="M15" s="114">
        <f>SUMIFS('Investment Data'!$G$3:$G$129,'Investment Data'!$B$3:$B$129,'Quarterly Analysis'!L$1,'Investment Data'!$P$3:$P$129,'Quarterly Analysis'!$B15)+(SUMIFS('Investment Data'!$R$3:$R$129,'Investment Data'!$B$3:$B$129,'Quarterly Analysis'!L$1,'Investment Data'!$P$3:$P$129,'Quarterly Analysis'!$B15)/4)</f>
        <v>0</v>
      </c>
      <c r="N15" s="124">
        <f t="shared" si="3"/>
        <v>0</v>
      </c>
      <c r="O15" s="112">
        <f>SUMIFS('Investment Data'!$I$3:$I$129,'Investment Data'!$B$3:$B$129,'Quarterly Analysis'!O$1,'Investment Data'!$P$3:$P$129,'Quarterly Analysis'!$B15)+SUMIFS('Investment Data'!$K$3:$K$129,'Investment Data'!$B$3:$B$129,'Quarterly Analysis'!O$1,'Investment Data'!$P$3:$P$129,'Quarterly Analysis'!$B15)</f>
        <v>0</v>
      </c>
      <c r="P15" s="127">
        <f>SUMIFS('Investment Data'!$G$3:$G$129,'Investment Data'!$B$3:$B$129,'Quarterly Analysis'!O$1,'Investment Data'!$P$3:$P$129,'Quarterly Analysis'!$B15)+(SUMIFS('Investment Data'!$R$3:$R$129,'Investment Data'!$B$3:$B$129,'Quarterly Analysis'!O$1,'Investment Data'!$P$3:$P$129,'Quarterly Analysis'!$B15)/4)</f>
        <v>0</v>
      </c>
      <c r="Q15" s="118">
        <f t="shared" si="4"/>
        <v>0</v>
      </c>
      <c r="R15" s="110">
        <f>SUMIFS('Investment Data'!$I$3:$I$129,'Investment Data'!$B$3:$B$129,'Quarterly Analysis'!R$1,'Investment Data'!$P$3:$P$129,'Quarterly Analysis'!$B15)+SUMIFS('Investment Data'!$K$3:$K$129,'Investment Data'!$B$3:$B$129,'Quarterly Analysis'!R$1,'Investment Data'!$P$3:$P$129,'Quarterly Analysis'!$B15)</f>
        <v>0</v>
      </c>
      <c r="S15" s="127">
        <f>SUMIFS('Investment Data'!$G$3:$G$129,'Investment Data'!$B$3:$B$129,'Quarterly Analysis'!R$1,'Investment Data'!$P$3:$P$129,'Quarterly Analysis'!$B15)+(SUMIFS('Investment Data'!$R$3:$R$129,'Investment Data'!$B$3:$B$129,'Quarterly Analysis'!R$1,'Investment Data'!$P$3:$P$129,'Quarterly Analysis'!$B15)/4)</f>
        <v>0</v>
      </c>
      <c r="T15" s="121">
        <f t="shared" si="5"/>
        <v>0</v>
      </c>
      <c r="U15" s="112">
        <f>SUMIFS('Investment Data'!$I$3:$I$129,'Investment Data'!$B$3:$B$129,'Quarterly Analysis'!U$1,'Investment Data'!$P$3:$P$129,'Quarterly Analysis'!$B15)+SUMIFS('Investment Data'!$K$3:$K$129,'Investment Data'!$B$3:$B$129,'Quarterly Analysis'!U$1,'Investment Data'!$P$3:$P$129,'Quarterly Analysis'!$B15)</f>
        <v>0</v>
      </c>
      <c r="V15" s="127">
        <f>SUMIFS('Investment Data'!$G$3:$G$129,'Investment Data'!$B$3:$B$129,'Quarterly Analysis'!U$1,'Investment Data'!$P$3:$P$129,'Quarterly Analysis'!$B15)+(SUMIFS('Investment Data'!$R$3:$R$129,'Investment Data'!$B$3:$B$129,'Quarterly Analysis'!U$1,'Investment Data'!$P$3:$P$129,'Quarterly Analysis'!$B15)/4)</f>
        <v>0</v>
      </c>
      <c r="W15" s="121">
        <f t="shared" si="6"/>
        <v>0</v>
      </c>
      <c r="X15" s="110">
        <f>SUMIFS('Investment Data'!$I$3:$I$129,'Investment Data'!$B$3:$B$129,'Quarterly Analysis'!X$1,'Investment Data'!$P$3:$P$129,'Quarterly Analysis'!$B15)+SUMIFS('Investment Data'!$K$3:$K$129,'Investment Data'!$B$3:$B$129,'Quarterly Analysis'!X$1,'Investment Data'!$P$3:$P$129,'Quarterly Analysis'!$B15)</f>
        <v>0</v>
      </c>
      <c r="Y15" s="127">
        <f>SUMIFS('Investment Data'!$G$3:$G$129,'Investment Data'!$B$3:$B$129,'Quarterly Analysis'!X$1,'Investment Data'!$P$3:$P$129,'Quarterly Analysis'!$B15)+(SUMIFS('Investment Data'!$R$3:$R$129,'Investment Data'!$B$3:$B$129,'Quarterly Analysis'!X$1,'Investment Data'!$P$3:$P$129,'Quarterly Analysis'!$B15)/4)</f>
        <v>0</v>
      </c>
      <c r="Z15" s="121">
        <f t="shared" si="7"/>
        <v>0</v>
      </c>
      <c r="AA15" s="112">
        <f>SUMIFS('Investment Data'!$I$3:$I$129,'Investment Data'!$B$3:$B$129,'Quarterly Analysis'!AA$1,'Investment Data'!$P$3:$P$129,'Quarterly Analysis'!$B15)+SUMIFS('Investment Data'!$K$3:$K$129,'Investment Data'!$B$3:$B$129,'Quarterly Analysis'!AA$1,'Investment Data'!$P$3:$P$129,'Quarterly Analysis'!$B15)</f>
        <v>21991.38</v>
      </c>
      <c r="AB15" s="127">
        <f>SUMIFS('Investment Data'!$G$3:$G$129,'Investment Data'!$B$3:$B$129,'Quarterly Analysis'!AA$1,'Investment Data'!$P$3:$P$129,'Quarterly Analysis'!$B15)+(SUMIFS('Investment Data'!$R$3:$R$129,'Investment Data'!$B$3:$B$129,'Quarterly Analysis'!AA$1,'Investment Data'!$P$3:$P$129,'Quarterly Analysis'!$B15)/4)</f>
        <v>36212.720000000001</v>
      </c>
      <c r="AC15" s="121">
        <f t="shared" si="8"/>
        <v>0.64667792562358517</v>
      </c>
      <c r="AD15" s="110">
        <f>SUMIFS('Investment Data'!$I$3:$I$129,'Investment Data'!$B$3:$B$129,'Quarterly Analysis'!AD$1,'Investment Data'!$P$3:$P$129,'Quarterly Analysis'!$B15)+SUMIFS('Investment Data'!$K$3:$K$129,'Investment Data'!$B$3:$B$129,'Quarterly Analysis'!AD$1,'Investment Data'!$P$3:$P$129,'Quarterly Analysis'!$B15)</f>
        <v>0</v>
      </c>
      <c r="AE15" s="127">
        <f>SUMIFS('Investment Data'!$G$3:$G$129,'Investment Data'!$B$3:$B$129,'Quarterly Analysis'!AD$1,'Investment Data'!$P$3:$P$129,'Quarterly Analysis'!$B15)+(SUMIFS('Investment Data'!$R$3:$R$129,'Investment Data'!$B$3:$B$129,'Quarterly Analysis'!AD$1,'Investment Data'!$P$3:$P$129,'Quarterly Analysis'!$B15)/4)</f>
        <v>0</v>
      </c>
      <c r="AF15" s="121">
        <f t="shared" si="9"/>
        <v>0</v>
      </c>
      <c r="AG15" s="129"/>
    </row>
    <row r="17" spans="2:12" ht="13.8" thickBot="1"/>
    <row r="18" spans="2:12" ht="13.8" thickBot="1">
      <c r="C18" s="134" t="s">
        <v>208</v>
      </c>
      <c r="D18" s="135" t="s">
        <v>209</v>
      </c>
      <c r="E18" s="135" t="s">
        <v>210</v>
      </c>
      <c r="F18" s="135" t="s">
        <v>211</v>
      </c>
      <c r="G18" s="135" t="s">
        <v>212</v>
      </c>
      <c r="H18" s="135" t="s">
        <v>213</v>
      </c>
      <c r="I18" s="135" t="s">
        <v>214</v>
      </c>
      <c r="J18" s="135" t="s">
        <v>215</v>
      </c>
      <c r="K18" s="135" t="s">
        <v>216</v>
      </c>
      <c r="L18" s="136" t="s">
        <v>217</v>
      </c>
    </row>
    <row r="19" spans="2:12" ht="16.2" thickBot="1">
      <c r="B19" s="101" t="s">
        <v>11</v>
      </c>
      <c r="C19" s="137" t="s">
        <v>207</v>
      </c>
      <c r="D19" s="138" t="s">
        <v>207</v>
      </c>
      <c r="E19" s="138" t="s">
        <v>207</v>
      </c>
      <c r="F19" s="138" t="s">
        <v>207</v>
      </c>
      <c r="G19" s="138" t="s">
        <v>207</v>
      </c>
      <c r="H19" s="138" t="s">
        <v>207</v>
      </c>
      <c r="I19" s="138" t="s">
        <v>207</v>
      </c>
      <c r="J19" s="138" t="s">
        <v>207</v>
      </c>
      <c r="K19" s="138" t="s">
        <v>207</v>
      </c>
      <c r="L19" s="139" t="s">
        <v>207</v>
      </c>
    </row>
    <row r="20" spans="2:12" ht="14.4">
      <c r="B20" s="140" t="str">
        <f>Dashboard!$C$156</f>
        <v>Financials</v>
      </c>
      <c r="C20" s="130">
        <f>VLOOKUP($B$20,$B$3:$AF$15,4,0)</f>
        <v>2.4217682586014491E-2</v>
      </c>
      <c r="D20" s="131">
        <f>VLOOKUP($B$20,$B$3:$AF$15,7,0)</f>
        <v>-7.2377964443544801E-2</v>
      </c>
      <c r="E20" s="132">
        <f>VLOOKUP($B$20,$B$3:$AF$15,10,0)</f>
        <v>0</v>
      </c>
      <c r="F20" s="132">
        <f>VLOOKUP($B$20,$B$3:$AF$15,13,0)</f>
        <v>0.1365804365400162</v>
      </c>
      <c r="G20" s="132">
        <f>VLOOKUP($B$20,$B$3:$AF$15,16,0)</f>
        <v>0.33537103007702412</v>
      </c>
      <c r="H20" s="132">
        <f>VLOOKUP($B$20,$B$3:$AF$15,19,0)</f>
        <v>0</v>
      </c>
      <c r="I20" s="132">
        <f>VLOOKUP($B$20,$B$3:$AF$15,22,0)</f>
        <v>0</v>
      </c>
      <c r="J20" s="132">
        <f>VLOOKUP($B$20,$B$3:$AF$15,25,0)</f>
        <v>0</v>
      </c>
      <c r="K20" s="132">
        <f>VLOOKUP($B$20,$B$3:$AF$15,28,0)</f>
        <v>-0.2843436565793116</v>
      </c>
      <c r="L20" s="133">
        <f>VLOOKUP($B$20,$B$3:$AF$15,31,0)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6A6C-278A-414D-AE18-5428D2A486FF}">
  <dimension ref="B3:I7"/>
  <sheetViews>
    <sheetView workbookViewId="0">
      <selection activeCell="C4" sqref="C4:I4"/>
    </sheetView>
  </sheetViews>
  <sheetFormatPr defaultRowHeight="13.2"/>
  <cols>
    <col min="2" max="2" width="11.88671875" customWidth="1"/>
  </cols>
  <sheetData>
    <row r="3" spans="2:9" ht="24.75" customHeight="1">
      <c r="B3" s="8" t="s">
        <v>158</v>
      </c>
      <c r="C3" s="260" t="s">
        <v>166</v>
      </c>
      <c r="D3" s="260"/>
      <c r="E3" s="260"/>
      <c r="F3" s="260"/>
      <c r="G3" s="260"/>
      <c r="H3" s="260"/>
      <c r="I3" s="260"/>
    </row>
    <row r="4" spans="2:9" ht="26.4">
      <c r="B4" s="8" t="s">
        <v>12</v>
      </c>
      <c r="C4" s="257" t="s">
        <v>161</v>
      </c>
      <c r="D4" s="257"/>
      <c r="E4" s="257"/>
      <c r="F4" s="257"/>
      <c r="G4" s="257"/>
      <c r="H4" s="257"/>
      <c r="I4" s="257"/>
    </row>
    <row r="5" spans="2:9" ht="26.4">
      <c r="B5" s="8" t="s">
        <v>4</v>
      </c>
      <c r="C5" s="258" t="s">
        <v>162</v>
      </c>
      <c r="D5" s="258"/>
      <c r="E5" s="258"/>
      <c r="F5" s="258"/>
      <c r="G5" s="258"/>
      <c r="H5" s="258"/>
      <c r="I5" s="258"/>
    </row>
    <row r="6" spans="2:9" ht="26.4">
      <c r="B6" s="8" t="s">
        <v>6</v>
      </c>
      <c r="C6" s="258" t="s">
        <v>163</v>
      </c>
      <c r="D6" s="258"/>
      <c r="E6" s="258"/>
      <c r="F6" s="258"/>
      <c r="G6" s="258"/>
      <c r="H6" s="258"/>
      <c r="I6" s="258"/>
    </row>
    <row r="7" spans="2:9">
      <c r="B7" s="8" t="s">
        <v>9</v>
      </c>
      <c r="C7" s="259" t="s">
        <v>164</v>
      </c>
      <c r="D7" s="259"/>
      <c r="E7" s="259"/>
      <c r="F7" s="259"/>
      <c r="G7" s="259"/>
      <c r="H7" s="259"/>
      <c r="I7" s="259"/>
    </row>
  </sheetData>
  <mergeCells count="5">
    <mergeCell ref="C4:I4"/>
    <mergeCell ref="C5:I5"/>
    <mergeCell ref="C6:I6"/>
    <mergeCell ref="C7:I7"/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Dashboard</vt:lpstr>
      <vt:lpstr>Investment Data</vt:lpstr>
      <vt:lpstr>Analysis</vt:lpstr>
      <vt:lpstr>Quarterly Analysis</vt:lpstr>
      <vt:lpstr>Definition</vt:lpstr>
      <vt:lpstr>'Investment Data'!Extract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Subhadip Neogi</cp:lastModifiedBy>
  <dcterms:created xsi:type="dcterms:W3CDTF">2024-06-27T03:45:27Z</dcterms:created>
  <dcterms:modified xsi:type="dcterms:W3CDTF">2024-07-13T04:22:01Z</dcterms:modified>
</cp:coreProperties>
</file>