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hboard\Law Firm Dashboard\"/>
    </mc:Choice>
  </mc:AlternateContent>
  <xr:revisionPtr revIDLastSave="0" documentId="13_ncr:1_{5DA33FF8-A419-41AF-B49D-BAE95ED8C83A}" xr6:coauthVersionLast="45" xr6:coauthVersionMax="45" xr10:uidLastSave="{00000000-0000-0000-0000-000000000000}"/>
  <bookViews>
    <workbookView xWindow="-120" yWindow="-120" windowWidth="20730" windowHeight="11040" tabRatio="906" xr2:uid="{BC43FAE7-9035-4356-ACA9-EBD081C9A7B2}"/>
  </bookViews>
  <sheets>
    <sheet name="Case Dashboard" sheetId="15" r:id="rId1"/>
    <sheet name="Lawyers Dashboard" sheetId="22" r:id="rId2"/>
    <sheet name="Clients Dashboard" sheetId="23" r:id="rId3"/>
    <sheet name="Billing Dashboard" sheetId="24" r:id="rId4"/>
    <sheet name="Analysis" sheetId="13" r:id="rId5"/>
    <sheet name="Tracker" sheetId="10" r:id="rId6"/>
    <sheet name="Lawyers Data" sheetId="7" r:id="rId7"/>
    <sheet name="Clients Data" sheetId="3" r:id="rId8"/>
    <sheet name="Cases Data" sheetId="4" r:id="rId9"/>
  </sheets>
  <definedNames>
    <definedName name="_xlnm._FilterDatabase" localSheetId="4" hidden="1">Analysis!$F$133:$N$157</definedName>
    <definedName name="_xlnm._FilterDatabase" localSheetId="8" hidden="1">'Cases Data'!$B$2:$D$51</definedName>
    <definedName name="_xlnm._FilterDatabase" localSheetId="7" hidden="1">'Clients Data'!$B$2:$M$2</definedName>
    <definedName name="_xlnm._FilterDatabase" localSheetId="6" hidden="1">'Lawyers Data'!$B$2:$U$24</definedName>
    <definedName name="_xlnm._FilterDatabase" localSheetId="5" hidden="1">Tracker!$B$2:$AE$503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3" l="1"/>
  <c r="AM34" i="13"/>
  <c r="I23" i="3"/>
  <c r="I16" i="3"/>
  <c r="I4" i="3"/>
  <c r="I22" i="3" l="1"/>
  <c r="I12" i="3"/>
  <c r="I24" i="3"/>
  <c r="I13" i="3"/>
  <c r="I14" i="3"/>
  <c r="I3" i="3"/>
  <c r="D249" i="13" s="1"/>
  <c r="I15" i="3"/>
  <c r="I5" i="3"/>
  <c r="I17" i="3"/>
  <c r="I6" i="3"/>
  <c r="I18" i="3"/>
  <c r="I7" i="3"/>
  <c r="I19" i="3"/>
  <c r="I8" i="3"/>
  <c r="I20" i="3"/>
  <c r="I9" i="3"/>
  <c r="I21" i="3"/>
  <c r="I10" i="3"/>
  <c r="M304" i="13"/>
  <c r="F315" i="13"/>
  <c r="AB34" i="13"/>
  <c r="AB35" i="13" s="1"/>
  <c r="AB36" i="13" s="1"/>
  <c r="AB37" i="13" s="1"/>
  <c r="AB38" i="13" s="1"/>
  <c r="F333" i="13" l="1" a="1"/>
  <c r="F333" i="13" s="1"/>
  <c r="F334" i="13" s="1" a="1"/>
  <c r="F334" i="13" s="1"/>
  <c r="G334" i="13" s="1"/>
  <c r="N333" i="13"/>
  <c r="N334" i="13" s="1"/>
  <c r="N335" i="13" s="1"/>
  <c r="N336" i="13" s="1"/>
  <c r="N337" i="13" s="1"/>
  <c r="J333" i="13" a="1"/>
  <c r="J333" i="13" s="1"/>
  <c r="G333" i="13" l="1"/>
  <c r="J334" i="13" a="1"/>
  <c r="J334" i="13" s="1"/>
  <c r="F335" i="13" a="1"/>
  <c r="F335" i="13" s="1"/>
  <c r="G335" i="13" s="1"/>
  <c r="Q305" i="13"/>
  <c r="AD502" i="10"/>
  <c r="AD499" i="10"/>
  <c r="AD497" i="10"/>
  <c r="AD496" i="10"/>
  <c r="AD495" i="10"/>
  <c r="AD494" i="10"/>
  <c r="AD493" i="10"/>
  <c r="AD492" i="10"/>
  <c r="AD490" i="10"/>
  <c r="AD489" i="10"/>
  <c r="AD486" i="10"/>
  <c r="AD485" i="10"/>
  <c r="AD484" i="10"/>
  <c r="AD483" i="10"/>
  <c r="AD482" i="10"/>
  <c r="AD481" i="10"/>
  <c r="AD480" i="10"/>
  <c r="AD479" i="10"/>
  <c r="AD478" i="10"/>
  <c r="AD477" i="10"/>
  <c r="AD475" i="10"/>
  <c r="AD474" i="10"/>
  <c r="AD471" i="10"/>
  <c r="AD470" i="10"/>
  <c r="AD469" i="10"/>
  <c r="AD468" i="10"/>
  <c r="AD466" i="10"/>
  <c r="AD464" i="10"/>
  <c r="AD459" i="10"/>
  <c r="AD458" i="10"/>
  <c r="AD437" i="10"/>
  <c r="AD422" i="10"/>
  <c r="AD413" i="10"/>
  <c r="AD405" i="10"/>
  <c r="AD395" i="10"/>
  <c r="AD389" i="10"/>
  <c r="AD386" i="10"/>
  <c r="AD373" i="10"/>
  <c r="AD367" i="10"/>
  <c r="AD352" i="10"/>
  <c r="AD346" i="10"/>
  <c r="AD340" i="10"/>
  <c r="AD331" i="10"/>
  <c r="AD321" i="10"/>
  <c r="AD306" i="10"/>
  <c r="AD291" i="10"/>
  <c r="AD283" i="10"/>
  <c r="AD276" i="10"/>
  <c r="AD253" i="10"/>
  <c r="AD251" i="10"/>
  <c r="AD243" i="10"/>
  <c r="AD231" i="10"/>
  <c r="AD196" i="10"/>
  <c r="AD195" i="10"/>
  <c r="AD148" i="10"/>
  <c r="AD59" i="10"/>
  <c r="AD41" i="10"/>
  <c r="AD16" i="10"/>
  <c r="AD4" i="10"/>
  <c r="AE16" i="10"/>
  <c r="AE41" i="10"/>
  <c r="AE59" i="10"/>
  <c r="AE148" i="10"/>
  <c r="AE195" i="10"/>
  <c r="AE196" i="10"/>
  <c r="AE231" i="10"/>
  <c r="AE243" i="10"/>
  <c r="AE251" i="10"/>
  <c r="AE253" i="10"/>
  <c r="AE276" i="10"/>
  <c r="AE283" i="10"/>
  <c r="AE291" i="10"/>
  <c r="AE306" i="10"/>
  <c r="AE321" i="10"/>
  <c r="AE331" i="10"/>
  <c r="AE340" i="10"/>
  <c r="AE346" i="10"/>
  <c r="AE352" i="10"/>
  <c r="AE367" i="10"/>
  <c r="AE373" i="10"/>
  <c r="AE386" i="10"/>
  <c r="AE389" i="10"/>
  <c r="AE395" i="10"/>
  <c r="AE405" i="10"/>
  <c r="AE413" i="10"/>
  <c r="AE422" i="10"/>
  <c r="AE437" i="10"/>
  <c r="AE458" i="10"/>
  <c r="AE459" i="10"/>
  <c r="AE464" i="10"/>
  <c r="AE466" i="10"/>
  <c r="AE468" i="10"/>
  <c r="AE469" i="10"/>
  <c r="AE470" i="10"/>
  <c r="AE471" i="10"/>
  <c r="AE474" i="10"/>
  <c r="AE475" i="10"/>
  <c r="AE477" i="10"/>
  <c r="AE478" i="10"/>
  <c r="AE479" i="10"/>
  <c r="AE480" i="10"/>
  <c r="AE481" i="10"/>
  <c r="AE482" i="10"/>
  <c r="AE483" i="10"/>
  <c r="AE484" i="10"/>
  <c r="AE485" i="10"/>
  <c r="AE486" i="10"/>
  <c r="AE489" i="10"/>
  <c r="AE490" i="10"/>
  <c r="AE492" i="10"/>
  <c r="AE493" i="10"/>
  <c r="AE494" i="10"/>
  <c r="AE495" i="10"/>
  <c r="AE496" i="10"/>
  <c r="AE497" i="10"/>
  <c r="AE499" i="10"/>
  <c r="AE502" i="10"/>
  <c r="AE4" i="10"/>
  <c r="G315" i="13"/>
  <c r="H315" i="13" s="1"/>
  <c r="I315" i="13" s="1"/>
  <c r="J315" i="13" s="1"/>
  <c r="D307" i="13"/>
  <c r="J335" i="13" l="1" a="1"/>
  <c r="J335" i="13" s="1"/>
  <c r="F336" i="13" a="1"/>
  <c r="F336" i="13" s="1"/>
  <c r="G336" i="13" s="1"/>
  <c r="Q306" i="13"/>
  <c r="C288" i="13" a="1"/>
  <c r="C288" i="13" s="1"/>
  <c r="C290" i="13" s="1" a="1"/>
  <c r="C290" i="13" s="1"/>
  <c r="B276" i="13" a="1"/>
  <c r="B276" i="13" s="1"/>
  <c r="B277" i="13" s="1" a="1"/>
  <c r="B277" i="13" s="1"/>
  <c r="C277" i="13" s="1"/>
  <c r="J336" i="13" l="1" a="1"/>
  <c r="J336" i="13" s="1"/>
  <c r="F337" i="13" a="1"/>
  <c r="F337" i="13" s="1"/>
  <c r="G337" i="13" s="1"/>
  <c r="Q307" i="13"/>
  <c r="C289" i="13" a="1"/>
  <c r="C289" i="13" s="1"/>
  <c r="C297" i="13"/>
  <c r="C294" i="13"/>
  <c r="C291" i="13"/>
  <c r="C296" i="13"/>
  <c r="C292" i="13"/>
  <c r="D276" i="13" a="1"/>
  <c r="D276" i="13" s="1"/>
  <c r="G276" i="13"/>
  <c r="I277" i="13"/>
  <c r="J277" i="13" s="1"/>
  <c r="I276" i="13"/>
  <c r="E276" i="13"/>
  <c r="E277" i="13"/>
  <c r="F277" i="13" s="1"/>
  <c r="G277" i="13"/>
  <c r="H277" i="13" s="1"/>
  <c r="D288" i="13" a="1"/>
  <c r="D288" i="13" s="1"/>
  <c r="D290" i="13" s="1" a="1"/>
  <c r="D290" i="13" s="1"/>
  <c r="C276" i="13"/>
  <c r="B278" i="13" a="1"/>
  <c r="B278" i="13" s="1"/>
  <c r="C293" i="13" l="1"/>
  <c r="C295" i="13"/>
  <c r="J337" i="13" a="1"/>
  <c r="J337" i="13" s="1"/>
  <c r="F338" i="13" a="1"/>
  <c r="F338" i="13" s="1"/>
  <c r="Q308" i="13"/>
  <c r="D296" i="13"/>
  <c r="D292" i="13"/>
  <c r="D297" i="13"/>
  <c r="D291" i="13"/>
  <c r="D294" i="13"/>
  <c r="D289" i="13" a="1"/>
  <c r="D289" i="13" s="1"/>
  <c r="D277" i="13" a="1"/>
  <c r="D277" i="13" s="1"/>
  <c r="M288" i="13"/>
  <c r="F276" i="13"/>
  <c r="H276" i="13"/>
  <c r="J276" i="13"/>
  <c r="C278" i="13"/>
  <c r="G278" i="13"/>
  <c r="H278" i="13" s="1"/>
  <c r="I278" i="13"/>
  <c r="E278" i="13"/>
  <c r="E288" i="13" a="1"/>
  <c r="E288" i="13" s="1"/>
  <c r="E290" i="13" s="1" a="1"/>
  <c r="E290" i="13" s="1"/>
  <c r="B279" i="13" a="1"/>
  <c r="B279" i="13" s="1"/>
  <c r="F339" i="13" l="1" a="1"/>
  <c r="F339" i="13" s="1"/>
  <c r="G339" i="13" s="1"/>
  <c r="G338" i="13"/>
  <c r="J338" i="13" a="1"/>
  <c r="J338" i="13" s="1"/>
  <c r="Q309" i="13"/>
  <c r="M297" i="13"/>
  <c r="M296" i="13"/>
  <c r="M294" i="13"/>
  <c r="M292" i="13"/>
  <c r="M291" i="13"/>
  <c r="M290" i="13"/>
  <c r="D293" i="13"/>
  <c r="M293" i="13" s="1"/>
  <c r="E296" i="13"/>
  <c r="E292" i="13"/>
  <c r="E294" i="13"/>
  <c r="E291" i="13"/>
  <c r="E297" i="13"/>
  <c r="J278" i="13"/>
  <c r="D295" i="13"/>
  <c r="M295" i="13" s="1"/>
  <c r="M289" i="13"/>
  <c r="E289" i="13" a="1"/>
  <c r="E289" i="13" s="1"/>
  <c r="D278" i="13" a="1"/>
  <c r="D278" i="13" s="1"/>
  <c r="F278" i="13"/>
  <c r="C279" i="13"/>
  <c r="E279" i="13"/>
  <c r="G279" i="13"/>
  <c r="I279" i="13"/>
  <c r="F288" i="13" a="1"/>
  <c r="F288" i="13" s="1"/>
  <c r="F290" i="13" s="1" a="1"/>
  <c r="F290" i="13" s="1"/>
  <c r="B280" i="13" a="1"/>
  <c r="B280" i="13" s="1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O24" i="7"/>
  <c r="N24" i="7"/>
  <c r="J182" i="13" s="1"/>
  <c r="L24" i="7"/>
  <c r="H24" i="7"/>
  <c r="G24" i="7"/>
  <c r="O23" i="7"/>
  <c r="N23" i="7"/>
  <c r="J181" i="13" s="1"/>
  <c r="L23" i="7"/>
  <c r="H23" i="7"/>
  <c r="G23" i="7"/>
  <c r="O22" i="7"/>
  <c r="N22" i="7"/>
  <c r="J180" i="13" s="1"/>
  <c r="L22" i="7"/>
  <c r="M22" i="7" s="1"/>
  <c r="H22" i="7"/>
  <c r="G22" i="7"/>
  <c r="O21" i="7"/>
  <c r="N21" i="7"/>
  <c r="L21" i="7"/>
  <c r="H179" i="13" s="1"/>
  <c r="H21" i="7"/>
  <c r="G21" i="7"/>
  <c r="O20" i="7"/>
  <c r="N20" i="7"/>
  <c r="J178" i="13" s="1"/>
  <c r="L20" i="7"/>
  <c r="H178" i="13" s="1"/>
  <c r="H20" i="7"/>
  <c r="G20" i="7"/>
  <c r="O19" i="7"/>
  <c r="N19" i="7"/>
  <c r="L19" i="7"/>
  <c r="H177" i="13" s="1"/>
  <c r="H19" i="7"/>
  <c r="G19" i="7"/>
  <c r="O18" i="7"/>
  <c r="N18" i="7"/>
  <c r="J176" i="13" s="1"/>
  <c r="L18" i="7"/>
  <c r="H176" i="13" s="1"/>
  <c r="H18" i="7"/>
  <c r="G18" i="7"/>
  <c r="O17" i="7"/>
  <c r="N17" i="7"/>
  <c r="J175" i="13" s="1"/>
  <c r="L17" i="7"/>
  <c r="M17" i="7" s="1"/>
  <c r="H17" i="7"/>
  <c r="G17" i="7"/>
  <c r="O16" i="7"/>
  <c r="N16" i="7"/>
  <c r="J174" i="13" s="1"/>
  <c r="L16" i="7"/>
  <c r="H16" i="7"/>
  <c r="G16" i="7"/>
  <c r="O15" i="7"/>
  <c r="N15" i="7"/>
  <c r="J173" i="13" s="1"/>
  <c r="L15" i="7"/>
  <c r="H15" i="7"/>
  <c r="G15" i="7"/>
  <c r="O14" i="7"/>
  <c r="N14" i="7"/>
  <c r="J172" i="13" s="1"/>
  <c r="L14" i="7"/>
  <c r="H172" i="13" s="1"/>
  <c r="H14" i="7"/>
  <c r="G14" i="7"/>
  <c r="O13" i="7"/>
  <c r="N13" i="7"/>
  <c r="J171" i="13" s="1"/>
  <c r="L13" i="7"/>
  <c r="H171" i="13" s="1"/>
  <c r="H13" i="7"/>
  <c r="G13" i="7"/>
  <c r="O12" i="7"/>
  <c r="N12" i="7"/>
  <c r="J170" i="13" s="1"/>
  <c r="L12" i="7"/>
  <c r="H12" i="7"/>
  <c r="G12" i="7"/>
  <c r="O11" i="7"/>
  <c r="N11" i="7"/>
  <c r="J169" i="13" s="1"/>
  <c r="L11" i="7"/>
  <c r="H169" i="13" s="1"/>
  <c r="H11" i="7"/>
  <c r="G11" i="7"/>
  <c r="O10" i="7"/>
  <c r="N10" i="7"/>
  <c r="J168" i="13" s="1"/>
  <c r="L10" i="7"/>
  <c r="H168" i="13" s="1"/>
  <c r="H10" i="7"/>
  <c r="G10" i="7"/>
  <c r="O9" i="7"/>
  <c r="N9" i="7"/>
  <c r="J167" i="13" s="1"/>
  <c r="L9" i="7"/>
  <c r="H9" i="7"/>
  <c r="G9" i="7"/>
  <c r="O8" i="7"/>
  <c r="N8" i="7"/>
  <c r="J166" i="13" s="1"/>
  <c r="L8" i="7"/>
  <c r="H8" i="7"/>
  <c r="G8" i="7"/>
  <c r="O7" i="7"/>
  <c r="N7" i="7"/>
  <c r="J165" i="13" s="1"/>
  <c r="L7" i="7"/>
  <c r="H165" i="13" s="1"/>
  <c r="H7" i="7"/>
  <c r="G7" i="7"/>
  <c r="AA6" i="7"/>
  <c r="O6" i="7"/>
  <c r="N6" i="7"/>
  <c r="J164" i="13" s="1"/>
  <c r="L6" i="7"/>
  <c r="H164" i="13" s="1"/>
  <c r="H6" i="7"/>
  <c r="G6" i="7"/>
  <c r="AA5" i="7"/>
  <c r="O5" i="7"/>
  <c r="N5" i="7"/>
  <c r="J163" i="13" s="1"/>
  <c r="L5" i="7"/>
  <c r="H163" i="13" s="1"/>
  <c r="H5" i="7"/>
  <c r="G5" i="7"/>
  <c r="AA4" i="7"/>
  <c r="O4" i="7"/>
  <c r="N4" i="7"/>
  <c r="J162" i="13" s="1"/>
  <c r="L4" i="7"/>
  <c r="H162" i="13" s="1"/>
  <c r="H4" i="7"/>
  <c r="G4" i="7"/>
  <c r="AA3" i="7"/>
  <c r="O3" i="7"/>
  <c r="N3" i="7"/>
  <c r="J161" i="13" s="1"/>
  <c r="L3" i="7"/>
  <c r="H161" i="13" s="1"/>
  <c r="H3" i="7"/>
  <c r="G3" i="7"/>
  <c r="G270" i="13"/>
  <c r="F270" i="13"/>
  <c r="C270" i="13"/>
  <c r="G269" i="13"/>
  <c r="F269" i="13"/>
  <c r="C269" i="13"/>
  <c r="G268" i="13"/>
  <c r="F268" i="13"/>
  <c r="C268" i="13"/>
  <c r="G267" i="13"/>
  <c r="F267" i="13"/>
  <c r="C267" i="13"/>
  <c r="G266" i="13"/>
  <c r="F266" i="13"/>
  <c r="C266" i="13"/>
  <c r="G265" i="13"/>
  <c r="F265" i="13"/>
  <c r="C265" i="13"/>
  <c r="G264" i="13"/>
  <c r="F264" i="13"/>
  <c r="C264" i="13"/>
  <c r="G263" i="13"/>
  <c r="F263" i="13"/>
  <c r="C263" i="13"/>
  <c r="G262" i="13"/>
  <c r="F262" i="13"/>
  <c r="C262" i="13"/>
  <c r="G261" i="13"/>
  <c r="F261" i="13"/>
  <c r="C261" i="13"/>
  <c r="G260" i="13"/>
  <c r="F260" i="13"/>
  <c r="C260" i="13"/>
  <c r="G259" i="13"/>
  <c r="F259" i="13"/>
  <c r="C259" i="13"/>
  <c r="G258" i="13"/>
  <c r="F258" i="13"/>
  <c r="C258" i="13"/>
  <c r="G257" i="13"/>
  <c r="F257" i="13"/>
  <c r="C257" i="13"/>
  <c r="G256" i="13"/>
  <c r="F256" i="13"/>
  <c r="C256" i="13"/>
  <c r="G255" i="13"/>
  <c r="F255" i="13"/>
  <c r="C255" i="13"/>
  <c r="G254" i="13"/>
  <c r="F254" i="13"/>
  <c r="C254" i="13"/>
  <c r="G253" i="13"/>
  <c r="F253" i="13"/>
  <c r="C253" i="13"/>
  <c r="G252" i="13"/>
  <c r="F252" i="13"/>
  <c r="C252" i="13"/>
  <c r="G251" i="13"/>
  <c r="F251" i="13"/>
  <c r="C251" i="13"/>
  <c r="G250" i="13"/>
  <c r="F250" i="13"/>
  <c r="C250" i="13"/>
  <c r="G249" i="13"/>
  <c r="F249" i="13"/>
  <c r="C249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E218" i="13"/>
  <c r="D218" i="13"/>
  <c r="C218" i="13"/>
  <c r="E217" i="13"/>
  <c r="D217" i="13"/>
  <c r="C217" i="13"/>
  <c r="E216" i="13"/>
  <c r="D216" i="13"/>
  <c r="C216" i="13"/>
  <c r="E215" i="13"/>
  <c r="D215" i="13"/>
  <c r="C215" i="13"/>
  <c r="E214" i="13"/>
  <c r="D214" i="13"/>
  <c r="C214" i="13"/>
  <c r="E213" i="13"/>
  <c r="D213" i="13"/>
  <c r="C213" i="13"/>
  <c r="E212" i="13"/>
  <c r="D212" i="13"/>
  <c r="C212" i="13"/>
  <c r="E211" i="13"/>
  <c r="D211" i="13"/>
  <c r="C211" i="13"/>
  <c r="E210" i="13"/>
  <c r="D210" i="13"/>
  <c r="C210" i="13"/>
  <c r="E209" i="13"/>
  <c r="D209" i="13"/>
  <c r="C209" i="13"/>
  <c r="E208" i="13"/>
  <c r="D208" i="13"/>
  <c r="C208" i="13"/>
  <c r="E207" i="13"/>
  <c r="D207" i="13"/>
  <c r="C207" i="13"/>
  <c r="E206" i="13"/>
  <c r="D206" i="13"/>
  <c r="C206" i="13"/>
  <c r="E205" i="13"/>
  <c r="D205" i="13"/>
  <c r="C205" i="13"/>
  <c r="E204" i="13"/>
  <c r="D204" i="13"/>
  <c r="C204" i="13"/>
  <c r="E203" i="13"/>
  <c r="D203" i="13"/>
  <c r="C203" i="13"/>
  <c r="E202" i="13"/>
  <c r="D202" i="13"/>
  <c r="C202" i="13"/>
  <c r="E201" i="13"/>
  <c r="D201" i="13"/>
  <c r="C201" i="13"/>
  <c r="E200" i="13"/>
  <c r="D200" i="13"/>
  <c r="C200" i="13"/>
  <c r="E199" i="13"/>
  <c r="D199" i="13"/>
  <c r="C199" i="13"/>
  <c r="E198" i="13"/>
  <c r="D198" i="13"/>
  <c r="C198" i="13"/>
  <c r="E197" i="13"/>
  <c r="D197" i="13"/>
  <c r="C197" i="13"/>
  <c r="I195" i="13"/>
  <c r="H195" i="13"/>
  <c r="D191" i="13"/>
  <c r="D188" i="13"/>
  <c r="H182" i="13"/>
  <c r="H181" i="13"/>
  <c r="J179" i="13"/>
  <c r="J177" i="13"/>
  <c r="H170" i="13"/>
  <c r="T164" i="13"/>
  <c r="S164" i="13"/>
  <c r="Q164" i="13"/>
  <c r="T163" i="13"/>
  <c r="S163" i="13"/>
  <c r="Q163" i="13"/>
  <c r="T162" i="13"/>
  <c r="S162" i="13"/>
  <c r="Q162" i="13"/>
  <c r="T161" i="13"/>
  <c r="S161" i="13"/>
  <c r="Q161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G134" i="13"/>
  <c r="F134" i="13"/>
  <c r="C134" i="13"/>
  <c r="C133" i="13"/>
  <c r="C132" i="13"/>
  <c r="C131" i="13"/>
  <c r="L130" i="13"/>
  <c r="K130" i="13"/>
  <c r="C130" i="13"/>
  <c r="L129" i="13"/>
  <c r="K129" i="13"/>
  <c r="C129" i="13"/>
  <c r="L128" i="13"/>
  <c r="K128" i="13"/>
  <c r="C128" i="13"/>
  <c r="L127" i="13"/>
  <c r="K127" i="13"/>
  <c r="C127" i="13"/>
  <c r="C112" i="13"/>
  <c r="C111" i="13"/>
  <c r="C110" i="13"/>
  <c r="C109" i="13"/>
  <c r="E101" i="13"/>
  <c r="AB44" i="13" a="1"/>
  <c r="AB44" i="13" s="1"/>
  <c r="R44" i="13" a="1"/>
  <c r="R44" i="13" s="1"/>
  <c r="J44" i="13" a="1"/>
  <c r="J44" i="13" s="1"/>
  <c r="B44" i="13" a="1"/>
  <c r="B44" i="13" s="1"/>
  <c r="AY15" i="13"/>
  <c r="AX15" i="13"/>
  <c r="I15" i="13"/>
  <c r="H15" i="13"/>
  <c r="P14" i="13"/>
  <c r="P15" i="13" s="1"/>
  <c r="P16" i="13" s="1"/>
  <c r="D2" i="13"/>
  <c r="D4" i="13" s="1"/>
  <c r="W503" i="10"/>
  <c r="Y503" i="10" s="1"/>
  <c r="V503" i="10"/>
  <c r="U503" i="10"/>
  <c r="O503" i="10"/>
  <c r="N503" i="10"/>
  <c r="J503" i="10"/>
  <c r="I503" i="10"/>
  <c r="W502" i="10"/>
  <c r="Y502" i="10" s="1"/>
  <c r="V502" i="10"/>
  <c r="U502" i="10"/>
  <c r="O502" i="10"/>
  <c r="N502" i="10"/>
  <c r="J502" i="10"/>
  <c r="I502" i="10"/>
  <c r="W501" i="10"/>
  <c r="Y501" i="10" s="1"/>
  <c r="V501" i="10"/>
  <c r="U501" i="10"/>
  <c r="O501" i="10"/>
  <c r="N501" i="10"/>
  <c r="J501" i="10"/>
  <c r="I501" i="10"/>
  <c r="W500" i="10"/>
  <c r="Y500" i="10" s="1"/>
  <c r="V500" i="10"/>
  <c r="U500" i="10"/>
  <c r="O500" i="10"/>
  <c r="N500" i="10"/>
  <c r="J500" i="10"/>
  <c r="I500" i="10"/>
  <c r="W499" i="10"/>
  <c r="Y499" i="10" s="1"/>
  <c r="V499" i="10"/>
  <c r="U499" i="10"/>
  <c r="O499" i="10"/>
  <c r="N499" i="10"/>
  <c r="J499" i="10"/>
  <c r="I499" i="10"/>
  <c r="W498" i="10"/>
  <c r="Y498" i="10" s="1"/>
  <c r="V498" i="10"/>
  <c r="U498" i="10"/>
  <c r="O498" i="10"/>
  <c r="N498" i="10"/>
  <c r="J498" i="10"/>
  <c r="I498" i="10"/>
  <c r="W497" i="10"/>
  <c r="Y497" i="10" s="1"/>
  <c r="V497" i="10"/>
  <c r="U497" i="10"/>
  <c r="O497" i="10"/>
  <c r="N497" i="10"/>
  <c r="J497" i="10"/>
  <c r="I497" i="10"/>
  <c r="W496" i="10"/>
  <c r="Y496" i="10" s="1"/>
  <c r="V496" i="10"/>
  <c r="U496" i="10"/>
  <c r="O496" i="10"/>
  <c r="N496" i="10"/>
  <c r="J496" i="10"/>
  <c r="I496" i="10"/>
  <c r="W495" i="10"/>
  <c r="Y495" i="10" s="1"/>
  <c r="V495" i="10"/>
  <c r="U495" i="10"/>
  <c r="O495" i="10"/>
  <c r="N495" i="10"/>
  <c r="J495" i="10"/>
  <c r="I495" i="10"/>
  <c r="W494" i="10"/>
  <c r="Y494" i="10" s="1"/>
  <c r="V494" i="10"/>
  <c r="U494" i="10"/>
  <c r="O494" i="10"/>
  <c r="N494" i="10"/>
  <c r="J494" i="10"/>
  <c r="I494" i="10"/>
  <c r="W493" i="10"/>
  <c r="Y493" i="10" s="1"/>
  <c r="V493" i="10"/>
  <c r="U493" i="10"/>
  <c r="O493" i="10"/>
  <c r="N493" i="10"/>
  <c r="J493" i="10"/>
  <c r="I493" i="10"/>
  <c r="W492" i="10"/>
  <c r="Y492" i="10" s="1"/>
  <c r="V492" i="10"/>
  <c r="U492" i="10"/>
  <c r="O492" i="10"/>
  <c r="N492" i="10"/>
  <c r="J492" i="10"/>
  <c r="I492" i="10"/>
  <c r="W491" i="10"/>
  <c r="Y491" i="10" s="1"/>
  <c r="V491" i="10"/>
  <c r="U491" i="10"/>
  <c r="O491" i="10"/>
  <c r="N491" i="10"/>
  <c r="J491" i="10"/>
  <c r="I491" i="10"/>
  <c r="W490" i="10"/>
  <c r="Y490" i="10" s="1"/>
  <c r="V490" i="10"/>
  <c r="U490" i="10"/>
  <c r="O490" i="10"/>
  <c r="N490" i="10"/>
  <c r="J490" i="10"/>
  <c r="I490" i="10"/>
  <c r="W489" i="10"/>
  <c r="Y489" i="10" s="1"/>
  <c r="V489" i="10"/>
  <c r="U489" i="10"/>
  <c r="O489" i="10"/>
  <c r="N489" i="10"/>
  <c r="J489" i="10"/>
  <c r="I489" i="10"/>
  <c r="W488" i="10"/>
  <c r="Y488" i="10" s="1"/>
  <c r="V488" i="10"/>
  <c r="U488" i="10"/>
  <c r="O488" i="10"/>
  <c r="N488" i="10"/>
  <c r="J488" i="10"/>
  <c r="I488" i="10"/>
  <c r="W487" i="10"/>
  <c r="Y487" i="10" s="1"/>
  <c r="V487" i="10"/>
  <c r="U487" i="10"/>
  <c r="O487" i="10"/>
  <c r="N487" i="10"/>
  <c r="J487" i="10"/>
  <c r="I487" i="10"/>
  <c r="W486" i="10"/>
  <c r="Y486" i="10" s="1"/>
  <c r="V486" i="10"/>
  <c r="U486" i="10"/>
  <c r="O486" i="10"/>
  <c r="N486" i="10"/>
  <c r="J486" i="10"/>
  <c r="I486" i="10"/>
  <c r="W485" i="10"/>
  <c r="Y485" i="10" s="1"/>
  <c r="V485" i="10"/>
  <c r="U485" i="10"/>
  <c r="O485" i="10"/>
  <c r="N485" i="10"/>
  <c r="J485" i="10"/>
  <c r="I485" i="10"/>
  <c r="W484" i="10"/>
  <c r="Y484" i="10" s="1"/>
  <c r="V484" i="10"/>
  <c r="U484" i="10"/>
  <c r="O484" i="10"/>
  <c r="N484" i="10"/>
  <c r="J484" i="10"/>
  <c r="I484" i="10"/>
  <c r="W483" i="10"/>
  <c r="Y483" i="10" s="1"/>
  <c r="V483" i="10"/>
  <c r="U483" i="10"/>
  <c r="O483" i="10"/>
  <c r="N483" i="10"/>
  <c r="J483" i="10"/>
  <c r="I483" i="10"/>
  <c r="W482" i="10"/>
  <c r="Y482" i="10" s="1"/>
  <c r="V482" i="10"/>
  <c r="U482" i="10"/>
  <c r="O482" i="10"/>
  <c r="N482" i="10"/>
  <c r="J482" i="10"/>
  <c r="I482" i="10"/>
  <c r="W481" i="10"/>
  <c r="Y481" i="10" s="1"/>
  <c r="V481" i="10"/>
  <c r="U481" i="10"/>
  <c r="O481" i="10"/>
  <c r="N481" i="10"/>
  <c r="J481" i="10"/>
  <c r="I481" i="10"/>
  <c r="W480" i="10"/>
  <c r="Y480" i="10" s="1"/>
  <c r="V480" i="10"/>
  <c r="U480" i="10"/>
  <c r="O480" i="10"/>
  <c r="N480" i="10"/>
  <c r="J480" i="10"/>
  <c r="I480" i="10"/>
  <c r="W479" i="10"/>
  <c r="Y479" i="10" s="1"/>
  <c r="V479" i="10"/>
  <c r="U479" i="10"/>
  <c r="O479" i="10"/>
  <c r="N479" i="10"/>
  <c r="J479" i="10"/>
  <c r="I479" i="10"/>
  <c r="W478" i="10"/>
  <c r="V478" i="10"/>
  <c r="U478" i="10"/>
  <c r="O478" i="10"/>
  <c r="N478" i="10"/>
  <c r="J478" i="10"/>
  <c r="I478" i="10"/>
  <c r="W477" i="10"/>
  <c r="Y477" i="10" s="1"/>
  <c r="V477" i="10"/>
  <c r="U477" i="10"/>
  <c r="O477" i="10"/>
  <c r="N477" i="10"/>
  <c r="J477" i="10"/>
  <c r="I477" i="10"/>
  <c r="W476" i="10"/>
  <c r="Y476" i="10" s="1"/>
  <c r="V476" i="10"/>
  <c r="U476" i="10"/>
  <c r="O476" i="10"/>
  <c r="N476" i="10"/>
  <c r="J476" i="10"/>
  <c r="I476" i="10"/>
  <c r="W475" i="10"/>
  <c r="Y475" i="10" s="1"/>
  <c r="V475" i="10"/>
  <c r="U475" i="10"/>
  <c r="O475" i="10"/>
  <c r="N475" i="10"/>
  <c r="J475" i="10"/>
  <c r="I475" i="10"/>
  <c r="W474" i="10"/>
  <c r="Y474" i="10" s="1"/>
  <c r="V474" i="10"/>
  <c r="U474" i="10"/>
  <c r="O474" i="10"/>
  <c r="N474" i="10"/>
  <c r="J474" i="10"/>
  <c r="I474" i="10"/>
  <c r="W473" i="10"/>
  <c r="Y473" i="10" s="1"/>
  <c r="V473" i="10"/>
  <c r="U473" i="10"/>
  <c r="O473" i="10"/>
  <c r="N473" i="10"/>
  <c r="J473" i="10"/>
  <c r="I473" i="10"/>
  <c r="W472" i="10"/>
  <c r="Y472" i="10" s="1"/>
  <c r="V472" i="10"/>
  <c r="U472" i="10"/>
  <c r="O472" i="10"/>
  <c r="N472" i="10"/>
  <c r="J472" i="10"/>
  <c r="I472" i="10"/>
  <c r="W471" i="10"/>
  <c r="Y471" i="10" s="1"/>
  <c r="V471" i="10"/>
  <c r="U471" i="10"/>
  <c r="O471" i="10"/>
  <c r="N471" i="10"/>
  <c r="J471" i="10"/>
  <c r="I471" i="10"/>
  <c r="W470" i="10"/>
  <c r="Y470" i="10" s="1"/>
  <c r="V470" i="10"/>
  <c r="U470" i="10"/>
  <c r="O470" i="10"/>
  <c r="N470" i="10"/>
  <c r="J470" i="10"/>
  <c r="I470" i="10"/>
  <c r="W469" i="10"/>
  <c r="Y469" i="10" s="1"/>
  <c r="V469" i="10"/>
  <c r="U469" i="10"/>
  <c r="O469" i="10"/>
  <c r="N469" i="10"/>
  <c r="J469" i="10"/>
  <c r="I469" i="10"/>
  <c r="W468" i="10"/>
  <c r="Y468" i="10" s="1"/>
  <c r="V468" i="10"/>
  <c r="U468" i="10"/>
  <c r="O468" i="10"/>
  <c r="N468" i="10"/>
  <c r="J468" i="10"/>
  <c r="I468" i="10"/>
  <c r="W467" i="10"/>
  <c r="Y467" i="10" s="1"/>
  <c r="V467" i="10"/>
  <c r="U467" i="10"/>
  <c r="O467" i="10"/>
  <c r="N467" i="10"/>
  <c r="J467" i="10"/>
  <c r="I467" i="10"/>
  <c r="W466" i="10"/>
  <c r="Y466" i="10" s="1"/>
  <c r="V466" i="10"/>
  <c r="U466" i="10"/>
  <c r="O466" i="10"/>
  <c r="N466" i="10"/>
  <c r="J466" i="10"/>
  <c r="I466" i="10"/>
  <c r="W465" i="10"/>
  <c r="Y465" i="10" s="1"/>
  <c r="V465" i="10"/>
  <c r="U465" i="10"/>
  <c r="O465" i="10"/>
  <c r="N465" i="10"/>
  <c r="J465" i="10"/>
  <c r="I465" i="10"/>
  <c r="W464" i="10"/>
  <c r="Y464" i="10" s="1"/>
  <c r="V464" i="10"/>
  <c r="U464" i="10"/>
  <c r="O464" i="10"/>
  <c r="N464" i="10"/>
  <c r="J464" i="10"/>
  <c r="I464" i="10"/>
  <c r="W463" i="10"/>
  <c r="Y463" i="10" s="1"/>
  <c r="V463" i="10"/>
  <c r="U463" i="10"/>
  <c r="O463" i="10"/>
  <c r="N463" i="10"/>
  <c r="J463" i="10"/>
  <c r="I463" i="10"/>
  <c r="W462" i="10"/>
  <c r="Y462" i="10" s="1"/>
  <c r="V462" i="10"/>
  <c r="U462" i="10"/>
  <c r="O462" i="10"/>
  <c r="N462" i="10"/>
  <c r="J462" i="10"/>
  <c r="I462" i="10"/>
  <c r="W461" i="10"/>
  <c r="Y461" i="10" s="1"/>
  <c r="V461" i="10"/>
  <c r="U461" i="10"/>
  <c r="O461" i="10"/>
  <c r="N461" i="10"/>
  <c r="J461" i="10"/>
  <c r="I461" i="10"/>
  <c r="W460" i="10"/>
  <c r="Y460" i="10" s="1"/>
  <c r="V460" i="10"/>
  <c r="U460" i="10"/>
  <c r="O460" i="10"/>
  <c r="N460" i="10"/>
  <c r="J460" i="10"/>
  <c r="I460" i="10"/>
  <c r="W459" i="10"/>
  <c r="Y459" i="10" s="1"/>
  <c r="V459" i="10"/>
  <c r="U459" i="10"/>
  <c r="O459" i="10"/>
  <c r="N459" i="10"/>
  <c r="J459" i="10"/>
  <c r="I459" i="10"/>
  <c r="W458" i="10"/>
  <c r="Y458" i="10" s="1"/>
  <c r="V458" i="10"/>
  <c r="U458" i="10"/>
  <c r="O458" i="10"/>
  <c r="N458" i="10"/>
  <c r="J458" i="10"/>
  <c r="I458" i="10"/>
  <c r="W457" i="10"/>
  <c r="Y457" i="10" s="1"/>
  <c r="V457" i="10"/>
  <c r="U457" i="10"/>
  <c r="O457" i="10"/>
  <c r="N457" i="10"/>
  <c r="J457" i="10"/>
  <c r="I457" i="10"/>
  <c r="W456" i="10"/>
  <c r="Y456" i="10" s="1"/>
  <c r="V456" i="10"/>
  <c r="U456" i="10"/>
  <c r="O456" i="10"/>
  <c r="N456" i="10"/>
  <c r="J456" i="10"/>
  <c r="I456" i="10"/>
  <c r="W455" i="10"/>
  <c r="Y455" i="10" s="1"/>
  <c r="V455" i="10"/>
  <c r="U455" i="10"/>
  <c r="O455" i="10"/>
  <c r="N455" i="10"/>
  <c r="J455" i="10"/>
  <c r="I455" i="10"/>
  <c r="W454" i="10"/>
  <c r="Y454" i="10" s="1"/>
  <c r="V454" i="10"/>
  <c r="U454" i="10"/>
  <c r="O454" i="10"/>
  <c r="N454" i="10"/>
  <c r="J454" i="10"/>
  <c r="I454" i="10"/>
  <c r="W453" i="10"/>
  <c r="Y453" i="10" s="1"/>
  <c r="V453" i="10"/>
  <c r="U453" i="10"/>
  <c r="O453" i="10"/>
  <c r="N453" i="10"/>
  <c r="J453" i="10"/>
  <c r="I453" i="10"/>
  <c r="W452" i="10"/>
  <c r="Y452" i="10" s="1"/>
  <c r="V452" i="10"/>
  <c r="U452" i="10"/>
  <c r="O452" i="10"/>
  <c r="N452" i="10"/>
  <c r="J452" i="10"/>
  <c r="I452" i="10"/>
  <c r="W451" i="10"/>
  <c r="Y451" i="10" s="1"/>
  <c r="V451" i="10"/>
  <c r="U451" i="10"/>
  <c r="O451" i="10"/>
  <c r="N451" i="10"/>
  <c r="J451" i="10"/>
  <c r="I451" i="10"/>
  <c r="W450" i="10"/>
  <c r="Y450" i="10" s="1"/>
  <c r="V450" i="10"/>
  <c r="U450" i="10"/>
  <c r="O450" i="10"/>
  <c r="N450" i="10"/>
  <c r="J450" i="10"/>
  <c r="I450" i="10"/>
  <c r="W449" i="10"/>
  <c r="Y449" i="10" s="1"/>
  <c r="V449" i="10"/>
  <c r="U449" i="10"/>
  <c r="O449" i="10"/>
  <c r="N449" i="10"/>
  <c r="J449" i="10"/>
  <c r="I449" i="10"/>
  <c r="W448" i="10"/>
  <c r="Y448" i="10" s="1"/>
  <c r="V448" i="10"/>
  <c r="U448" i="10"/>
  <c r="O448" i="10"/>
  <c r="N448" i="10"/>
  <c r="J448" i="10"/>
  <c r="I448" i="10"/>
  <c r="W447" i="10"/>
  <c r="Y447" i="10" s="1"/>
  <c r="V447" i="10"/>
  <c r="U447" i="10"/>
  <c r="O447" i="10"/>
  <c r="N447" i="10"/>
  <c r="J447" i="10"/>
  <c r="I447" i="10"/>
  <c r="W446" i="10"/>
  <c r="Y446" i="10" s="1"/>
  <c r="V446" i="10"/>
  <c r="U446" i="10"/>
  <c r="O446" i="10"/>
  <c r="N446" i="10"/>
  <c r="J446" i="10"/>
  <c r="I446" i="10"/>
  <c r="W445" i="10"/>
  <c r="Y445" i="10" s="1"/>
  <c r="V445" i="10"/>
  <c r="U445" i="10"/>
  <c r="O445" i="10"/>
  <c r="N445" i="10"/>
  <c r="J445" i="10"/>
  <c r="I445" i="10"/>
  <c r="W444" i="10"/>
  <c r="Y444" i="10" s="1"/>
  <c r="V444" i="10"/>
  <c r="U444" i="10"/>
  <c r="O444" i="10"/>
  <c r="N444" i="10"/>
  <c r="J444" i="10"/>
  <c r="I444" i="10"/>
  <c r="W443" i="10"/>
  <c r="Y443" i="10" s="1"/>
  <c r="V443" i="10"/>
  <c r="U443" i="10"/>
  <c r="O443" i="10"/>
  <c r="N443" i="10"/>
  <c r="J443" i="10"/>
  <c r="I443" i="10"/>
  <c r="W442" i="10"/>
  <c r="Y442" i="10" s="1"/>
  <c r="V442" i="10"/>
  <c r="U442" i="10"/>
  <c r="O442" i="10"/>
  <c r="N442" i="10"/>
  <c r="J442" i="10"/>
  <c r="I442" i="10"/>
  <c r="W441" i="10"/>
  <c r="Y441" i="10" s="1"/>
  <c r="V441" i="10"/>
  <c r="U441" i="10"/>
  <c r="O441" i="10"/>
  <c r="N441" i="10"/>
  <c r="J441" i="10"/>
  <c r="I441" i="10"/>
  <c r="W440" i="10"/>
  <c r="Y440" i="10" s="1"/>
  <c r="V440" i="10"/>
  <c r="U440" i="10"/>
  <c r="O440" i="10"/>
  <c r="N440" i="10"/>
  <c r="J440" i="10"/>
  <c r="I440" i="10"/>
  <c r="W439" i="10"/>
  <c r="Y439" i="10" s="1"/>
  <c r="V439" i="10"/>
  <c r="U439" i="10"/>
  <c r="O439" i="10"/>
  <c r="N439" i="10"/>
  <c r="J439" i="10"/>
  <c r="I439" i="10"/>
  <c r="W438" i="10"/>
  <c r="Y438" i="10" s="1"/>
  <c r="V438" i="10"/>
  <c r="U438" i="10"/>
  <c r="O438" i="10"/>
  <c r="N438" i="10"/>
  <c r="J438" i="10"/>
  <c r="I438" i="10"/>
  <c r="W437" i="10"/>
  <c r="Y437" i="10" s="1"/>
  <c r="V437" i="10"/>
  <c r="U437" i="10"/>
  <c r="O437" i="10"/>
  <c r="N437" i="10"/>
  <c r="J437" i="10"/>
  <c r="I437" i="10"/>
  <c r="W436" i="10"/>
  <c r="Y436" i="10" s="1"/>
  <c r="V436" i="10"/>
  <c r="U436" i="10"/>
  <c r="O436" i="10"/>
  <c r="N436" i="10"/>
  <c r="J436" i="10"/>
  <c r="I436" i="10"/>
  <c r="W435" i="10"/>
  <c r="Y435" i="10" s="1"/>
  <c r="V435" i="10"/>
  <c r="U435" i="10"/>
  <c r="O435" i="10"/>
  <c r="N435" i="10"/>
  <c r="J435" i="10"/>
  <c r="I435" i="10"/>
  <c r="W434" i="10"/>
  <c r="Y434" i="10" s="1"/>
  <c r="V434" i="10"/>
  <c r="U434" i="10"/>
  <c r="O434" i="10"/>
  <c r="N434" i="10"/>
  <c r="J434" i="10"/>
  <c r="I434" i="10"/>
  <c r="W433" i="10"/>
  <c r="Y433" i="10" s="1"/>
  <c r="V433" i="10"/>
  <c r="U433" i="10"/>
  <c r="O433" i="10"/>
  <c r="N433" i="10"/>
  <c r="J433" i="10"/>
  <c r="I433" i="10"/>
  <c r="W432" i="10"/>
  <c r="Y432" i="10" s="1"/>
  <c r="V432" i="10"/>
  <c r="U432" i="10"/>
  <c r="O432" i="10"/>
  <c r="N432" i="10"/>
  <c r="J432" i="10"/>
  <c r="I432" i="10"/>
  <c r="W431" i="10"/>
  <c r="Y431" i="10" s="1"/>
  <c r="V431" i="10"/>
  <c r="U431" i="10"/>
  <c r="O431" i="10"/>
  <c r="N431" i="10"/>
  <c r="J431" i="10"/>
  <c r="I431" i="10"/>
  <c r="W430" i="10"/>
  <c r="Y430" i="10" s="1"/>
  <c r="V430" i="10"/>
  <c r="U430" i="10"/>
  <c r="O430" i="10"/>
  <c r="N430" i="10"/>
  <c r="J430" i="10"/>
  <c r="I430" i="10"/>
  <c r="W429" i="10"/>
  <c r="Y429" i="10" s="1"/>
  <c r="V429" i="10"/>
  <c r="U429" i="10"/>
  <c r="O429" i="10"/>
  <c r="N429" i="10"/>
  <c r="J429" i="10"/>
  <c r="I429" i="10"/>
  <c r="W428" i="10"/>
  <c r="Y428" i="10" s="1"/>
  <c r="V428" i="10"/>
  <c r="U428" i="10"/>
  <c r="O428" i="10"/>
  <c r="N428" i="10"/>
  <c r="J428" i="10"/>
  <c r="I428" i="10"/>
  <c r="W427" i="10"/>
  <c r="Y427" i="10" s="1"/>
  <c r="V427" i="10"/>
  <c r="U427" i="10"/>
  <c r="O427" i="10"/>
  <c r="N427" i="10"/>
  <c r="J427" i="10"/>
  <c r="I427" i="10"/>
  <c r="W426" i="10"/>
  <c r="Y426" i="10" s="1"/>
  <c r="V426" i="10"/>
  <c r="U426" i="10"/>
  <c r="O426" i="10"/>
  <c r="N426" i="10"/>
  <c r="J426" i="10"/>
  <c r="I426" i="10"/>
  <c r="W425" i="10"/>
  <c r="Y425" i="10" s="1"/>
  <c r="V425" i="10"/>
  <c r="U425" i="10"/>
  <c r="O425" i="10"/>
  <c r="N425" i="10"/>
  <c r="J425" i="10"/>
  <c r="I425" i="10"/>
  <c r="W424" i="10"/>
  <c r="Y424" i="10" s="1"/>
  <c r="V424" i="10"/>
  <c r="U424" i="10"/>
  <c r="O424" i="10"/>
  <c r="N424" i="10"/>
  <c r="J424" i="10"/>
  <c r="I424" i="10"/>
  <c r="W423" i="10"/>
  <c r="Y423" i="10" s="1"/>
  <c r="V423" i="10"/>
  <c r="U423" i="10"/>
  <c r="O423" i="10"/>
  <c r="N423" i="10"/>
  <c r="J423" i="10"/>
  <c r="I423" i="10"/>
  <c r="W422" i="10"/>
  <c r="Y422" i="10" s="1"/>
  <c r="V422" i="10"/>
  <c r="U422" i="10"/>
  <c r="O422" i="10"/>
  <c r="N422" i="10"/>
  <c r="J422" i="10"/>
  <c r="I422" i="10"/>
  <c r="W421" i="10"/>
  <c r="Y421" i="10" s="1"/>
  <c r="V421" i="10"/>
  <c r="U421" i="10"/>
  <c r="O421" i="10"/>
  <c r="N421" i="10"/>
  <c r="J421" i="10"/>
  <c r="I421" i="10"/>
  <c r="W420" i="10"/>
  <c r="Y420" i="10" s="1"/>
  <c r="V420" i="10"/>
  <c r="U420" i="10"/>
  <c r="O420" i="10"/>
  <c r="N420" i="10"/>
  <c r="J420" i="10"/>
  <c r="I420" i="10"/>
  <c r="W419" i="10"/>
  <c r="Y419" i="10" s="1"/>
  <c r="V419" i="10"/>
  <c r="U419" i="10"/>
  <c r="O419" i="10"/>
  <c r="N419" i="10"/>
  <c r="J419" i="10"/>
  <c r="I419" i="10"/>
  <c r="W418" i="10"/>
  <c r="Y418" i="10" s="1"/>
  <c r="V418" i="10"/>
  <c r="U418" i="10"/>
  <c r="O418" i="10"/>
  <c r="N418" i="10"/>
  <c r="J418" i="10"/>
  <c r="I418" i="10"/>
  <c r="W417" i="10"/>
  <c r="Y417" i="10" s="1"/>
  <c r="V417" i="10"/>
  <c r="U417" i="10"/>
  <c r="O417" i="10"/>
  <c r="N417" i="10"/>
  <c r="J417" i="10"/>
  <c r="I417" i="10"/>
  <c r="W416" i="10"/>
  <c r="Y416" i="10" s="1"/>
  <c r="V416" i="10"/>
  <c r="U416" i="10"/>
  <c r="O416" i="10"/>
  <c r="N416" i="10"/>
  <c r="J416" i="10"/>
  <c r="I416" i="10"/>
  <c r="W415" i="10"/>
  <c r="Y415" i="10" s="1"/>
  <c r="V415" i="10"/>
  <c r="U415" i="10"/>
  <c r="O415" i="10"/>
  <c r="N415" i="10"/>
  <c r="J415" i="10"/>
  <c r="I415" i="10"/>
  <c r="W414" i="10"/>
  <c r="Y414" i="10" s="1"/>
  <c r="V414" i="10"/>
  <c r="U414" i="10"/>
  <c r="O414" i="10"/>
  <c r="N414" i="10"/>
  <c r="J414" i="10"/>
  <c r="I414" i="10"/>
  <c r="W413" i="10"/>
  <c r="V413" i="10"/>
  <c r="U413" i="10"/>
  <c r="O413" i="10"/>
  <c r="N413" i="10"/>
  <c r="J413" i="10"/>
  <c r="I413" i="10"/>
  <c r="W412" i="10"/>
  <c r="Y412" i="10" s="1"/>
  <c r="V412" i="10"/>
  <c r="U412" i="10"/>
  <c r="O412" i="10"/>
  <c r="N412" i="10"/>
  <c r="J412" i="10"/>
  <c r="I412" i="10"/>
  <c r="W411" i="10"/>
  <c r="Y411" i="10" s="1"/>
  <c r="V411" i="10"/>
  <c r="U411" i="10"/>
  <c r="O411" i="10"/>
  <c r="N411" i="10"/>
  <c r="J411" i="10"/>
  <c r="I411" i="10"/>
  <c r="W410" i="10"/>
  <c r="Y410" i="10" s="1"/>
  <c r="V410" i="10"/>
  <c r="U410" i="10"/>
  <c r="O410" i="10"/>
  <c r="N410" i="10"/>
  <c r="J410" i="10"/>
  <c r="I410" i="10"/>
  <c r="W409" i="10"/>
  <c r="Y409" i="10" s="1"/>
  <c r="V409" i="10"/>
  <c r="U409" i="10"/>
  <c r="O409" i="10"/>
  <c r="N409" i="10"/>
  <c r="J409" i="10"/>
  <c r="I409" i="10"/>
  <c r="W408" i="10"/>
  <c r="Y408" i="10" s="1"/>
  <c r="V408" i="10"/>
  <c r="U408" i="10"/>
  <c r="O408" i="10"/>
  <c r="N408" i="10"/>
  <c r="J408" i="10"/>
  <c r="I408" i="10"/>
  <c r="W407" i="10"/>
  <c r="Y407" i="10" s="1"/>
  <c r="V407" i="10"/>
  <c r="U407" i="10"/>
  <c r="O407" i="10"/>
  <c r="N407" i="10"/>
  <c r="J407" i="10"/>
  <c r="I407" i="10"/>
  <c r="W406" i="10"/>
  <c r="Y406" i="10" s="1"/>
  <c r="V406" i="10"/>
  <c r="U406" i="10"/>
  <c r="O406" i="10"/>
  <c r="N406" i="10"/>
  <c r="J406" i="10"/>
  <c r="I406" i="10"/>
  <c r="W405" i="10"/>
  <c r="Y405" i="10" s="1"/>
  <c r="V405" i="10"/>
  <c r="U405" i="10"/>
  <c r="O405" i="10"/>
  <c r="N405" i="10"/>
  <c r="J405" i="10"/>
  <c r="I405" i="10"/>
  <c r="W404" i="10"/>
  <c r="Y404" i="10" s="1"/>
  <c r="V404" i="10"/>
  <c r="U404" i="10"/>
  <c r="O404" i="10"/>
  <c r="N404" i="10"/>
  <c r="J404" i="10"/>
  <c r="I404" i="10"/>
  <c r="W403" i="10"/>
  <c r="Y403" i="10" s="1"/>
  <c r="V403" i="10"/>
  <c r="U403" i="10"/>
  <c r="O403" i="10"/>
  <c r="N403" i="10"/>
  <c r="J403" i="10"/>
  <c r="I403" i="10"/>
  <c r="W402" i="10"/>
  <c r="Y402" i="10" s="1"/>
  <c r="V402" i="10"/>
  <c r="U402" i="10"/>
  <c r="O402" i="10"/>
  <c r="N402" i="10"/>
  <c r="J402" i="10"/>
  <c r="I402" i="10"/>
  <c r="W401" i="10"/>
  <c r="Y401" i="10" s="1"/>
  <c r="V401" i="10"/>
  <c r="U401" i="10"/>
  <c r="O401" i="10"/>
  <c r="N401" i="10"/>
  <c r="J401" i="10"/>
  <c r="I401" i="10"/>
  <c r="W400" i="10"/>
  <c r="Y400" i="10" s="1"/>
  <c r="V400" i="10"/>
  <c r="U400" i="10"/>
  <c r="O400" i="10"/>
  <c r="N400" i="10"/>
  <c r="J400" i="10"/>
  <c r="I400" i="10"/>
  <c r="W399" i="10"/>
  <c r="Y399" i="10" s="1"/>
  <c r="V399" i="10"/>
  <c r="U399" i="10"/>
  <c r="O399" i="10"/>
  <c r="N399" i="10"/>
  <c r="J399" i="10"/>
  <c r="I399" i="10"/>
  <c r="W398" i="10"/>
  <c r="Y398" i="10" s="1"/>
  <c r="V398" i="10"/>
  <c r="U398" i="10"/>
  <c r="O398" i="10"/>
  <c r="N398" i="10"/>
  <c r="J398" i="10"/>
  <c r="I398" i="10"/>
  <c r="W397" i="10"/>
  <c r="Y397" i="10" s="1"/>
  <c r="V397" i="10"/>
  <c r="U397" i="10"/>
  <c r="O397" i="10"/>
  <c r="N397" i="10"/>
  <c r="J397" i="10"/>
  <c r="I397" i="10"/>
  <c r="W396" i="10"/>
  <c r="Y396" i="10" s="1"/>
  <c r="V396" i="10"/>
  <c r="U396" i="10"/>
  <c r="O396" i="10"/>
  <c r="N396" i="10"/>
  <c r="J396" i="10"/>
  <c r="I396" i="10"/>
  <c r="W395" i="10"/>
  <c r="Y395" i="10" s="1"/>
  <c r="V395" i="10"/>
  <c r="U395" i="10"/>
  <c r="O395" i="10"/>
  <c r="N395" i="10"/>
  <c r="J395" i="10"/>
  <c r="I395" i="10"/>
  <c r="W394" i="10"/>
  <c r="Y394" i="10" s="1"/>
  <c r="V394" i="10"/>
  <c r="U394" i="10"/>
  <c r="O394" i="10"/>
  <c r="N394" i="10"/>
  <c r="J394" i="10"/>
  <c r="I394" i="10"/>
  <c r="W393" i="10"/>
  <c r="Y393" i="10" s="1"/>
  <c r="V393" i="10"/>
  <c r="U393" i="10"/>
  <c r="O393" i="10"/>
  <c r="N393" i="10"/>
  <c r="J393" i="10"/>
  <c r="I393" i="10"/>
  <c r="W392" i="10"/>
  <c r="Y392" i="10" s="1"/>
  <c r="V392" i="10"/>
  <c r="U392" i="10"/>
  <c r="O392" i="10"/>
  <c r="N392" i="10"/>
  <c r="J392" i="10"/>
  <c r="I392" i="10"/>
  <c r="W391" i="10"/>
  <c r="Y391" i="10" s="1"/>
  <c r="V391" i="10"/>
  <c r="U391" i="10"/>
  <c r="O391" i="10"/>
  <c r="N391" i="10"/>
  <c r="J391" i="10"/>
  <c r="I391" i="10"/>
  <c r="W390" i="10"/>
  <c r="Y390" i="10" s="1"/>
  <c r="V390" i="10"/>
  <c r="U390" i="10"/>
  <c r="O390" i="10"/>
  <c r="N390" i="10"/>
  <c r="J390" i="10"/>
  <c r="I390" i="10"/>
  <c r="W389" i="10"/>
  <c r="Y389" i="10" s="1"/>
  <c r="V389" i="10"/>
  <c r="U389" i="10"/>
  <c r="O389" i="10"/>
  <c r="N389" i="10"/>
  <c r="J389" i="10"/>
  <c r="I389" i="10"/>
  <c r="W388" i="10"/>
  <c r="Y388" i="10" s="1"/>
  <c r="V388" i="10"/>
  <c r="U388" i="10"/>
  <c r="O388" i="10"/>
  <c r="N388" i="10"/>
  <c r="J388" i="10"/>
  <c r="I388" i="10"/>
  <c r="W387" i="10"/>
  <c r="Y387" i="10" s="1"/>
  <c r="V387" i="10"/>
  <c r="U387" i="10"/>
  <c r="O387" i="10"/>
  <c r="N387" i="10"/>
  <c r="J387" i="10"/>
  <c r="I387" i="10"/>
  <c r="W386" i="10"/>
  <c r="Y386" i="10" s="1"/>
  <c r="V386" i="10"/>
  <c r="U386" i="10"/>
  <c r="O386" i="10"/>
  <c r="N386" i="10"/>
  <c r="J386" i="10"/>
  <c r="I386" i="10"/>
  <c r="W385" i="10"/>
  <c r="Y385" i="10" s="1"/>
  <c r="V385" i="10"/>
  <c r="U385" i="10"/>
  <c r="O385" i="10"/>
  <c r="N385" i="10"/>
  <c r="J385" i="10"/>
  <c r="I385" i="10"/>
  <c r="W384" i="10"/>
  <c r="Y384" i="10" s="1"/>
  <c r="V384" i="10"/>
  <c r="U384" i="10"/>
  <c r="O384" i="10"/>
  <c r="N384" i="10"/>
  <c r="J384" i="10"/>
  <c r="I384" i="10"/>
  <c r="W383" i="10"/>
  <c r="Y383" i="10" s="1"/>
  <c r="V383" i="10"/>
  <c r="U383" i="10"/>
  <c r="O383" i="10"/>
  <c r="N383" i="10"/>
  <c r="J383" i="10"/>
  <c r="I383" i="10"/>
  <c r="W382" i="10"/>
  <c r="Y382" i="10" s="1"/>
  <c r="V382" i="10"/>
  <c r="U382" i="10"/>
  <c r="O382" i="10"/>
  <c r="N382" i="10"/>
  <c r="J382" i="10"/>
  <c r="I382" i="10"/>
  <c r="W381" i="10"/>
  <c r="Y381" i="10" s="1"/>
  <c r="V381" i="10"/>
  <c r="U381" i="10"/>
  <c r="O381" i="10"/>
  <c r="N381" i="10"/>
  <c r="J381" i="10"/>
  <c r="I381" i="10"/>
  <c r="W380" i="10"/>
  <c r="Y380" i="10" s="1"/>
  <c r="V380" i="10"/>
  <c r="U380" i="10"/>
  <c r="O380" i="10"/>
  <c r="N380" i="10"/>
  <c r="J380" i="10"/>
  <c r="I380" i="10"/>
  <c r="W379" i="10"/>
  <c r="Y379" i="10" s="1"/>
  <c r="V379" i="10"/>
  <c r="U379" i="10"/>
  <c r="O379" i="10"/>
  <c r="N379" i="10"/>
  <c r="J379" i="10"/>
  <c r="I379" i="10"/>
  <c r="W378" i="10"/>
  <c r="Y378" i="10" s="1"/>
  <c r="V378" i="10"/>
  <c r="U378" i="10"/>
  <c r="O378" i="10"/>
  <c r="N378" i="10"/>
  <c r="J378" i="10"/>
  <c r="I378" i="10"/>
  <c r="W377" i="10"/>
  <c r="Y377" i="10" s="1"/>
  <c r="V377" i="10"/>
  <c r="U377" i="10"/>
  <c r="O377" i="10"/>
  <c r="N377" i="10"/>
  <c r="J377" i="10"/>
  <c r="I377" i="10"/>
  <c r="W376" i="10"/>
  <c r="Y376" i="10" s="1"/>
  <c r="V376" i="10"/>
  <c r="U376" i="10"/>
  <c r="O376" i="10"/>
  <c r="N376" i="10"/>
  <c r="J376" i="10"/>
  <c r="I376" i="10"/>
  <c r="W375" i="10"/>
  <c r="Y375" i="10" s="1"/>
  <c r="V375" i="10"/>
  <c r="U375" i="10"/>
  <c r="O375" i="10"/>
  <c r="N375" i="10"/>
  <c r="J375" i="10"/>
  <c r="I375" i="10"/>
  <c r="W374" i="10"/>
  <c r="Y374" i="10" s="1"/>
  <c r="V374" i="10"/>
  <c r="U374" i="10"/>
  <c r="O374" i="10"/>
  <c r="N374" i="10"/>
  <c r="J374" i="10"/>
  <c r="I374" i="10"/>
  <c r="W373" i="10"/>
  <c r="Y373" i="10" s="1"/>
  <c r="V373" i="10"/>
  <c r="U373" i="10"/>
  <c r="O373" i="10"/>
  <c r="N373" i="10"/>
  <c r="J373" i="10"/>
  <c r="I373" i="10"/>
  <c r="W372" i="10"/>
  <c r="Y372" i="10" s="1"/>
  <c r="V372" i="10"/>
  <c r="U372" i="10"/>
  <c r="O372" i="10"/>
  <c r="N372" i="10"/>
  <c r="J372" i="10"/>
  <c r="I372" i="10"/>
  <c r="W371" i="10"/>
  <c r="Y371" i="10" s="1"/>
  <c r="V371" i="10"/>
  <c r="U371" i="10"/>
  <c r="O371" i="10"/>
  <c r="N371" i="10"/>
  <c r="J371" i="10"/>
  <c r="I371" i="10"/>
  <c r="W370" i="10"/>
  <c r="Y370" i="10" s="1"/>
  <c r="V370" i="10"/>
  <c r="U370" i="10"/>
  <c r="O370" i="10"/>
  <c r="N370" i="10"/>
  <c r="J370" i="10"/>
  <c r="I370" i="10"/>
  <c r="W369" i="10"/>
  <c r="Y369" i="10" s="1"/>
  <c r="V369" i="10"/>
  <c r="U369" i="10"/>
  <c r="O369" i="10"/>
  <c r="N369" i="10"/>
  <c r="J369" i="10"/>
  <c r="I369" i="10"/>
  <c r="W368" i="10"/>
  <c r="Y368" i="10" s="1"/>
  <c r="V368" i="10"/>
  <c r="U368" i="10"/>
  <c r="O368" i="10"/>
  <c r="N368" i="10"/>
  <c r="J368" i="10"/>
  <c r="I368" i="10"/>
  <c r="W367" i="10"/>
  <c r="Y367" i="10" s="1"/>
  <c r="V367" i="10"/>
  <c r="U367" i="10"/>
  <c r="O367" i="10"/>
  <c r="N367" i="10"/>
  <c r="J367" i="10"/>
  <c r="I367" i="10"/>
  <c r="W366" i="10"/>
  <c r="Y366" i="10" s="1"/>
  <c r="V366" i="10"/>
  <c r="U366" i="10"/>
  <c r="O366" i="10"/>
  <c r="N366" i="10"/>
  <c r="J366" i="10"/>
  <c r="I366" i="10"/>
  <c r="W365" i="10"/>
  <c r="Y365" i="10" s="1"/>
  <c r="V365" i="10"/>
  <c r="U365" i="10"/>
  <c r="O365" i="10"/>
  <c r="N365" i="10"/>
  <c r="J365" i="10"/>
  <c r="I365" i="10"/>
  <c r="W364" i="10"/>
  <c r="Y364" i="10" s="1"/>
  <c r="V364" i="10"/>
  <c r="U364" i="10"/>
  <c r="O364" i="10"/>
  <c r="N364" i="10"/>
  <c r="J364" i="10"/>
  <c r="I364" i="10"/>
  <c r="W363" i="10"/>
  <c r="Y363" i="10" s="1"/>
  <c r="V363" i="10"/>
  <c r="U363" i="10"/>
  <c r="O363" i="10"/>
  <c r="N363" i="10"/>
  <c r="J363" i="10"/>
  <c r="I363" i="10"/>
  <c r="W362" i="10"/>
  <c r="Y362" i="10" s="1"/>
  <c r="V362" i="10"/>
  <c r="U362" i="10"/>
  <c r="O362" i="10"/>
  <c r="N362" i="10"/>
  <c r="J362" i="10"/>
  <c r="I362" i="10"/>
  <c r="W361" i="10"/>
  <c r="Y361" i="10" s="1"/>
  <c r="V361" i="10"/>
  <c r="U361" i="10"/>
  <c r="O361" i="10"/>
  <c r="N361" i="10"/>
  <c r="J361" i="10"/>
  <c r="I361" i="10"/>
  <c r="W360" i="10"/>
  <c r="Y360" i="10" s="1"/>
  <c r="V360" i="10"/>
  <c r="U360" i="10"/>
  <c r="O360" i="10"/>
  <c r="N360" i="10"/>
  <c r="J360" i="10"/>
  <c r="I360" i="10"/>
  <c r="W359" i="10"/>
  <c r="Y359" i="10" s="1"/>
  <c r="V359" i="10"/>
  <c r="U359" i="10"/>
  <c r="O359" i="10"/>
  <c r="N359" i="10"/>
  <c r="J359" i="10"/>
  <c r="I359" i="10"/>
  <c r="W358" i="10"/>
  <c r="Y358" i="10" s="1"/>
  <c r="V358" i="10"/>
  <c r="U358" i="10"/>
  <c r="O358" i="10"/>
  <c r="N358" i="10"/>
  <c r="J358" i="10"/>
  <c r="I358" i="10"/>
  <c r="W357" i="10"/>
  <c r="Y357" i="10" s="1"/>
  <c r="V357" i="10"/>
  <c r="U357" i="10"/>
  <c r="O357" i="10"/>
  <c r="N357" i="10"/>
  <c r="J357" i="10"/>
  <c r="I357" i="10"/>
  <c r="W356" i="10"/>
  <c r="Y356" i="10" s="1"/>
  <c r="V356" i="10"/>
  <c r="U356" i="10"/>
  <c r="O356" i="10"/>
  <c r="N356" i="10"/>
  <c r="J356" i="10"/>
  <c r="I356" i="10"/>
  <c r="W355" i="10"/>
  <c r="Y355" i="10" s="1"/>
  <c r="V355" i="10"/>
  <c r="U355" i="10"/>
  <c r="O355" i="10"/>
  <c r="N355" i="10"/>
  <c r="J355" i="10"/>
  <c r="I355" i="10"/>
  <c r="W354" i="10"/>
  <c r="Y354" i="10" s="1"/>
  <c r="V354" i="10"/>
  <c r="U354" i="10"/>
  <c r="O354" i="10"/>
  <c r="N354" i="10"/>
  <c r="J354" i="10"/>
  <c r="I354" i="10"/>
  <c r="W353" i="10"/>
  <c r="Y353" i="10" s="1"/>
  <c r="V353" i="10"/>
  <c r="U353" i="10"/>
  <c r="O353" i="10"/>
  <c r="N353" i="10"/>
  <c r="J353" i="10"/>
  <c r="I353" i="10"/>
  <c r="W352" i="10"/>
  <c r="Y352" i="10" s="1"/>
  <c r="V352" i="10"/>
  <c r="U352" i="10"/>
  <c r="O352" i="10"/>
  <c r="N352" i="10"/>
  <c r="J352" i="10"/>
  <c r="I352" i="10"/>
  <c r="W351" i="10"/>
  <c r="Y351" i="10" s="1"/>
  <c r="V351" i="10"/>
  <c r="U351" i="10"/>
  <c r="O351" i="10"/>
  <c r="N351" i="10"/>
  <c r="J351" i="10"/>
  <c r="I351" i="10"/>
  <c r="W350" i="10"/>
  <c r="Y350" i="10" s="1"/>
  <c r="V350" i="10"/>
  <c r="U350" i="10"/>
  <c r="O350" i="10"/>
  <c r="N350" i="10"/>
  <c r="J350" i="10"/>
  <c r="I350" i="10"/>
  <c r="W349" i="10"/>
  <c r="Y349" i="10" s="1"/>
  <c r="V349" i="10"/>
  <c r="U349" i="10"/>
  <c r="O349" i="10"/>
  <c r="N349" i="10"/>
  <c r="J349" i="10"/>
  <c r="I349" i="10"/>
  <c r="W348" i="10"/>
  <c r="Y348" i="10" s="1"/>
  <c r="V348" i="10"/>
  <c r="U348" i="10"/>
  <c r="O348" i="10"/>
  <c r="N348" i="10"/>
  <c r="J348" i="10"/>
  <c r="I348" i="10"/>
  <c r="W347" i="10"/>
  <c r="Y347" i="10" s="1"/>
  <c r="V347" i="10"/>
  <c r="U347" i="10"/>
  <c r="O347" i="10"/>
  <c r="N347" i="10"/>
  <c r="J347" i="10"/>
  <c r="I347" i="10"/>
  <c r="W346" i="10"/>
  <c r="Y346" i="10" s="1"/>
  <c r="V346" i="10"/>
  <c r="U346" i="10"/>
  <c r="O346" i="10"/>
  <c r="N346" i="10"/>
  <c r="J346" i="10"/>
  <c r="I346" i="10"/>
  <c r="W345" i="10"/>
  <c r="Y345" i="10" s="1"/>
  <c r="V345" i="10"/>
  <c r="U345" i="10"/>
  <c r="O345" i="10"/>
  <c r="N345" i="10"/>
  <c r="J345" i="10"/>
  <c r="I345" i="10"/>
  <c r="W344" i="10"/>
  <c r="Y344" i="10" s="1"/>
  <c r="V344" i="10"/>
  <c r="U344" i="10"/>
  <c r="O344" i="10"/>
  <c r="N344" i="10"/>
  <c r="J344" i="10"/>
  <c r="I344" i="10"/>
  <c r="W343" i="10"/>
  <c r="Y343" i="10" s="1"/>
  <c r="V343" i="10"/>
  <c r="U343" i="10"/>
  <c r="O343" i="10"/>
  <c r="N343" i="10"/>
  <c r="J343" i="10"/>
  <c r="I343" i="10"/>
  <c r="W342" i="10"/>
  <c r="Y342" i="10" s="1"/>
  <c r="V342" i="10"/>
  <c r="U342" i="10"/>
  <c r="O342" i="10"/>
  <c r="N342" i="10"/>
  <c r="J342" i="10"/>
  <c r="I342" i="10"/>
  <c r="W341" i="10"/>
  <c r="Y341" i="10" s="1"/>
  <c r="V341" i="10"/>
  <c r="U341" i="10"/>
  <c r="O341" i="10"/>
  <c r="N341" i="10"/>
  <c r="J341" i="10"/>
  <c r="I341" i="10"/>
  <c r="W340" i="10"/>
  <c r="Y340" i="10" s="1"/>
  <c r="V340" i="10"/>
  <c r="U340" i="10"/>
  <c r="O340" i="10"/>
  <c r="N340" i="10"/>
  <c r="J340" i="10"/>
  <c r="I340" i="10"/>
  <c r="W339" i="10"/>
  <c r="Y339" i="10" s="1"/>
  <c r="V339" i="10"/>
  <c r="U339" i="10"/>
  <c r="O339" i="10"/>
  <c r="N339" i="10"/>
  <c r="J339" i="10"/>
  <c r="I339" i="10"/>
  <c r="W338" i="10"/>
  <c r="Y338" i="10" s="1"/>
  <c r="V338" i="10"/>
  <c r="U338" i="10"/>
  <c r="O338" i="10"/>
  <c r="N338" i="10"/>
  <c r="J338" i="10"/>
  <c r="I338" i="10"/>
  <c r="W337" i="10"/>
  <c r="Y337" i="10" s="1"/>
  <c r="V337" i="10"/>
  <c r="U337" i="10"/>
  <c r="O337" i="10"/>
  <c r="N337" i="10"/>
  <c r="J337" i="10"/>
  <c r="I337" i="10"/>
  <c r="W336" i="10"/>
  <c r="Y336" i="10" s="1"/>
  <c r="V336" i="10"/>
  <c r="U336" i="10"/>
  <c r="O336" i="10"/>
  <c r="N336" i="10"/>
  <c r="J336" i="10"/>
  <c r="I336" i="10"/>
  <c r="W335" i="10"/>
  <c r="Y335" i="10" s="1"/>
  <c r="V335" i="10"/>
  <c r="U335" i="10"/>
  <c r="O335" i="10"/>
  <c r="N335" i="10"/>
  <c r="J335" i="10"/>
  <c r="I335" i="10"/>
  <c r="W334" i="10"/>
  <c r="Y334" i="10" s="1"/>
  <c r="V334" i="10"/>
  <c r="U334" i="10"/>
  <c r="O334" i="10"/>
  <c r="N334" i="10"/>
  <c r="J334" i="10"/>
  <c r="I334" i="10"/>
  <c r="W333" i="10"/>
  <c r="Y333" i="10" s="1"/>
  <c r="V333" i="10"/>
  <c r="U333" i="10"/>
  <c r="O333" i="10"/>
  <c r="N333" i="10"/>
  <c r="J333" i="10"/>
  <c r="I333" i="10"/>
  <c r="W332" i="10"/>
  <c r="Y332" i="10" s="1"/>
  <c r="V332" i="10"/>
  <c r="U332" i="10"/>
  <c r="O332" i="10"/>
  <c r="N332" i="10"/>
  <c r="J332" i="10"/>
  <c r="I332" i="10"/>
  <c r="W331" i="10"/>
  <c r="Y331" i="10" s="1"/>
  <c r="V331" i="10"/>
  <c r="U331" i="10"/>
  <c r="O331" i="10"/>
  <c r="N331" i="10"/>
  <c r="J331" i="10"/>
  <c r="I331" i="10"/>
  <c r="W330" i="10"/>
  <c r="Y330" i="10" s="1"/>
  <c r="V330" i="10"/>
  <c r="U330" i="10"/>
  <c r="O330" i="10"/>
  <c r="N330" i="10"/>
  <c r="J330" i="10"/>
  <c r="I330" i="10"/>
  <c r="W329" i="10"/>
  <c r="Y329" i="10" s="1"/>
  <c r="V329" i="10"/>
  <c r="U329" i="10"/>
  <c r="O329" i="10"/>
  <c r="N329" i="10"/>
  <c r="J329" i="10"/>
  <c r="I329" i="10"/>
  <c r="W328" i="10"/>
  <c r="Y328" i="10" s="1"/>
  <c r="V328" i="10"/>
  <c r="U328" i="10"/>
  <c r="O328" i="10"/>
  <c r="N328" i="10"/>
  <c r="J328" i="10"/>
  <c r="I328" i="10"/>
  <c r="W327" i="10"/>
  <c r="Y327" i="10" s="1"/>
  <c r="V327" i="10"/>
  <c r="U327" i="10"/>
  <c r="O327" i="10"/>
  <c r="N327" i="10"/>
  <c r="J327" i="10"/>
  <c r="I327" i="10"/>
  <c r="W326" i="10"/>
  <c r="Y326" i="10" s="1"/>
  <c r="V326" i="10"/>
  <c r="U326" i="10"/>
  <c r="O326" i="10"/>
  <c r="N326" i="10"/>
  <c r="J326" i="10"/>
  <c r="I326" i="10"/>
  <c r="W325" i="10"/>
  <c r="Y325" i="10" s="1"/>
  <c r="V325" i="10"/>
  <c r="U325" i="10"/>
  <c r="O325" i="10"/>
  <c r="N325" i="10"/>
  <c r="J325" i="10"/>
  <c r="I325" i="10"/>
  <c r="W324" i="10"/>
  <c r="Y324" i="10" s="1"/>
  <c r="V324" i="10"/>
  <c r="U324" i="10"/>
  <c r="O324" i="10"/>
  <c r="N324" i="10"/>
  <c r="J324" i="10"/>
  <c r="I324" i="10"/>
  <c r="W323" i="10"/>
  <c r="Y323" i="10" s="1"/>
  <c r="V323" i="10"/>
  <c r="U323" i="10"/>
  <c r="O323" i="10"/>
  <c r="N323" i="10"/>
  <c r="J323" i="10"/>
  <c r="I323" i="10"/>
  <c r="W322" i="10"/>
  <c r="Y322" i="10" s="1"/>
  <c r="V322" i="10"/>
  <c r="U322" i="10"/>
  <c r="O322" i="10"/>
  <c r="N322" i="10"/>
  <c r="J322" i="10"/>
  <c r="I322" i="10"/>
  <c r="W321" i="10"/>
  <c r="Y321" i="10" s="1"/>
  <c r="V321" i="10"/>
  <c r="U321" i="10"/>
  <c r="O321" i="10"/>
  <c r="N321" i="10"/>
  <c r="J321" i="10"/>
  <c r="I321" i="10"/>
  <c r="W320" i="10"/>
  <c r="Y320" i="10" s="1"/>
  <c r="V320" i="10"/>
  <c r="U320" i="10"/>
  <c r="O320" i="10"/>
  <c r="N320" i="10"/>
  <c r="J320" i="10"/>
  <c r="I320" i="10"/>
  <c r="W319" i="10"/>
  <c r="Y319" i="10" s="1"/>
  <c r="V319" i="10"/>
  <c r="U319" i="10"/>
  <c r="O319" i="10"/>
  <c r="N319" i="10"/>
  <c r="J319" i="10"/>
  <c r="I319" i="10"/>
  <c r="W318" i="10"/>
  <c r="Y318" i="10" s="1"/>
  <c r="V318" i="10"/>
  <c r="U318" i="10"/>
  <c r="O318" i="10"/>
  <c r="N318" i="10"/>
  <c r="J318" i="10"/>
  <c r="I318" i="10"/>
  <c r="W317" i="10"/>
  <c r="Y317" i="10" s="1"/>
  <c r="V317" i="10"/>
  <c r="U317" i="10"/>
  <c r="O317" i="10"/>
  <c r="N317" i="10"/>
  <c r="J317" i="10"/>
  <c r="I317" i="10"/>
  <c r="W316" i="10"/>
  <c r="Y316" i="10" s="1"/>
  <c r="V316" i="10"/>
  <c r="U316" i="10"/>
  <c r="O316" i="10"/>
  <c r="N316" i="10"/>
  <c r="J316" i="10"/>
  <c r="I316" i="10"/>
  <c r="W315" i="10"/>
  <c r="Y315" i="10" s="1"/>
  <c r="V315" i="10"/>
  <c r="U315" i="10"/>
  <c r="O315" i="10"/>
  <c r="N315" i="10"/>
  <c r="J315" i="10"/>
  <c r="I315" i="10"/>
  <c r="W314" i="10"/>
  <c r="Y314" i="10" s="1"/>
  <c r="V314" i="10"/>
  <c r="U314" i="10"/>
  <c r="O314" i="10"/>
  <c r="N314" i="10"/>
  <c r="J314" i="10"/>
  <c r="I314" i="10"/>
  <c r="W313" i="10"/>
  <c r="Y313" i="10" s="1"/>
  <c r="V313" i="10"/>
  <c r="U313" i="10"/>
  <c r="O313" i="10"/>
  <c r="N313" i="10"/>
  <c r="J313" i="10"/>
  <c r="I313" i="10"/>
  <c r="W312" i="10"/>
  <c r="Y312" i="10" s="1"/>
  <c r="V312" i="10"/>
  <c r="U312" i="10"/>
  <c r="O312" i="10"/>
  <c r="N312" i="10"/>
  <c r="J312" i="10"/>
  <c r="I312" i="10"/>
  <c r="W311" i="10"/>
  <c r="Y311" i="10" s="1"/>
  <c r="V311" i="10"/>
  <c r="U311" i="10"/>
  <c r="O311" i="10"/>
  <c r="N311" i="10"/>
  <c r="J311" i="10"/>
  <c r="I311" i="10"/>
  <c r="W310" i="10"/>
  <c r="Y310" i="10" s="1"/>
  <c r="V310" i="10"/>
  <c r="U310" i="10"/>
  <c r="O310" i="10"/>
  <c r="N310" i="10"/>
  <c r="J310" i="10"/>
  <c r="I310" i="10"/>
  <c r="W309" i="10"/>
  <c r="Y309" i="10" s="1"/>
  <c r="V309" i="10"/>
  <c r="U309" i="10"/>
  <c r="O309" i="10"/>
  <c r="N309" i="10"/>
  <c r="J309" i="10"/>
  <c r="I309" i="10"/>
  <c r="W308" i="10"/>
  <c r="Y308" i="10" s="1"/>
  <c r="V308" i="10"/>
  <c r="U308" i="10"/>
  <c r="O308" i="10"/>
  <c r="N308" i="10"/>
  <c r="J308" i="10"/>
  <c r="I308" i="10"/>
  <c r="W307" i="10"/>
  <c r="Y307" i="10" s="1"/>
  <c r="V307" i="10"/>
  <c r="U307" i="10"/>
  <c r="O307" i="10"/>
  <c r="N307" i="10"/>
  <c r="J307" i="10"/>
  <c r="I307" i="10"/>
  <c r="W306" i="10"/>
  <c r="Y306" i="10" s="1"/>
  <c r="V306" i="10"/>
  <c r="U306" i="10"/>
  <c r="O306" i="10"/>
  <c r="N306" i="10"/>
  <c r="J306" i="10"/>
  <c r="I306" i="10"/>
  <c r="W305" i="10"/>
  <c r="Y305" i="10" s="1"/>
  <c r="V305" i="10"/>
  <c r="U305" i="10"/>
  <c r="O305" i="10"/>
  <c r="N305" i="10"/>
  <c r="J305" i="10"/>
  <c r="I305" i="10"/>
  <c r="W304" i="10"/>
  <c r="Y304" i="10" s="1"/>
  <c r="V304" i="10"/>
  <c r="U304" i="10"/>
  <c r="O304" i="10"/>
  <c r="N304" i="10"/>
  <c r="J304" i="10"/>
  <c r="I304" i="10"/>
  <c r="W303" i="10"/>
  <c r="Y303" i="10" s="1"/>
  <c r="V303" i="10"/>
  <c r="U303" i="10"/>
  <c r="O303" i="10"/>
  <c r="N303" i="10"/>
  <c r="J303" i="10"/>
  <c r="I303" i="10"/>
  <c r="W302" i="10"/>
  <c r="Y302" i="10" s="1"/>
  <c r="V302" i="10"/>
  <c r="U302" i="10"/>
  <c r="O302" i="10"/>
  <c r="N302" i="10"/>
  <c r="J302" i="10"/>
  <c r="I302" i="10"/>
  <c r="W301" i="10"/>
  <c r="Y301" i="10" s="1"/>
  <c r="V301" i="10"/>
  <c r="U301" i="10"/>
  <c r="O301" i="10"/>
  <c r="N301" i="10"/>
  <c r="J301" i="10"/>
  <c r="I301" i="10"/>
  <c r="W300" i="10"/>
  <c r="Y300" i="10" s="1"/>
  <c r="V300" i="10"/>
  <c r="U300" i="10"/>
  <c r="O300" i="10"/>
  <c r="N300" i="10"/>
  <c r="J300" i="10"/>
  <c r="I300" i="10"/>
  <c r="W299" i="10"/>
  <c r="Y299" i="10" s="1"/>
  <c r="V299" i="10"/>
  <c r="U299" i="10"/>
  <c r="O299" i="10"/>
  <c r="N299" i="10"/>
  <c r="J299" i="10"/>
  <c r="I299" i="10"/>
  <c r="W298" i="10"/>
  <c r="Y298" i="10" s="1"/>
  <c r="V298" i="10"/>
  <c r="U298" i="10"/>
  <c r="O298" i="10"/>
  <c r="N298" i="10"/>
  <c r="J298" i="10"/>
  <c r="I298" i="10"/>
  <c r="W297" i="10"/>
  <c r="Y297" i="10" s="1"/>
  <c r="V297" i="10"/>
  <c r="U297" i="10"/>
  <c r="O297" i="10"/>
  <c r="N297" i="10"/>
  <c r="J297" i="10"/>
  <c r="I297" i="10"/>
  <c r="W296" i="10"/>
  <c r="Y296" i="10" s="1"/>
  <c r="V296" i="10"/>
  <c r="U296" i="10"/>
  <c r="O296" i="10"/>
  <c r="N296" i="10"/>
  <c r="J296" i="10"/>
  <c r="I296" i="10"/>
  <c r="W295" i="10"/>
  <c r="Y295" i="10" s="1"/>
  <c r="V295" i="10"/>
  <c r="U295" i="10"/>
  <c r="O295" i="10"/>
  <c r="N295" i="10"/>
  <c r="J295" i="10"/>
  <c r="I295" i="10"/>
  <c r="W294" i="10"/>
  <c r="Y294" i="10" s="1"/>
  <c r="V294" i="10"/>
  <c r="U294" i="10"/>
  <c r="O294" i="10"/>
  <c r="N294" i="10"/>
  <c r="J294" i="10"/>
  <c r="I294" i="10"/>
  <c r="W293" i="10"/>
  <c r="Y293" i="10" s="1"/>
  <c r="V293" i="10"/>
  <c r="U293" i="10"/>
  <c r="O293" i="10"/>
  <c r="N293" i="10"/>
  <c r="J293" i="10"/>
  <c r="I293" i="10"/>
  <c r="W292" i="10"/>
  <c r="Y292" i="10" s="1"/>
  <c r="V292" i="10"/>
  <c r="U292" i="10"/>
  <c r="O292" i="10"/>
  <c r="N292" i="10"/>
  <c r="J292" i="10"/>
  <c r="I292" i="10"/>
  <c r="W291" i="10"/>
  <c r="Y291" i="10" s="1"/>
  <c r="V291" i="10"/>
  <c r="U291" i="10"/>
  <c r="O291" i="10"/>
  <c r="N291" i="10"/>
  <c r="J291" i="10"/>
  <c r="I291" i="10"/>
  <c r="W290" i="10"/>
  <c r="Y290" i="10" s="1"/>
  <c r="V290" i="10"/>
  <c r="U290" i="10"/>
  <c r="O290" i="10"/>
  <c r="N290" i="10"/>
  <c r="J290" i="10"/>
  <c r="I290" i="10"/>
  <c r="W289" i="10"/>
  <c r="Y289" i="10" s="1"/>
  <c r="V289" i="10"/>
  <c r="U289" i="10"/>
  <c r="O289" i="10"/>
  <c r="N289" i="10"/>
  <c r="J289" i="10"/>
  <c r="I289" i="10"/>
  <c r="W288" i="10"/>
  <c r="Y288" i="10" s="1"/>
  <c r="V288" i="10"/>
  <c r="U288" i="10"/>
  <c r="O288" i="10"/>
  <c r="N288" i="10"/>
  <c r="J288" i="10"/>
  <c r="I288" i="10"/>
  <c r="W287" i="10"/>
  <c r="Y287" i="10" s="1"/>
  <c r="V287" i="10"/>
  <c r="U287" i="10"/>
  <c r="O287" i="10"/>
  <c r="N287" i="10"/>
  <c r="J287" i="10"/>
  <c r="I287" i="10"/>
  <c r="W286" i="10"/>
  <c r="Y286" i="10" s="1"/>
  <c r="V286" i="10"/>
  <c r="U286" i="10"/>
  <c r="O286" i="10"/>
  <c r="N286" i="10"/>
  <c r="J286" i="10"/>
  <c r="I286" i="10"/>
  <c r="W285" i="10"/>
  <c r="Y285" i="10" s="1"/>
  <c r="V285" i="10"/>
  <c r="U285" i="10"/>
  <c r="O285" i="10"/>
  <c r="N285" i="10"/>
  <c r="J285" i="10"/>
  <c r="I285" i="10"/>
  <c r="W284" i="10"/>
  <c r="Y284" i="10" s="1"/>
  <c r="V284" i="10"/>
  <c r="U284" i="10"/>
  <c r="O284" i="10"/>
  <c r="N284" i="10"/>
  <c r="J284" i="10"/>
  <c r="I284" i="10"/>
  <c r="W283" i="10"/>
  <c r="Y283" i="10" s="1"/>
  <c r="V283" i="10"/>
  <c r="U283" i="10"/>
  <c r="O283" i="10"/>
  <c r="N283" i="10"/>
  <c r="J283" i="10"/>
  <c r="I283" i="10"/>
  <c r="W282" i="10"/>
  <c r="Y282" i="10" s="1"/>
  <c r="V282" i="10"/>
  <c r="U282" i="10"/>
  <c r="O282" i="10"/>
  <c r="N282" i="10"/>
  <c r="J282" i="10"/>
  <c r="I282" i="10"/>
  <c r="W281" i="10"/>
  <c r="Y281" i="10" s="1"/>
  <c r="V281" i="10"/>
  <c r="U281" i="10"/>
  <c r="O281" i="10"/>
  <c r="N281" i="10"/>
  <c r="J281" i="10"/>
  <c r="I281" i="10"/>
  <c r="W280" i="10"/>
  <c r="Y280" i="10" s="1"/>
  <c r="V280" i="10"/>
  <c r="U280" i="10"/>
  <c r="O280" i="10"/>
  <c r="N280" i="10"/>
  <c r="J280" i="10"/>
  <c r="I280" i="10"/>
  <c r="W279" i="10"/>
  <c r="Y279" i="10" s="1"/>
  <c r="V279" i="10"/>
  <c r="U279" i="10"/>
  <c r="O279" i="10"/>
  <c r="N279" i="10"/>
  <c r="J279" i="10"/>
  <c r="I279" i="10"/>
  <c r="W278" i="10"/>
  <c r="Y278" i="10" s="1"/>
  <c r="V278" i="10"/>
  <c r="U278" i="10"/>
  <c r="O278" i="10"/>
  <c r="N278" i="10"/>
  <c r="J278" i="10"/>
  <c r="I278" i="10"/>
  <c r="W277" i="10"/>
  <c r="Y277" i="10" s="1"/>
  <c r="V277" i="10"/>
  <c r="U277" i="10"/>
  <c r="O277" i="10"/>
  <c r="N277" i="10"/>
  <c r="J277" i="10"/>
  <c r="I277" i="10"/>
  <c r="W276" i="10"/>
  <c r="Y276" i="10" s="1"/>
  <c r="V276" i="10"/>
  <c r="U276" i="10"/>
  <c r="O276" i="10"/>
  <c r="N276" i="10"/>
  <c r="J276" i="10"/>
  <c r="I276" i="10"/>
  <c r="W275" i="10"/>
  <c r="Y275" i="10" s="1"/>
  <c r="V275" i="10"/>
  <c r="U275" i="10"/>
  <c r="O275" i="10"/>
  <c r="N275" i="10"/>
  <c r="J275" i="10"/>
  <c r="I275" i="10"/>
  <c r="W274" i="10"/>
  <c r="Y274" i="10" s="1"/>
  <c r="V274" i="10"/>
  <c r="U274" i="10"/>
  <c r="O274" i="10"/>
  <c r="N274" i="10"/>
  <c r="J274" i="10"/>
  <c r="I274" i="10"/>
  <c r="W273" i="10"/>
  <c r="Y273" i="10" s="1"/>
  <c r="V273" i="10"/>
  <c r="U273" i="10"/>
  <c r="O273" i="10"/>
  <c r="N273" i="10"/>
  <c r="J273" i="10"/>
  <c r="I273" i="10"/>
  <c r="W272" i="10"/>
  <c r="Y272" i="10" s="1"/>
  <c r="V272" i="10"/>
  <c r="U272" i="10"/>
  <c r="O272" i="10"/>
  <c r="N272" i="10"/>
  <c r="J272" i="10"/>
  <c r="I272" i="10"/>
  <c r="W271" i="10"/>
  <c r="Y271" i="10" s="1"/>
  <c r="V271" i="10"/>
  <c r="U271" i="10"/>
  <c r="O271" i="10"/>
  <c r="N271" i="10"/>
  <c r="J271" i="10"/>
  <c r="I271" i="10"/>
  <c r="W270" i="10"/>
  <c r="Y270" i="10" s="1"/>
  <c r="V270" i="10"/>
  <c r="U270" i="10"/>
  <c r="O270" i="10"/>
  <c r="N270" i="10"/>
  <c r="J270" i="10"/>
  <c r="I270" i="10"/>
  <c r="W269" i="10"/>
  <c r="Y269" i="10" s="1"/>
  <c r="V269" i="10"/>
  <c r="U269" i="10"/>
  <c r="O269" i="10"/>
  <c r="N269" i="10"/>
  <c r="J269" i="10"/>
  <c r="I269" i="10"/>
  <c r="W268" i="10"/>
  <c r="Y268" i="10" s="1"/>
  <c r="V268" i="10"/>
  <c r="U268" i="10"/>
  <c r="O268" i="10"/>
  <c r="N268" i="10"/>
  <c r="J268" i="10"/>
  <c r="I268" i="10"/>
  <c r="W267" i="10"/>
  <c r="Y267" i="10" s="1"/>
  <c r="V267" i="10"/>
  <c r="U267" i="10"/>
  <c r="O267" i="10"/>
  <c r="N267" i="10"/>
  <c r="J267" i="10"/>
  <c r="I267" i="10"/>
  <c r="W266" i="10"/>
  <c r="Y266" i="10" s="1"/>
  <c r="V266" i="10"/>
  <c r="U266" i="10"/>
  <c r="O266" i="10"/>
  <c r="N266" i="10"/>
  <c r="J266" i="10"/>
  <c r="I266" i="10"/>
  <c r="W265" i="10"/>
  <c r="Y265" i="10" s="1"/>
  <c r="V265" i="10"/>
  <c r="U265" i="10"/>
  <c r="O265" i="10"/>
  <c r="N265" i="10"/>
  <c r="J265" i="10"/>
  <c r="I265" i="10"/>
  <c r="W264" i="10"/>
  <c r="Y264" i="10" s="1"/>
  <c r="V264" i="10"/>
  <c r="U264" i="10"/>
  <c r="O264" i="10"/>
  <c r="N264" i="10"/>
  <c r="J264" i="10"/>
  <c r="I264" i="10"/>
  <c r="W263" i="10"/>
  <c r="Y263" i="10" s="1"/>
  <c r="V263" i="10"/>
  <c r="U263" i="10"/>
  <c r="O263" i="10"/>
  <c r="N263" i="10"/>
  <c r="J263" i="10"/>
  <c r="I263" i="10"/>
  <c r="W262" i="10"/>
  <c r="Y262" i="10" s="1"/>
  <c r="V262" i="10"/>
  <c r="U262" i="10"/>
  <c r="O262" i="10"/>
  <c r="N262" i="10"/>
  <c r="J262" i="10"/>
  <c r="I262" i="10"/>
  <c r="W261" i="10"/>
  <c r="Y261" i="10" s="1"/>
  <c r="V261" i="10"/>
  <c r="U261" i="10"/>
  <c r="O261" i="10"/>
  <c r="N261" i="10"/>
  <c r="J261" i="10"/>
  <c r="I261" i="10"/>
  <c r="W260" i="10"/>
  <c r="Y260" i="10" s="1"/>
  <c r="V260" i="10"/>
  <c r="U260" i="10"/>
  <c r="O260" i="10"/>
  <c r="N260" i="10"/>
  <c r="J260" i="10"/>
  <c r="I260" i="10"/>
  <c r="W259" i="10"/>
  <c r="Y259" i="10" s="1"/>
  <c r="V259" i="10"/>
  <c r="U259" i="10"/>
  <c r="O259" i="10"/>
  <c r="N259" i="10"/>
  <c r="J259" i="10"/>
  <c r="I259" i="10"/>
  <c r="W258" i="10"/>
  <c r="Y258" i="10" s="1"/>
  <c r="V258" i="10"/>
  <c r="U258" i="10"/>
  <c r="O258" i="10"/>
  <c r="N258" i="10"/>
  <c r="J258" i="10"/>
  <c r="I258" i="10"/>
  <c r="W257" i="10"/>
  <c r="Y257" i="10" s="1"/>
  <c r="V257" i="10"/>
  <c r="U257" i="10"/>
  <c r="O257" i="10"/>
  <c r="N257" i="10"/>
  <c r="J257" i="10"/>
  <c r="I257" i="10"/>
  <c r="W256" i="10"/>
  <c r="Y256" i="10" s="1"/>
  <c r="V256" i="10"/>
  <c r="U256" i="10"/>
  <c r="O256" i="10"/>
  <c r="N256" i="10"/>
  <c r="J256" i="10"/>
  <c r="I256" i="10"/>
  <c r="W255" i="10"/>
  <c r="Y255" i="10" s="1"/>
  <c r="V255" i="10"/>
  <c r="U255" i="10"/>
  <c r="O255" i="10"/>
  <c r="N255" i="10"/>
  <c r="J255" i="10"/>
  <c r="I255" i="10"/>
  <c r="W254" i="10"/>
  <c r="Y254" i="10" s="1"/>
  <c r="V254" i="10"/>
  <c r="U254" i="10"/>
  <c r="O254" i="10"/>
  <c r="N254" i="10"/>
  <c r="J254" i="10"/>
  <c r="I254" i="10"/>
  <c r="W253" i="10"/>
  <c r="Y253" i="10" s="1"/>
  <c r="V253" i="10"/>
  <c r="U253" i="10"/>
  <c r="O253" i="10"/>
  <c r="N253" i="10"/>
  <c r="J253" i="10"/>
  <c r="I253" i="10"/>
  <c r="W252" i="10"/>
  <c r="Y252" i="10" s="1"/>
  <c r="V252" i="10"/>
  <c r="U252" i="10"/>
  <c r="O252" i="10"/>
  <c r="N252" i="10"/>
  <c r="J252" i="10"/>
  <c r="I252" i="10"/>
  <c r="W251" i="10"/>
  <c r="Y251" i="10" s="1"/>
  <c r="V251" i="10"/>
  <c r="U251" i="10"/>
  <c r="O251" i="10"/>
  <c r="N251" i="10"/>
  <c r="J251" i="10"/>
  <c r="I251" i="10"/>
  <c r="W250" i="10"/>
  <c r="Y250" i="10" s="1"/>
  <c r="V250" i="10"/>
  <c r="U250" i="10"/>
  <c r="O250" i="10"/>
  <c r="N250" i="10"/>
  <c r="J250" i="10"/>
  <c r="I250" i="10"/>
  <c r="W249" i="10"/>
  <c r="Y249" i="10" s="1"/>
  <c r="V249" i="10"/>
  <c r="U249" i="10"/>
  <c r="O249" i="10"/>
  <c r="N249" i="10"/>
  <c r="J249" i="10"/>
  <c r="I249" i="10"/>
  <c r="W248" i="10"/>
  <c r="Y248" i="10" s="1"/>
  <c r="V248" i="10"/>
  <c r="U248" i="10"/>
  <c r="O248" i="10"/>
  <c r="N248" i="10"/>
  <c r="J248" i="10"/>
  <c r="I248" i="10"/>
  <c r="W247" i="10"/>
  <c r="Y247" i="10" s="1"/>
  <c r="V247" i="10"/>
  <c r="U247" i="10"/>
  <c r="O247" i="10"/>
  <c r="N247" i="10"/>
  <c r="J247" i="10"/>
  <c r="I247" i="10"/>
  <c r="W246" i="10"/>
  <c r="Y246" i="10" s="1"/>
  <c r="V246" i="10"/>
  <c r="U246" i="10"/>
  <c r="O246" i="10"/>
  <c r="N246" i="10"/>
  <c r="J246" i="10"/>
  <c r="I246" i="10"/>
  <c r="W245" i="10"/>
  <c r="Y245" i="10" s="1"/>
  <c r="V245" i="10"/>
  <c r="U245" i="10"/>
  <c r="O245" i="10"/>
  <c r="N245" i="10"/>
  <c r="J245" i="10"/>
  <c r="I245" i="10"/>
  <c r="W244" i="10"/>
  <c r="Y244" i="10" s="1"/>
  <c r="V244" i="10"/>
  <c r="U244" i="10"/>
  <c r="O244" i="10"/>
  <c r="N244" i="10"/>
  <c r="J244" i="10"/>
  <c r="I244" i="10"/>
  <c r="W243" i="10"/>
  <c r="Y243" i="10" s="1"/>
  <c r="V243" i="10"/>
  <c r="U243" i="10"/>
  <c r="O243" i="10"/>
  <c r="N243" i="10"/>
  <c r="J243" i="10"/>
  <c r="I243" i="10"/>
  <c r="W242" i="10"/>
  <c r="Y242" i="10" s="1"/>
  <c r="V242" i="10"/>
  <c r="U242" i="10"/>
  <c r="O242" i="10"/>
  <c r="N242" i="10"/>
  <c r="J242" i="10"/>
  <c r="I242" i="10"/>
  <c r="W241" i="10"/>
  <c r="Y241" i="10" s="1"/>
  <c r="V241" i="10"/>
  <c r="U241" i="10"/>
  <c r="O241" i="10"/>
  <c r="N241" i="10"/>
  <c r="J241" i="10"/>
  <c r="I241" i="10"/>
  <c r="W240" i="10"/>
  <c r="Y240" i="10" s="1"/>
  <c r="V240" i="10"/>
  <c r="U240" i="10"/>
  <c r="O240" i="10"/>
  <c r="N240" i="10"/>
  <c r="J240" i="10"/>
  <c r="I240" i="10"/>
  <c r="W239" i="10"/>
  <c r="Y239" i="10" s="1"/>
  <c r="V239" i="10"/>
  <c r="U239" i="10"/>
  <c r="O239" i="10"/>
  <c r="N239" i="10"/>
  <c r="J239" i="10"/>
  <c r="I239" i="10"/>
  <c r="W238" i="10"/>
  <c r="Y238" i="10" s="1"/>
  <c r="V238" i="10"/>
  <c r="U238" i="10"/>
  <c r="O238" i="10"/>
  <c r="N238" i="10"/>
  <c r="J238" i="10"/>
  <c r="I238" i="10"/>
  <c r="W237" i="10"/>
  <c r="Y237" i="10" s="1"/>
  <c r="V237" i="10"/>
  <c r="U237" i="10"/>
  <c r="O237" i="10"/>
  <c r="N237" i="10"/>
  <c r="J237" i="10"/>
  <c r="I237" i="10"/>
  <c r="W236" i="10"/>
  <c r="Y236" i="10" s="1"/>
  <c r="V236" i="10"/>
  <c r="U236" i="10"/>
  <c r="O236" i="10"/>
  <c r="N236" i="10"/>
  <c r="J236" i="10"/>
  <c r="I236" i="10"/>
  <c r="W235" i="10"/>
  <c r="Y235" i="10" s="1"/>
  <c r="V235" i="10"/>
  <c r="U235" i="10"/>
  <c r="O235" i="10"/>
  <c r="N235" i="10"/>
  <c r="J235" i="10"/>
  <c r="I235" i="10"/>
  <c r="W234" i="10"/>
  <c r="Y234" i="10" s="1"/>
  <c r="V234" i="10"/>
  <c r="U234" i="10"/>
  <c r="O234" i="10"/>
  <c r="N234" i="10"/>
  <c r="J234" i="10"/>
  <c r="I234" i="10"/>
  <c r="W233" i="10"/>
  <c r="Y233" i="10" s="1"/>
  <c r="V233" i="10"/>
  <c r="U233" i="10"/>
  <c r="O233" i="10"/>
  <c r="N233" i="10"/>
  <c r="J233" i="10"/>
  <c r="I233" i="10"/>
  <c r="W232" i="10"/>
  <c r="Y232" i="10" s="1"/>
  <c r="V232" i="10"/>
  <c r="U232" i="10"/>
  <c r="O232" i="10"/>
  <c r="N232" i="10"/>
  <c r="J232" i="10"/>
  <c r="I232" i="10"/>
  <c r="W231" i="10"/>
  <c r="Y231" i="10" s="1"/>
  <c r="V231" i="10"/>
  <c r="U231" i="10"/>
  <c r="O231" i="10"/>
  <c r="N231" i="10"/>
  <c r="J231" i="10"/>
  <c r="I231" i="10"/>
  <c r="W230" i="10"/>
  <c r="Y230" i="10" s="1"/>
  <c r="V230" i="10"/>
  <c r="U230" i="10"/>
  <c r="O230" i="10"/>
  <c r="N230" i="10"/>
  <c r="J230" i="10"/>
  <c r="I230" i="10"/>
  <c r="W229" i="10"/>
  <c r="Y229" i="10" s="1"/>
  <c r="V229" i="10"/>
  <c r="U229" i="10"/>
  <c r="O229" i="10"/>
  <c r="N229" i="10"/>
  <c r="J229" i="10"/>
  <c r="I229" i="10"/>
  <c r="W228" i="10"/>
  <c r="Y228" i="10" s="1"/>
  <c r="V228" i="10"/>
  <c r="U228" i="10"/>
  <c r="O228" i="10"/>
  <c r="N228" i="10"/>
  <c r="J228" i="10"/>
  <c r="I228" i="10"/>
  <c r="W227" i="10"/>
  <c r="Y227" i="10" s="1"/>
  <c r="V227" i="10"/>
  <c r="U227" i="10"/>
  <c r="O227" i="10"/>
  <c r="N227" i="10"/>
  <c r="J227" i="10"/>
  <c r="I227" i="10"/>
  <c r="W226" i="10"/>
  <c r="Y226" i="10" s="1"/>
  <c r="V226" i="10"/>
  <c r="U226" i="10"/>
  <c r="O226" i="10"/>
  <c r="N226" i="10"/>
  <c r="J226" i="10"/>
  <c r="I226" i="10"/>
  <c r="W225" i="10"/>
  <c r="Y225" i="10" s="1"/>
  <c r="V225" i="10"/>
  <c r="U225" i="10"/>
  <c r="O225" i="10"/>
  <c r="N225" i="10"/>
  <c r="J225" i="10"/>
  <c r="I225" i="10"/>
  <c r="W224" i="10"/>
  <c r="Y224" i="10" s="1"/>
  <c r="V224" i="10"/>
  <c r="U224" i="10"/>
  <c r="O224" i="10"/>
  <c r="N224" i="10"/>
  <c r="J224" i="10"/>
  <c r="I224" i="10"/>
  <c r="W223" i="10"/>
  <c r="Y223" i="10" s="1"/>
  <c r="V223" i="10"/>
  <c r="U223" i="10"/>
  <c r="O223" i="10"/>
  <c r="N223" i="10"/>
  <c r="J223" i="10"/>
  <c r="I223" i="10"/>
  <c r="W222" i="10"/>
  <c r="Y222" i="10" s="1"/>
  <c r="V222" i="10"/>
  <c r="U222" i="10"/>
  <c r="O222" i="10"/>
  <c r="N222" i="10"/>
  <c r="J222" i="10"/>
  <c r="I222" i="10"/>
  <c r="W221" i="10"/>
  <c r="Y221" i="10" s="1"/>
  <c r="V221" i="10"/>
  <c r="U221" i="10"/>
  <c r="O221" i="10"/>
  <c r="N221" i="10"/>
  <c r="J221" i="10"/>
  <c r="I221" i="10"/>
  <c r="W220" i="10"/>
  <c r="Y220" i="10" s="1"/>
  <c r="V220" i="10"/>
  <c r="U220" i="10"/>
  <c r="O220" i="10"/>
  <c r="N220" i="10"/>
  <c r="J220" i="10"/>
  <c r="I220" i="10"/>
  <c r="W219" i="10"/>
  <c r="Y219" i="10" s="1"/>
  <c r="V219" i="10"/>
  <c r="U219" i="10"/>
  <c r="O219" i="10"/>
  <c r="N219" i="10"/>
  <c r="J219" i="10"/>
  <c r="I219" i="10"/>
  <c r="W218" i="10"/>
  <c r="Y218" i="10" s="1"/>
  <c r="V218" i="10"/>
  <c r="U218" i="10"/>
  <c r="O218" i="10"/>
  <c r="N218" i="10"/>
  <c r="J218" i="10"/>
  <c r="I218" i="10"/>
  <c r="W217" i="10"/>
  <c r="Y217" i="10" s="1"/>
  <c r="V217" i="10"/>
  <c r="U217" i="10"/>
  <c r="O217" i="10"/>
  <c r="N217" i="10"/>
  <c r="J217" i="10"/>
  <c r="I217" i="10"/>
  <c r="W216" i="10"/>
  <c r="Y216" i="10" s="1"/>
  <c r="V216" i="10"/>
  <c r="U216" i="10"/>
  <c r="O216" i="10"/>
  <c r="N216" i="10"/>
  <c r="J216" i="10"/>
  <c r="I216" i="10"/>
  <c r="W215" i="10"/>
  <c r="Y215" i="10" s="1"/>
  <c r="V215" i="10"/>
  <c r="U215" i="10"/>
  <c r="O215" i="10"/>
  <c r="N215" i="10"/>
  <c r="J215" i="10"/>
  <c r="I215" i="10"/>
  <c r="W214" i="10"/>
  <c r="Y214" i="10" s="1"/>
  <c r="V214" i="10"/>
  <c r="U214" i="10"/>
  <c r="O214" i="10"/>
  <c r="N214" i="10"/>
  <c r="J214" i="10"/>
  <c r="I214" i="10"/>
  <c r="W213" i="10"/>
  <c r="Y213" i="10" s="1"/>
  <c r="V213" i="10"/>
  <c r="U213" i="10"/>
  <c r="O213" i="10"/>
  <c r="N213" i="10"/>
  <c r="J213" i="10"/>
  <c r="I213" i="10"/>
  <c r="W212" i="10"/>
  <c r="Y212" i="10" s="1"/>
  <c r="V212" i="10"/>
  <c r="U212" i="10"/>
  <c r="O212" i="10"/>
  <c r="N212" i="10"/>
  <c r="J212" i="10"/>
  <c r="I212" i="10"/>
  <c r="W211" i="10"/>
  <c r="Y211" i="10" s="1"/>
  <c r="V211" i="10"/>
  <c r="U211" i="10"/>
  <c r="O211" i="10"/>
  <c r="N211" i="10"/>
  <c r="J211" i="10"/>
  <c r="I211" i="10"/>
  <c r="W210" i="10"/>
  <c r="Y210" i="10" s="1"/>
  <c r="V210" i="10"/>
  <c r="U210" i="10"/>
  <c r="O210" i="10"/>
  <c r="N210" i="10"/>
  <c r="J210" i="10"/>
  <c r="I210" i="10"/>
  <c r="W209" i="10"/>
  <c r="Y209" i="10" s="1"/>
  <c r="V209" i="10"/>
  <c r="U209" i="10"/>
  <c r="O209" i="10"/>
  <c r="N209" i="10"/>
  <c r="J209" i="10"/>
  <c r="I209" i="10"/>
  <c r="W208" i="10"/>
  <c r="Y208" i="10" s="1"/>
  <c r="V208" i="10"/>
  <c r="U208" i="10"/>
  <c r="O208" i="10"/>
  <c r="N208" i="10"/>
  <c r="J208" i="10"/>
  <c r="I208" i="10"/>
  <c r="W207" i="10"/>
  <c r="Y207" i="10" s="1"/>
  <c r="V207" i="10"/>
  <c r="U207" i="10"/>
  <c r="O207" i="10"/>
  <c r="N207" i="10"/>
  <c r="J207" i="10"/>
  <c r="I207" i="10"/>
  <c r="W206" i="10"/>
  <c r="Y206" i="10" s="1"/>
  <c r="V206" i="10"/>
  <c r="U206" i="10"/>
  <c r="O206" i="10"/>
  <c r="N206" i="10"/>
  <c r="J206" i="10"/>
  <c r="I206" i="10"/>
  <c r="W205" i="10"/>
  <c r="Y205" i="10" s="1"/>
  <c r="V205" i="10"/>
  <c r="U205" i="10"/>
  <c r="O205" i="10"/>
  <c r="N205" i="10"/>
  <c r="J205" i="10"/>
  <c r="I205" i="10"/>
  <c r="W204" i="10"/>
  <c r="Y204" i="10" s="1"/>
  <c r="V204" i="10"/>
  <c r="U204" i="10"/>
  <c r="O204" i="10"/>
  <c r="N204" i="10"/>
  <c r="J204" i="10"/>
  <c r="I204" i="10"/>
  <c r="W203" i="10"/>
  <c r="Y203" i="10" s="1"/>
  <c r="V203" i="10"/>
  <c r="U203" i="10"/>
  <c r="O203" i="10"/>
  <c r="N203" i="10"/>
  <c r="J203" i="10"/>
  <c r="I203" i="10"/>
  <c r="W202" i="10"/>
  <c r="Y202" i="10" s="1"/>
  <c r="V202" i="10"/>
  <c r="U202" i="10"/>
  <c r="O202" i="10"/>
  <c r="N202" i="10"/>
  <c r="J202" i="10"/>
  <c r="I202" i="10"/>
  <c r="W201" i="10"/>
  <c r="Y201" i="10" s="1"/>
  <c r="V201" i="10"/>
  <c r="U201" i="10"/>
  <c r="O201" i="10"/>
  <c r="N201" i="10"/>
  <c r="J201" i="10"/>
  <c r="I201" i="10"/>
  <c r="W200" i="10"/>
  <c r="Y200" i="10" s="1"/>
  <c r="V200" i="10"/>
  <c r="U200" i="10"/>
  <c r="O200" i="10"/>
  <c r="N200" i="10"/>
  <c r="J200" i="10"/>
  <c r="I200" i="10"/>
  <c r="W199" i="10"/>
  <c r="Y199" i="10" s="1"/>
  <c r="V199" i="10"/>
  <c r="U199" i="10"/>
  <c r="O199" i="10"/>
  <c r="N199" i="10"/>
  <c r="J199" i="10"/>
  <c r="I199" i="10"/>
  <c r="W198" i="10"/>
  <c r="Y198" i="10" s="1"/>
  <c r="V198" i="10"/>
  <c r="U198" i="10"/>
  <c r="O198" i="10"/>
  <c r="N198" i="10"/>
  <c r="J198" i="10"/>
  <c r="I198" i="10"/>
  <c r="W197" i="10"/>
  <c r="Y197" i="10" s="1"/>
  <c r="V197" i="10"/>
  <c r="U197" i="10"/>
  <c r="O197" i="10"/>
  <c r="N197" i="10"/>
  <c r="J197" i="10"/>
  <c r="I197" i="10"/>
  <c r="W196" i="10"/>
  <c r="Y196" i="10" s="1"/>
  <c r="V196" i="10"/>
  <c r="U196" i="10"/>
  <c r="O196" i="10"/>
  <c r="N196" i="10"/>
  <c r="J196" i="10"/>
  <c r="I196" i="10"/>
  <c r="W195" i="10"/>
  <c r="Y195" i="10" s="1"/>
  <c r="V195" i="10"/>
  <c r="U195" i="10"/>
  <c r="O195" i="10"/>
  <c r="N195" i="10"/>
  <c r="J195" i="10"/>
  <c r="I195" i="10"/>
  <c r="W194" i="10"/>
  <c r="Y194" i="10" s="1"/>
  <c r="V194" i="10"/>
  <c r="U194" i="10"/>
  <c r="O194" i="10"/>
  <c r="N194" i="10"/>
  <c r="J194" i="10"/>
  <c r="I194" i="10"/>
  <c r="W193" i="10"/>
  <c r="Y193" i="10" s="1"/>
  <c r="V193" i="10"/>
  <c r="U193" i="10"/>
  <c r="O193" i="10"/>
  <c r="N193" i="10"/>
  <c r="J193" i="10"/>
  <c r="I193" i="10"/>
  <c r="W192" i="10"/>
  <c r="Y192" i="10" s="1"/>
  <c r="V192" i="10"/>
  <c r="U192" i="10"/>
  <c r="O192" i="10"/>
  <c r="N192" i="10"/>
  <c r="J192" i="10"/>
  <c r="I192" i="10"/>
  <c r="W191" i="10"/>
  <c r="Y191" i="10" s="1"/>
  <c r="V191" i="10"/>
  <c r="U191" i="10"/>
  <c r="O191" i="10"/>
  <c r="N191" i="10"/>
  <c r="J191" i="10"/>
  <c r="I191" i="10"/>
  <c r="W190" i="10"/>
  <c r="Y190" i="10" s="1"/>
  <c r="V190" i="10"/>
  <c r="U190" i="10"/>
  <c r="O190" i="10"/>
  <c r="N190" i="10"/>
  <c r="J190" i="10"/>
  <c r="I190" i="10"/>
  <c r="W189" i="10"/>
  <c r="Y189" i="10" s="1"/>
  <c r="V189" i="10"/>
  <c r="U189" i="10"/>
  <c r="O189" i="10"/>
  <c r="N189" i="10"/>
  <c r="J189" i="10"/>
  <c r="I189" i="10"/>
  <c r="W188" i="10"/>
  <c r="Y188" i="10" s="1"/>
  <c r="V188" i="10"/>
  <c r="U188" i="10"/>
  <c r="O188" i="10"/>
  <c r="N188" i="10"/>
  <c r="J188" i="10"/>
  <c r="I188" i="10"/>
  <c r="W187" i="10"/>
  <c r="Y187" i="10" s="1"/>
  <c r="V187" i="10"/>
  <c r="U187" i="10"/>
  <c r="O187" i="10"/>
  <c r="N187" i="10"/>
  <c r="J187" i="10"/>
  <c r="I187" i="10"/>
  <c r="W186" i="10"/>
  <c r="Y186" i="10" s="1"/>
  <c r="V186" i="10"/>
  <c r="U186" i="10"/>
  <c r="O186" i="10"/>
  <c r="N186" i="10"/>
  <c r="J186" i="10"/>
  <c r="I186" i="10"/>
  <c r="W185" i="10"/>
  <c r="Y185" i="10" s="1"/>
  <c r="V185" i="10"/>
  <c r="U185" i="10"/>
  <c r="O185" i="10"/>
  <c r="N185" i="10"/>
  <c r="J185" i="10"/>
  <c r="I185" i="10"/>
  <c r="W184" i="10"/>
  <c r="Y184" i="10" s="1"/>
  <c r="V184" i="10"/>
  <c r="U184" i="10"/>
  <c r="O184" i="10"/>
  <c r="N184" i="10"/>
  <c r="J184" i="10"/>
  <c r="I184" i="10"/>
  <c r="W183" i="10"/>
  <c r="Y183" i="10" s="1"/>
  <c r="V183" i="10"/>
  <c r="U183" i="10"/>
  <c r="O183" i="10"/>
  <c r="N183" i="10"/>
  <c r="J183" i="10"/>
  <c r="I183" i="10"/>
  <c r="W182" i="10"/>
  <c r="Y182" i="10" s="1"/>
  <c r="V182" i="10"/>
  <c r="U182" i="10"/>
  <c r="O182" i="10"/>
  <c r="N182" i="10"/>
  <c r="J182" i="10"/>
  <c r="I182" i="10"/>
  <c r="W181" i="10"/>
  <c r="Y181" i="10" s="1"/>
  <c r="V181" i="10"/>
  <c r="U181" i="10"/>
  <c r="O181" i="10"/>
  <c r="N181" i="10"/>
  <c r="J181" i="10"/>
  <c r="I181" i="10"/>
  <c r="W180" i="10"/>
  <c r="Y180" i="10" s="1"/>
  <c r="V180" i="10"/>
  <c r="U180" i="10"/>
  <c r="O180" i="10"/>
  <c r="N180" i="10"/>
  <c r="J180" i="10"/>
  <c r="I180" i="10"/>
  <c r="W179" i="10"/>
  <c r="Y179" i="10" s="1"/>
  <c r="V179" i="10"/>
  <c r="U179" i="10"/>
  <c r="O179" i="10"/>
  <c r="N179" i="10"/>
  <c r="J179" i="10"/>
  <c r="I179" i="10"/>
  <c r="W178" i="10"/>
  <c r="Y178" i="10" s="1"/>
  <c r="V178" i="10"/>
  <c r="U178" i="10"/>
  <c r="O178" i="10"/>
  <c r="N178" i="10"/>
  <c r="J178" i="10"/>
  <c r="I178" i="10"/>
  <c r="W177" i="10"/>
  <c r="Y177" i="10" s="1"/>
  <c r="V177" i="10"/>
  <c r="U177" i="10"/>
  <c r="O177" i="10"/>
  <c r="N177" i="10"/>
  <c r="J177" i="10"/>
  <c r="I177" i="10"/>
  <c r="W176" i="10"/>
  <c r="Y176" i="10" s="1"/>
  <c r="V176" i="10"/>
  <c r="U176" i="10"/>
  <c r="O176" i="10"/>
  <c r="N176" i="10"/>
  <c r="J176" i="10"/>
  <c r="I176" i="10"/>
  <c r="W175" i="10"/>
  <c r="Y175" i="10" s="1"/>
  <c r="V175" i="10"/>
  <c r="U175" i="10"/>
  <c r="O175" i="10"/>
  <c r="N175" i="10"/>
  <c r="J175" i="10"/>
  <c r="I175" i="10"/>
  <c r="W174" i="10"/>
  <c r="Y174" i="10" s="1"/>
  <c r="V174" i="10"/>
  <c r="U174" i="10"/>
  <c r="O174" i="10"/>
  <c r="N174" i="10"/>
  <c r="J174" i="10"/>
  <c r="I174" i="10"/>
  <c r="W173" i="10"/>
  <c r="Y173" i="10" s="1"/>
  <c r="V173" i="10"/>
  <c r="U173" i="10"/>
  <c r="O173" i="10"/>
  <c r="N173" i="10"/>
  <c r="J173" i="10"/>
  <c r="I173" i="10"/>
  <c r="W172" i="10"/>
  <c r="Y172" i="10" s="1"/>
  <c r="V172" i="10"/>
  <c r="U172" i="10"/>
  <c r="O172" i="10"/>
  <c r="N172" i="10"/>
  <c r="J172" i="10"/>
  <c r="I172" i="10"/>
  <c r="W171" i="10"/>
  <c r="Y171" i="10" s="1"/>
  <c r="V171" i="10"/>
  <c r="U171" i="10"/>
  <c r="O171" i="10"/>
  <c r="N171" i="10"/>
  <c r="J171" i="10"/>
  <c r="I171" i="10"/>
  <c r="W170" i="10"/>
  <c r="Y170" i="10" s="1"/>
  <c r="V170" i="10"/>
  <c r="U170" i="10"/>
  <c r="O170" i="10"/>
  <c r="N170" i="10"/>
  <c r="J170" i="10"/>
  <c r="I170" i="10"/>
  <c r="W169" i="10"/>
  <c r="Y169" i="10" s="1"/>
  <c r="V169" i="10"/>
  <c r="U169" i="10"/>
  <c r="O169" i="10"/>
  <c r="N169" i="10"/>
  <c r="J169" i="10"/>
  <c r="I169" i="10"/>
  <c r="W168" i="10"/>
  <c r="Y168" i="10" s="1"/>
  <c r="V168" i="10"/>
  <c r="U168" i="10"/>
  <c r="O168" i="10"/>
  <c r="N168" i="10"/>
  <c r="J168" i="10"/>
  <c r="I168" i="10"/>
  <c r="W167" i="10"/>
  <c r="Y167" i="10" s="1"/>
  <c r="V167" i="10"/>
  <c r="U167" i="10"/>
  <c r="O167" i="10"/>
  <c r="N167" i="10"/>
  <c r="J167" i="10"/>
  <c r="I167" i="10"/>
  <c r="W166" i="10"/>
  <c r="Y166" i="10" s="1"/>
  <c r="V166" i="10"/>
  <c r="U166" i="10"/>
  <c r="O166" i="10"/>
  <c r="N166" i="10"/>
  <c r="J166" i="10"/>
  <c r="I166" i="10"/>
  <c r="W165" i="10"/>
  <c r="Y165" i="10" s="1"/>
  <c r="V165" i="10"/>
  <c r="U165" i="10"/>
  <c r="O165" i="10"/>
  <c r="N165" i="10"/>
  <c r="J165" i="10"/>
  <c r="I165" i="10"/>
  <c r="W164" i="10"/>
  <c r="Y164" i="10" s="1"/>
  <c r="V164" i="10"/>
  <c r="U164" i="10"/>
  <c r="O164" i="10"/>
  <c r="N164" i="10"/>
  <c r="J164" i="10"/>
  <c r="I164" i="10"/>
  <c r="W163" i="10"/>
  <c r="Y163" i="10" s="1"/>
  <c r="V163" i="10"/>
  <c r="U163" i="10"/>
  <c r="O163" i="10"/>
  <c r="N163" i="10"/>
  <c r="J163" i="10"/>
  <c r="I163" i="10"/>
  <c r="W162" i="10"/>
  <c r="Y162" i="10" s="1"/>
  <c r="V162" i="10"/>
  <c r="U162" i="10"/>
  <c r="O162" i="10"/>
  <c r="N162" i="10"/>
  <c r="J162" i="10"/>
  <c r="I162" i="10"/>
  <c r="W161" i="10"/>
  <c r="Y161" i="10" s="1"/>
  <c r="V161" i="10"/>
  <c r="U161" i="10"/>
  <c r="O161" i="10"/>
  <c r="N161" i="10"/>
  <c r="J161" i="10"/>
  <c r="I161" i="10"/>
  <c r="W160" i="10"/>
  <c r="Y160" i="10" s="1"/>
  <c r="V160" i="10"/>
  <c r="U160" i="10"/>
  <c r="O160" i="10"/>
  <c r="N160" i="10"/>
  <c r="J160" i="10"/>
  <c r="I160" i="10"/>
  <c r="W159" i="10"/>
  <c r="Y159" i="10" s="1"/>
  <c r="V159" i="10"/>
  <c r="U159" i="10"/>
  <c r="O159" i="10"/>
  <c r="N159" i="10"/>
  <c r="J159" i="10"/>
  <c r="I159" i="10"/>
  <c r="W158" i="10"/>
  <c r="Y158" i="10" s="1"/>
  <c r="V158" i="10"/>
  <c r="U158" i="10"/>
  <c r="O158" i="10"/>
  <c r="N158" i="10"/>
  <c r="J158" i="10"/>
  <c r="I158" i="10"/>
  <c r="W157" i="10"/>
  <c r="Y157" i="10" s="1"/>
  <c r="V157" i="10"/>
  <c r="U157" i="10"/>
  <c r="O157" i="10"/>
  <c r="N157" i="10"/>
  <c r="J157" i="10"/>
  <c r="I157" i="10"/>
  <c r="W156" i="10"/>
  <c r="Y156" i="10" s="1"/>
  <c r="V156" i="10"/>
  <c r="U156" i="10"/>
  <c r="O156" i="10"/>
  <c r="N156" i="10"/>
  <c r="J156" i="10"/>
  <c r="I156" i="10"/>
  <c r="W155" i="10"/>
  <c r="Y155" i="10" s="1"/>
  <c r="V155" i="10"/>
  <c r="U155" i="10"/>
  <c r="O155" i="10"/>
  <c r="N155" i="10"/>
  <c r="J155" i="10"/>
  <c r="I155" i="10"/>
  <c r="W154" i="10"/>
  <c r="Y154" i="10" s="1"/>
  <c r="V154" i="10"/>
  <c r="U154" i="10"/>
  <c r="O154" i="10"/>
  <c r="N154" i="10"/>
  <c r="J154" i="10"/>
  <c r="I154" i="10"/>
  <c r="W153" i="10"/>
  <c r="Y153" i="10" s="1"/>
  <c r="V153" i="10"/>
  <c r="U153" i="10"/>
  <c r="O153" i="10"/>
  <c r="N153" i="10"/>
  <c r="J153" i="10"/>
  <c r="I153" i="10"/>
  <c r="W152" i="10"/>
  <c r="Y152" i="10" s="1"/>
  <c r="V152" i="10"/>
  <c r="U152" i="10"/>
  <c r="O152" i="10"/>
  <c r="N152" i="10"/>
  <c r="J152" i="10"/>
  <c r="I152" i="10"/>
  <c r="W151" i="10"/>
  <c r="Y151" i="10" s="1"/>
  <c r="V151" i="10"/>
  <c r="U151" i="10"/>
  <c r="O151" i="10"/>
  <c r="N151" i="10"/>
  <c r="J151" i="10"/>
  <c r="I151" i="10"/>
  <c r="W150" i="10"/>
  <c r="Y150" i="10" s="1"/>
  <c r="V150" i="10"/>
  <c r="U150" i="10"/>
  <c r="O150" i="10"/>
  <c r="N150" i="10"/>
  <c r="J150" i="10"/>
  <c r="I150" i="10"/>
  <c r="W149" i="10"/>
  <c r="Y149" i="10" s="1"/>
  <c r="V149" i="10"/>
  <c r="U149" i="10"/>
  <c r="O149" i="10"/>
  <c r="N149" i="10"/>
  <c r="J149" i="10"/>
  <c r="I149" i="10"/>
  <c r="W148" i="10"/>
  <c r="Y148" i="10" s="1"/>
  <c r="V148" i="10"/>
  <c r="U148" i="10"/>
  <c r="O148" i="10"/>
  <c r="N148" i="10"/>
  <c r="J148" i="10"/>
  <c r="I148" i="10"/>
  <c r="W147" i="10"/>
  <c r="Y147" i="10" s="1"/>
  <c r="V147" i="10"/>
  <c r="U147" i="10"/>
  <c r="O147" i="10"/>
  <c r="N147" i="10"/>
  <c r="J147" i="10"/>
  <c r="I147" i="10"/>
  <c r="W146" i="10"/>
  <c r="Y146" i="10" s="1"/>
  <c r="V146" i="10"/>
  <c r="U146" i="10"/>
  <c r="O146" i="10"/>
  <c r="N146" i="10"/>
  <c r="J146" i="10"/>
  <c r="I146" i="10"/>
  <c r="W145" i="10"/>
  <c r="Y145" i="10" s="1"/>
  <c r="V145" i="10"/>
  <c r="U145" i="10"/>
  <c r="O145" i="10"/>
  <c r="N145" i="10"/>
  <c r="J145" i="10"/>
  <c r="I145" i="10"/>
  <c r="W144" i="10"/>
  <c r="Y144" i="10" s="1"/>
  <c r="V144" i="10"/>
  <c r="U144" i="10"/>
  <c r="O144" i="10"/>
  <c r="N144" i="10"/>
  <c r="J144" i="10"/>
  <c r="I144" i="10"/>
  <c r="W143" i="10"/>
  <c r="Y143" i="10" s="1"/>
  <c r="V143" i="10"/>
  <c r="U143" i="10"/>
  <c r="O143" i="10"/>
  <c r="N143" i="10"/>
  <c r="J143" i="10"/>
  <c r="I143" i="10"/>
  <c r="W142" i="10"/>
  <c r="Y142" i="10" s="1"/>
  <c r="V142" i="10"/>
  <c r="U142" i="10"/>
  <c r="O142" i="10"/>
  <c r="N142" i="10"/>
  <c r="J142" i="10"/>
  <c r="I142" i="10"/>
  <c r="W141" i="10"/>
  <c r="Y141" i="10" s="1"/>
  <c r="V141" i="10"/>
  <c r="U141" i="10"/>
  <c r="O141" i="10"/>
  <c r="N141" i="10"/>
  <c r="J141" i="10"/>
  <c r="I141" i="10"/>
  <c r="W140" i="10"/>
  <c r="Y140" i="10" s="1"/>
  <c r="V140" i="10"/>
  <c r="U140" i="10"/>
  <c r="O140" i="10"/>
  <c r="N140" i="10"/>
  <c r="J140" i="10"/>
  <c r="I140" i="10"/>
  <c r="W139" i="10"/>
  <c r="Y139" i="10" s="1"/>
  <c r="V139" i="10"/>
  <c r="U139" i="10"/>
  <c r="K216" i="13" s="1"/>
  <c r="O139" i="10"/>
  <c r="N139" i="10"/>
  <c r="J139" i="10"/>
  <c r="I139" i="10"/>
  <c r="W138" i="10"/>
  <c r="Y138" i="10" s="1"/>
  <c r="V138" i="10"/>
  <c r="U138" i="10"/>
  <c r="O138" i="10"/>
  <c r="N138" i="10"/>
  <c r="J138" i="10"/>
  <c r="I138" i="10"/>
  <c r="W137" i="10"/>
  <c r="Y137" i="10" s="1"/>
  <c r="V137" i="10"/>
  <c r="U137" i="10"/>
  <c r="O137" i="10"/>
  <c r="N137" i="10"/>
  <c r="J137" i="10"/>
  <c r="I137" i="10"/>
  <c r="W136" i="10"/>
  <c r="Y136" i="10" s="1"/>
  <c r="V136" i="10"/>
  <c r="U136" i="10"/>
  <c r="O136" i="10"/>
  <c r="N136" i="10"/>
  <c r="J136" i="10"/>
  <c r="I136" i="10"/>
  <c r="W135" i="10"/>
  <c r="Y135" i="10" s="1"/>
  <c r="V135" i="10"/>
  <c r="U135" i="10"/>
  <c r="O135" i="10"/>
  <c r="N135" i="10"/>
  <c r="J135" i="10"/>
  <c r="I135" i="10"/>
  <c r="W134" i="10"/>
  <c r="Y134" i="10" s="1"/>
  <c r="V134" i="10"/>
  <c r="U134" i="10"/>
  <c r="O134" i="10"/>
  <c r="N134" i="10"/>
  <c r="J134" i="10"/>
  <c r="I134" i="10"/>
  <c r="W133" i="10"/>
  <c r="Y133" i="10" s="1"/>
  <c r="V133" i="10"/>
  <c r="U133" i="10"/>
  <c r="O133" i="10"/>
  <c r="N133" i="10"/>
  <c r="J133" i="10"/>
  <c r="I133" i="10"/>
  <c r="W132" i="10"/>
  <c r="Y132" i="10" s="1"/>
  <c r="V132" i="10"/>
  <c r="U132" i="10"/>
  <c r="O132" i="10"/>
  <c r="N132" i="10"/>
  <c r="J132" i="10"/>
  <c r="I132" i="10"/>
  <c r="W131" i="10"/>
  <c r="Y131" i="10" s="1"/>
  <c r="V131" i="10"/>
  <c r="U131" i="10"/>
  <c r="O131" i="10"/>
  <c r="N131" i="10"/>
  <c r="J131" i="10"/>
  <c r="I131" i="10"/>
  <c r="W130" i="10"/>
  <c r="Y130" i="10" s="1"/>
  <c r="V130" i="10"/>
  <c r="U130" i="10"/>
  <c r="O130" i="10"/>
  <c r="N130" i="10"/>
  <c r="J130" i="10"/>
  <c r="I130" i="10"/>
  <c r="W129" i="10"/>
  <c r="Y129" i="10" s="1"/>
  <c r="V129" i="10"/>
  <c r="U129" i="10"/>
  <c r="O129" i="10"/>
  <c r="N129" i="10"/>
  <c r="J129" i="10"/>
  <c r="I129" i="10"/>
  <c r="W128" i="10"/>
  <c r="Y128" i="10" s="1"/>
  <c r="V128" i="10"/>
  <c r="U128" i="10"/>
  <c r="O128" i="10"/>
  <c r="N128" i="10"/>
  <c r="J128" i="10"/>
  <c r="I128" i="10"/>
  <c r="W127" i="10"/>
  <c r="Y127" i="10" s="1"/>
  <c r="V127" i="10"/>
  <c r="U127" i="10"/>
  <c r="O127" i="10"/>
  <c r="N127" i="10"/>
  <c r="J127" i="10"/>
  <c r="I127" i="10"/>
  <c r="W126" i="10"/>
  <c r="Y126" i="10" s="1"/>
  <c r="V126" i="10"/>
  <c r="U126" i="10"/>
  <c r="O126" i="10"/>
  <c r="N126" i="10"/>
  <c r="J126" i="10"/>
  <c r="I126" i="10"/>
  <c r="W125" i="10"/>
  <c r="Y125" i="10" s="1"/>
  <c r="V125" i="10"/>
  <c r="U125" i="10"/>
  <c r="O125" i="10"/>
  <c r="N125" i="10"/>
  <c r="J125" i="10"/>
  <c r="I125" i="10"/>
  <c r="W124" i="10"/>
  <c r="Y124" i="10" s="1"/>
  <c r="V124" i="10"/>
  <c r="U124" i="10"/>
  <c r="O124" i="10"/>
  <c r="N124" i="10"/>
  <c r="J124" i="10"/>
  <c r="I124" i="10"/>
  <c r="W123" i="10"/>
  <c r="Y123" i="10" s="1"/>
  <c r="V123" i="10"/>
  <c r="U123" i="10"/>
  <c r="O123" i="10"/>
  <c r="N123" i="10"/>
  <c r="J123" i="10"/>
  <c r="I123" i="10"/>
  <c r="W122" i="10"/>
  <c r="Y122" i="10" s="1"/>
  <c r="V122" i="10"/>
  <c r="U122" i="10"/>
  <c r="O122" i="10"/>
  <c r="N122" i="10"/>
  <c r="J122" i="10"/>
  <c r="I122" i="10"/>
  <c r="W121" i="10"/>
  <c r="Y121" i="10" s="1"/>
  <c r="V121" i="10"/>
  <c r="U121" i="10"/>
  <c r="O121" i="10"/>
  <c r="N121" i="10"/>
  <c r="J121" i="10"/>
  <c r="I121" i="10"/>
  <c r="W120" i="10"/>
  <c r="Y120" i="10" s="1"/>
  <c r="V120" i="10"/>
  <c r="U120" i="10"/>
  <c r="O120" i="10"/>
  <c r="N120" i="10"/>
  <c r="J120" i="10"/>
  <c r="I120" i="10"/>
  <c r="W119" i="10"/>
  <c r="Y119" i="10" s="1"/>
  <c r="V119" i="10"/>
  <c r="U119" i="10"/>
  <c r="O119" i="10"/>
  <c r="N119" i="10"/>
  <c r="J119" i="10"/>
  <c r="I119" i="10"/>
  <c r="W118" i="10"/>
  <c r="Y118" i="10" s="1"/>
  <c r="V118" i="10"/>
  <c r="U118" i="10"/>
  <c r="O118" i="10"/>
  <c r="N118" i="10"/>
  <c r="J118" i="10"/>
  <c r="I118" i="10"/>
  <c r="W117" i="10"/>
  <c r="Y117" i="10" s="1"/>
  <c r="V117" i="10"/>
  <c r="U117" i="10"/>
  <c r="O117" i="10"/>
  <c r="N117" i="10"/>
  <c r="J117" i="10"/>
  <c r="I117" i="10"/>
  <c r="W116" i="10"/>
  <c r="Y116" i="10" s="1"/>
  <c r="V116" i="10"/>
  <c r="U116" i="10"/>
  <c r="O116" i="10"/>
  <c r="N116" i="10"/>
  <c r="J116" i="10"/>
  <c r="I116" i="10"/>
  <c r="W115" i="10"/>
  <c r="Y115" i="10" s="1"/>
  <c r="V115" i="10"/>
  <c r="U115" i="10"/>
  <c r="O115" i="10"/>
  <c r="N115" i="10"/>
  <c r="J115" i="10"/>
  <c r="I115" i="10"/>
  <c r="W114" i="10"/>
  <c r="Y114" i="10" s="1"/>
  <c r="V114" i="10"/>
  <c r="U114" i="10"/>
  <c r="O114" i="10"/>
  <c r="N114" i="10"/>
  <c r="J114" i="10"/>
  <c r="I114" i="10"/>
  <c r="W113" i="10"/>
  <c r="Y113" i="10" s="1"/>
  <c r="V113" i="10"/>
  <c r="U113" i="10"/>
  <c r="O113" i="10"/>
  <c r="N113" i="10"/>
  <c r="J113" i="10"/>
  <c r="I113" i="10"/>
  <c r="W112" i="10"/>
  <c r="Y112" i="10" s="1"/>
  <c r="V112" i="10"/>
  <c r="U112" i="10"/>
  <c r="O112" i="10"/>
  <c r="N112" i="10"/>
  <c r="J112" i="10"/>
  <c r="I112" i="10"/>
  <c r="W111" i="10"/>
  <c r="Y111" i="10" s="1"/>
  <c r="V111" i="10"/>
  <c r="U111" i="10"/>
  <c r="O111" i="10"/>
  <c r="N111" i="10"/>
  <c r="J111" i="10"/>
  <c r="I111" i="10"/>
  <c r="W110" i="10"/>
  <c r="Y110" i="10" s="1"/>
  <c r="V110" i="10"/>
  <c r="U110" i="10"/>
  <c r="O110" i="10"/>
  <c r="N110" i="10"/>
  <c r="J110" i="10"/>
  <c r="I110" i="10"/>
  <c r="W109" i="10"/>
  <c r="Y109" i="10" s="1"/>
  <c r="V109" i="10"/>
  <c r="U109" i="10"/>
  <c r="O109" i="10"/>
  <c r="N109" i="10"/>
  <c r="J109" i="10"/>
  <c r="I109" i="10"/>
  <c r="W108" i="10"/>
  <c r="Y108" i="10" s="1"/>
  <c r="V108" i="10"/>
  <c r="U108" i="10"/>
  <c r="O108" i="10"/>
  <c r="N108" i="10"/>
  <c r="J108" i="10"/>
  <c r="I108" i="10"/>
  <c r="W107" i="10"/>
  <c r="Y107" i="10" s="1"/>
  <c r="V107" i="10"/>
  <c r="U107" i="10"/>
  <c r="O107" i="10"/>
  <c r="N107" i="10"/>
  <c r="J107" i="10"/>
  <c r="I107" i="10"/>
  <c r="W106" i="10"/>
  <c r="Y106" i="10" s="1"/>
  <c r="V106" i="10"/>
  <c r="U106" i="10"/>
  <c r="O106" i="10"/>
  <c r="N106" i="10"/>
  <c r="J106" i="10"/>
  <c r="I106" i="10"/>
  <c r="W105" i="10"/>
  <c r="Y105" i="10" s="1"/>
  <c r="V105" i="10"/>
  <c r="U105" i="10"/>
  <c r="O105" i="10"/>
  <c r="N105" i="10"/>
  <c r="J105" i="10"/>
  <c r="I105" i="10"/>
  <c r="W104" i="10"/>
  <c r="Y104" i="10" s="1"/>
  <c r="V104" i="10"/>
  <c r="U104" i="10"/>
  <c r="O104" i="10"/>
  <c r="N104" i="10"/>
  <c r="J104" i="10"/>
  <c r="I104" i="10"/>
  <c r="W103" i="10"/>
  <c r="Y103" i="10" s="1"/>
  <c r="V103" i="10"/>
  <c r="U103" i="10"/>
  <c r="O103" i="10"/>
  <c r="N103" i="10"/>
  <c r="J103" i="10"/>
  <c r="I103" i="10"/>
  <c r="W102" i="10"/>
  <c r="Y102" i="10" s="1"/>
  <c r="V102" i="10"/>
  <c r="U102" i="10"/>
  <c r="O102" i="10"/>
  <c r="N102" i="10"/>
  <c r="J102" i="10"/>
  <c r="I102" i="10"/>
  <c r="W101" i="10"/>
  <c r="Y101" i="10" s="1"/>
  <c r="V101" i="10"/>
  <c r="U101" i="10"/>
  <c r="O101" i="10"/>
  <c r="N101" i="10"/>
  <c r="J101" i="10"/>
  <c r="I101" i="10"/>
  <c r="W100" i="10"/>
  <c r="Y100" i="10" s="1"/>
  <c r="V100" i="10"/>
  <c r="U100" i="10"/>
  <c r="O100" i="10"/>
  <c r="N100" i="10"/>
  <c r="J100" i="10"/>
  <c r="I100" i="10"/>
  <c r="W99" i="10"/>
  <c r="Y99" i="10" s="1"/>
  <c r="V99" i="10"/>
  <c r="U99" i="10"/>
  <c r="O99" i="10"/>
  <c r="N99" i="10"/>
  <c r="J99" i="10"/>
  <c r="I99" i="10"/>
  <c r="W98" i="10"/>
  <c r="Y98" i="10" s="1"/>
  <c r="V98" i="10"/>
  <c r="U98" i="10"/>
  <c r="O98" i="10"/>
  <c r="N98" i="10"/>
  <c r="J98" i="10"/>
  <c r="I98" i="10"/>
  <c r="W97" i="10"/>
  <c r="Y97" i="10" s="1"/>
  <c r="V97" i="10"/>
  <c r="U97" i="10"/>
  <c r="O97" i="10"/>
  <c r="N97" i="10"/>
  <c r="J97" i="10"/>
  <c r="I97" i="10"/>
  <c r="W96" i="10"/>
  <c r="Y96" i="10" s="1"/>
  <c r="V96" i="10"/>
  <c r="U96" i="10"/>
  <c r="O96" i="10"/>
  <c r="N96" i="10"/>
  <c r="J96" i="10"/>
  <c r="I96" i="10"/>
  <c r="W95" i="10"/>
  <c r="Y95" i="10" s="1"/>
  <c r="V95" i="10"/>
  <c r="U95" i="10"/>
  <c r="O95" i="10"/>
  <c r="N95" i="10"/>
  <c r="J95" i="10"/>
  <c r="I95" i="10"/>
  <c r="W94" i="10"/>
  <c r="Y94" i="10" s="1"/>
  <c r="V94" i="10"/>
  <c r="U94" i="10"/>
  <c r="O94" i="10"/>
  <c r="N94" i="10"/>
  <c r="J94" i="10"/>
  <c r="I94" i="10"/>
  <c r="W93" i="10"/>
  <c r="Y93" i="10" s="1"/>
  <c r="V93" i="10"/>
  <c r="U93" i="10"/>
  <c r="O93" i="10"/>
  <c r="N93" i="10"/>
  <c r="J93" i="10"/>
  <c r="I93" i="10"/>
  <c r="W92" i="10"/>
  <c r="Y92" i="10" s="1"/>
  <c r="V92" i="10"/>
  <c r="U92" i="10"/>
  <c r="O92" i="10"/>
  <c r="N92" i="10"/>
  <c r="J92" i="10"/>
  <c r="I92" i="10"/>
  <c r="W91" i="10"/>
  <c r="Y91" i="10" s="1"/>
  <c r="V91" i="10"/>
  <c r="U91" i="10"/>
  <c r="O91" i="10"/>
  <c r="N91" i="10"/>
  <c r="J91" i="10"/>
  <c r="I91" i="10"/>
  <c r="W90" i="10"/>
  <c r="Y90" i="10" s="1"/>
  <c r="V90" i="10"/>
  <c r="U90" i="10"/>
  <c r="O90" i="10"/>
  <c r="N90" i="10"/>
  <c r="J90" i="10"/>
  <c r="I90" i="10"/>
  <c r="W89" i="10"/>
  <c r="Y89" i="10" s="1"/>
  <c r="V89" i="10"/>
  <c r="U89" i="10"/>
  <c r="O89" i="10"/>
  <c r="N89" i="10"/>
  <c r="J89" i="10"/>
  <c r="I89" i="10"/>
  <c r="W88" i="10"/>
  <c r="Y88" i="10" s="1"/>
  <c r="V88" i="10"/>
  <c r="U88" i="10"/>
  <c r="O88" i="10"/>
  <c r="N88" i="10"/>
  <c r="J88" i="10"/>
  <c r="I88" i="10"/>
  <c r="W87" i="10"/>
  <c r="Y87" i="10" s="1"/>
  <c r="V87" i="10"/>
  <c r="U87" i="10"/>
  <c r="O87" i="10"/>
  <c r="N87" i="10"/>
  <c r="J87" i="10"/>
  <c r="I87" i="10"/>
  <c r="W86" i="10"/>
  <c r="Y86" i="10" s="1"/>
  <c r="V86" i="10"/>
  <c r="U86" i="10"/>
  <c r="O86" i="10"/>
  <c r="N86" i="10"/>
  <c r="J86" i="10"/>
  <c r="I86" i="10"/>
  <c r="W85" i="10"/>
  <c r="Y85" i="10" s="1"/>
  <c r="V85" i="10"/>
  <c r="U85" i="10"/>
  <c r="O85" i="10"/>
  <c r="N85" i="10"/>
  <c r="J85" i="10"/>
  <c r="I85" i="10"/>
  <c r="W84" i="10"/>
  <c r="Y84" i="10" s="1"/>
  <c r="V84" i="10"/>
  <c r="U84" i="10"/>
  <c r="O84" i="10"/>
  <c r="N84" i="10"/>
  <c r="J84" i="10"/>
  <c r="I84" i="10"/>
  <c r="W83" i="10"/>
  <c r="Y83" i="10" s="1"/>
  <c r="V83" i="10"/>
  <c r="U83" i="10"/>
  <c r="O83" i="10"/>
  <c r="N83" i="10"/>
  <c r="J83" i="10"/>
  <c r="I83" i="10"/>
  <c r="W82" i="10"/>
  <c r="Y82" i="10" s="1"/>
  <c r="V82" i="10"/>
  <c r="U82" i="10"/>
  <c r="O82" i="10"/>
  <c r="N82" i="10"/>
  <c r="J82" i="10"/>
  <c r="I82" i="10"/>
  <c r="W81" i="10"/>
  <c r="Y81" i="10" s="1"/>
  <c r="V81" i="10"/>
  <c r="U81" i="10"/>
  <c r="O81" i="10"/>
  <c r="N81" i="10"/>
  <c r="J81" i="10"/>
  <c r="I81" i="10"/>
  <c r="W80" i="10"/>
  <c r="Y80" i="10" s="1"/>
  <c r="V80" i="10"/>
  <c r="U80" i="10"/>
  <c r="O80" i="10"/>
  <c r="N80" i="10"/>
  <c r="J80" i="10"/>
  <c r="I80" i="10"/>
  <c r="W79" i="10"/>
  <c r="Y79" i="10" s="1"/>
  <c r="V79" i="10"/>
  <c r="U79" i="10"/>
  <c r="O79" i="10"/>
  <c r="N79" i="10"/>
  <c r="J79" i="10"/>
  <c r="I79" i="10"/>
  <c r="W78" i="10"/>
  <c r="Y78" i="10" s="1"/>
  <c r="V78" i="10"/>
  <c r="U78" i="10"/>
  <c r="O78" i="10"/>
  <c r="N78" i="10"/>
  <c r="J78" i="10"/>
  <c r="I78" i="10"/>
  <c r="W77" i="10"/>
  <c r="Y77" i="10" s="1"/>
  <c r="V77" i="10"/>
  <c r="U77" i="10"/>
  <c r="O77" i="10"/>
  <c r="N77" i="10"/>
  <c r="J77" i="10"/>
  <c r="I77" i="10"/>
  <c r="W76" i="10"/>
  <c r="Y76" i="10" s="1"/>
  <c r="V76" i="10"/>
  <c r="U76" i="10"/>
  <c r="O76" i="10"/>
  <c r="N76" i="10"/>
  <c r="J76" i="10"/>
  <c r="I76" i="10"/>
  <c r="W75" i="10"/>
  <c r="Y75" i="10" s="1"/>
  <c r="V75" i="10"/>
  <c r="U75" i="10"/>
  <c r="O75" i="10"/>
  <c r="N75" i="10"/>
  <c r="J75" i="10"/>
  <c r="I75" i="10"/>
  <c r="W74" i="10"/>
  <c r="Y74" i="10" s="1"/>
  <c r="V74" i="10"/>
  <c r="U74" i="10"/>
  <c r="O74" i="10"/>
  <c r="N74" i="10"/>
  <c r="J74" i="10"/>
  <c r="I74" i="10"/>
  <c r="W73" i="10"/>
  <c r="Y73" i="10" s="1"/>
  <c r="V73" i="10"/>
  <c r="U73" i="10"/>
  <c r="O73" i="10"/>
  <c r="N73" i="10"/>
  <c r="J73" i="10"/>
  <c r="I73" i="10"/>
  <c r="W72" i="10"/>
  <c r="Y72" i="10" s="1"/>
  <c r="V72" i="10"/>
  <c r="U72" i="10"/>
  <c r="O72" i="10"/>
  <c r="N72" i="10"/>
  <c r="J72" i="10"/>
  <c r="I72" i="10"/>
  <c r="W71" i="10"/>
  <c r="Y71" i="10" s="1"/>
  <c r="V71" i="10"/>
  <c r="U71" i="10"/>
  <c r="O71" i="10"/>
  <c r="N71" i="10"/>
  <c r="J71" i="10"/>
  <c r="I71" i="10"/>
  <c r="W70" i="10"/>
  <c r="Y70" i="10" s="1"/>
  <c r="V70" i="10"/>
  <c r="U70" i="10"/>
  <c r="O70" i="10"/>
  <c r="N70" i="10"/>
  <c r="J70" i="10"/>
  <c r="I70" i="10"/>
  <c r="W69" i="10"/>
  <c r="Y69" i="10" s="1"/>
  <c r="V69" i="10"/>
  <c r="U69" i="10"/>
  <c r="O69" i="10"/>
  <c r="N69" i="10"/>
  <c r="J69" i="10"/>
  <c r="I69" i="10"/>
  <c r="W68" i="10"/>
  <c r="Y68" i="10" s="1"/>
  <c r="V68" i="10"/>
  <c r="U68" i="10"/>
  <c r="O68" i="10"/>
  <c r="N68" i="10"/>
  <c r="J68" i="10"/>
  <c r="I68" i="10"/>
  <c r="W67" i="10"/>
  <c r="Y67" i="10" s="1"/>
  <c r="V67" i="10"/>
  <c r="U67" i="10"/>
  <c r="O67" i="10"/>
  <c r="N67" i="10"/>
  <c r="J67" i="10"/>
  <c r="I67" i="10"/>
  <c r="W66" i="10"/>
  <c r="Y66" i="10" s="1"/>
  <c r="V66" i="10"/>
  <c r="U66" i="10"/>
  <c r="O66" i="10"/>
  <c r="N66" i="10"/>
  <c r="J66" i="10"/>
  <c r="I66" i="10"/>
  <c r="W65" i="10"/>
  <c r="Y65" i="10" s="1"/>
  <c r="V65" i="10"/>
  <c r="U65" i="10"/>
  <c r="O65" i="10"/>
  <c r="N65" i="10"/>
  <c r="J65" i="10"/>
  <c r="I65" i="10"/>
  <c r="W64" i="10"/>
  <c r="Y64" i="10" s="1"/>
  <c r="V64" i="10"/>
  <c r="U64" i="10"/>
  <c r="O64" i="10"/>
  <c r="N64" i="10"/>
  <c r="J64" i="10"/>
  <c r="I64" i="10"/>
  <c r="W63" i="10"/>
  <c r="Y63" i="10" s="1"/>
  <c r="V63" i="10"/>
  <c r="U63" i="10"/>
  <c r="O63" i="10"/>
  <c r="N63" i="10"/>
  <c r="J63" i="10"/>
  <c r="I63" i="10"/>
  <c r="W62" i="10"/>
  <c r="Y62" i="10" s="1"/>
  <c r="V62" i="10"/>
  <c r="U62" i="10"/>
  <c r="O62" i="10"/>
  <c r="N62" i="10"/>
  <c r="J62" i="10"/>
  <c r="I62" i="10"/>
  <c r="W61" i="10"/>
  <c r="Y61" i="10" s="1"/>
  <c r="V61" i="10"/>
  <c r="U61" i="10"/>
  <c r="O61" i="10"/>
  <c r="N61" i="10"/>
  <c r="J61" i="10"/>
  <c r="I61" i="10"/>
  <c r="W60" i="10"/>
  <c r="Y60" i="10" s="1"/>
  <c r="V60" i="10"/>
  <c r="U60" i="10"/>
  <c r="O60" i="10"/>
  <c r="N60" i="10"/>
  <c r="J60" i="10"/>
  <c r="I60" i="10"/>
  <c r="W59" i="10"/>
  <c r="Y59" i="10" s="1"/>
  <c r="V59" i="10"/>
  <c r="U59" i="10"/>
  <c r="O59" i="10"/>
  <c r="N59" i="10"/>
  <c r="J59" i="10"/>
  <c r="I59" i="10"/>
  <c r="W58" i="10"/>
  <c r="Y58" i="10" s="1"/>
  <c r="V58" i="10"/>
  <c r="U58" i="10"/>
  <c r="O58" i="10"/>
  <c r="N58" i="10"/>
  <c r="J58" i="10"/>
  <c r="I58" i="10"/>
  <c r="W57" i="10"/>
  <c r="Y57" i="10" s="1"/>
  <c r="V57" i="10"/>
  <c r="U57" i="10"/>
  <c r="O57" i="10"/>
  <c r="N57" i="10"/>
  <c r="J57" i="10"/>
  <c r="I57" i="10"/>
  <c r="W56" i="10"/>
  <c r="Y56" i="10" s="1"/>
  <c r="V56" i="10"/>
  <c r="U56" i="10"/>
  <c r="O56" i="10"/>
  <c r="N56" i="10"/>
  <c r="J56" i="10"/>
  <c r="I56" i="10"/>
  <c r="W55" i="10"/>
  <c r="Y55" i="10" s="1"/>
  <c r="V55" i="10"/>
  <c r="U55" i="10"/>
  <c r="O55" i="10"/>
  <c r="N55" i="10"/>
  <c r="J55" i="10"/>
  <c r="I55" i="10"/>
  <c r="W54" i="10"/>
  <c r="Y54" i="10" s="1"/>
  <c r="V54" i="10"/>
  <c r="U54" i="10"/>
  <c r="O54" i="10"/>
  <c r="N54" i="10"/>
  <c r="J54" i="10"/>
  <c r="I54" i="10"/>
  <c r="W53" i="10"/>
  <c r="Y53" i="10" s="1"/>
  <c r="V53" i="10"/>
  <c r="U53" i="10"/>
  <c r="O53" i="10"/>
  <c r="N53" i="10"/>
  <c r="J53" i="10"/>
  <c r="I53" i="10"/>
  <c r="W52" i="10"/>
  <c r="Y52" i="10" s="1"/>
  <c r="V52" i="10"/>
  <c r="U52" i="10"/>
  <c r="O52" i="10"/>
  <c r="N52" i="10"/>
  <c r="J52" i="10"/>
  <c r="I52" i="10"/>
  <c r="W51" i="10"/>
  <c r="Y51" i="10" s="1"/>
  <c r="V51" i="10"/>
  <c r="U51" i="10"/>
  <c r="O51" i="10"/>
  <c r="N51" i="10"/>
  <c r="J51" i="10"/>
  <c r="I51" i="10"/>
  <c r="W50" i="10"/>
  <c r="Y50" i="10" s="1"/>
  <c r="V50" i="10"/>
  <c r="U50" i="10"/>
  <c r="O50" i="10"/>
  <c r="N50" i="10"/>
  <c r="J50" i="10"/>
  <c r="I50" i="10"/>
  <c r="W49" i="10"/>
  <c r="Y49" i="10" s="1"/>
  <c r="V49" i="10"/>
  <c r="U49" i="10"/>
  <c r="O49" i="10"/>
  <c r="N49" i="10"/>
  <c r="J49" i="10"/>
  <c r="I49" i="10"/>
  <c r="W48" i="10"/>
  <c r="Y48" i="10" s="1"/>
  <c r="V48" i="10"/>
  <c r="U48" i="10"/>
  <c r="O48" i="10"/>
  <c r="N48" i="10"/>
  <c r="J48" i="10"/>
  <c r="I48" i="10"/>
  <c r="W47" i="10"/>
  <c r="Y47" i="10" s="1"/>
  <c r="V47" i="10"/>
  <c r="U47" i="10"/>
  <c r="O47" i="10"/>
  <c r="N47" i="10"/>
  <c r="J47" i="10"/>
  <c r="I47" i="10"/>
  <c r="W46" i="10"/>
  <c r="Y46" i="10" s="1"/>
  <c r="V46" i="10"/>
  <c r="U46" i="10"/>
  <c r="O46" i="10"/>
  <c r="N46" i="10"/>
  <c r="J46" i="10"/>
  <c r="I46" i="10"/>
  <c r="W45" i="10"/>
  <c r="Y45" i="10" s="1"/>
  <c r="V45" i="10"/>
  <c r="U45" i="10"/>
  <c r="O45" i="10"/>
  <c r="N45" i="10"/>
  <c r="J45" i="10"/>
  <c r="I45" i="10"/>
  <c r="W44" i="10"/>
  <c r="Y44" i="10" s="1"/>
  <c r="V44" i="10"/>
  <c r="U44" i="10"/>
  <c r="O44" i="10"/>
  <c r="N44" i="10"/>
  <c r="J44" i="10"/>
  <c r="I44" i="10"/>
  <c r="W43" i="10"/>
  <c r="Y43" i="10" s="1"/>
  <c r="V43" i="10"/>
  <c r="U43" i="10"/>
  <c r="O43" i="10"/>
  <c r="N43" i="10"/>
  <c r="J43" i="10"/>
  <c r="I43" i="10"/>
  <c r="W42" i="10"/>
  <c r="Y42" i="10" s="1"/>
  <c r="V42" i="10"/>
  <c r="U42" i="10"/>
  <c r="O42" i="10"/>
  <c r="N42" i="10"/>
  <c r="J42" i="10"/>
  <c r="I42" i="10"/>
  <c r="W41" i="10"/>
  <c r="Y41" i="10" s="1"/>
  <c r="V41" i="10"/>
  <c r="U41" i="10"/>
  <c r="O41" i="10"/>
  <c r="N41" i="10"/>
  <c r="J41" i="10"/>
  <c r="I41" i="10"/>
  <c r="W40" i="10"/>
  <c r="Y40" i="10" s="1"/>
  <c r="V40" i="10"/>
  <c r="U40" i="10"/>
  <c r="O40" i="10"/>
  <c r="N40" i="10"/>
  <c r="J40" i="10"/>
  <c r="I40" i="10"/>
  <c r="W39" i="10"/>
  <c r="Y39" i="10" s="1"/>
  <c r="V39" i="10"/>
  <c r="U39" i="10"/>
  <c r="O39" i="10"/>
  <c r="N39" i="10"/>
  <c r="J39" i="10"/>
  <c r="I39" i="10"/>
  <c r="W38" i="10"/>
  <c r="Y38" i="10" s="1"/>
  <c r="V38" i="10"/>
  <c r="U38" i="10"/>
  <c r="O38" i="10"/>
  <c r="N38" i="10"/>
  <c r="J38" i="10"/>
  <c r="I38" i="10"/>
  <c r="W37" i="10"/>
  <c r="Y37" i="10" s="1"/>
  <c r="V37" i="10"/>
  <c r="U37" i="10"/>
  <c r="O37" i="10"/>
  <c r="N37" i="10"/>
  <c r="J37" i="10"/>
  <c r="I37" i="10"/>
  <c r="W36" i="10"/>
  <c r="Y36" i="10" s="1"/>
  <c r="V36" i="10"/>
  <c r="U36" i="10"/>
  <c r="O36" i="10"/>
  <c r="N36" i="10"/>
  <c r="J36" i="10"/>
  <c r="I36" i="10"/>
  <c r="W35" i="10"/>
  <c r="Y35" i="10" s="1"/>
  <c r="V35" i="10"/>
  <c r="U35" i="10"/>
  <c r="O35" i="10"/>
  <c r="N35" i="10"/>
  <c r="J35" i="10"/>
  <c r="I35" i="10"/>
  <c r="W34" i="10"/>
  <c r="Y34" i="10" s="1"/>
  <c r="V34" i="10"/>
  <c r="U34" i="10"/>
  <c r="O34" i="10"/>
  <c r="N34" i="10"/>
  <c r="J34" i="10"/>
  <c r="I34" i="10"/>
  <c r="W33" i="10"/>
  <c r="Y33" i="10" s="1"/>
  <c r="V33" i="10"/>
  <c r="U33" i="10"/>
  <c r="O33" i="10"/>
  <c r="N33" i="10"/>
  <c r="J33" i="10"/>
  <c r="I33" i="10"/>
  <c r="W32" i="10"/>
  <c r="Y32" i="10" s="1"/>
  <c r="V32" i="10"/>
  <c r="U32" i="10"/>
  <c r="O32" i="10"/>
  <c r="N32" i="10"/>
  <c r="J32" i="10"/>
  <c r="I32" i="10"/>
  <c r="W31" i="10"/>
  <c r="Y31" i="10" s="1"/>
  <c r="V31" i="10"/>
  <c r="U31" i="10"/>
  <c r="O31" i="10"/>
  <c r="N31" i="10"/>
  <c r="J31" i="10"/>
  <c r="I31" i="10"/>
  <c r="W30" i="10"/>
  <c r="Y30" i="10" s="1"/>
  <c r="V30" i="10"/>
  <c r="U30" i="10"/>
  <c r="O30" i="10"/>
  <c r="N30" i="10"/>
  <c r="J30" i="10"/>
  <c r="I30" i="10"/>
  <c r="W29" i="10"/>
  <c r="Y29" i="10" s="1"/>
  <c r="V29" i="10"/>
  <c r="U29" i="10"/>
  <c r="O29" i="10"/>
  <c r="N29" i="10"/>
  <c r="J29" i="10"/>
  <c r="I29" i="10"/>
  <c r="W28" i="10"/>
  <c r="Y28" i="10" s="1"/>
  <c r="V28" i="10"/>
  <c r="U28" i="10"/>
  <c r="O28" i="10"/>
  <c r="N28" i="10"/>
  <c r="J28" i="10"/>
  <c r="I28" i="10"/>
  <c r="W27" i="10"/>
  <c r="Y27" i="10" s="1"/>
  <c r="V27" i="10"/>
  <c r="U27" i="10"/>
  <c r="O27" i="10"/>
  <c r="N27" i="10"/>
  <c r="J27" i="10"/>
  <c r="I27" i="10"/>
  <c r="W26" i="10"/>
  <c r="Y26" i="10" s="1"/>
  <c r="V26" i="10"/>
  <c r="U26" i="10"/>
  <c r="O26" i="10"/>
  <c r="N26" i="10"/>
  <c r="J26" i="10"/>
  <c r="I26" i="10"/>
  <c r="W25" i="10"/>
  <c r="Y25" i="10" s="1"/>
  <c r="V25" i="10"/>
  <c r="U25" i="10"/>
  <c r="O25" i="10"/>
  <c r="N25" i="10"/>
  <c r="J25" i="10"/>
  <c r="I25" i="10"/>
  <c r="W24" i="10"/>
  <c r="V24" i="10"/>
  <c r="U24" i="10"/>
  <c r="O24" i="10"/>
  <c r="N24" i="10"/>
  <c r="J24" i="10"/>
  <c r="I24" i="10"/>
  <c r="W23" i="10"/>
  <c r="V23" i="10"/>
  <c r="U23" i="10"/>
  <c r="O23" i="10"/>
  <c r="N23" i="10"/>
  <c r="J23" i="10"/>
  <c r="I23" i="10"/>
  <c r="W22" i="10"/>
  <c r="Y22" i="10" s="1"/>
  <c r="V22" i="10"/>
  <c r="U22" i="10"/>
  <c r="O22" i="10"/>
  <c r="N22" i="10"/>
  <c r="J22" i="10"/>
  <c r="I22" i="10"/>
  <c r="W21" i="10"/>
  <c r="V21" i="10"/>
  <c r="U21" i="10"/>
  <c r="O21" i="10"/>
  <c r="N21" i="10"/>
  <c r="J21" i="10"/>
  <c r="I21" i="10"/>
  <c r="W20" i="10"/>
  <c r="V20" i="10"/>
  <c r="U20" i="10"/>
  <c r="O20" i="10"/>
  <c r="N20" i="10"/>
  <c r="J20" i="10"/>
  <c r="I20" i="10"/>
  <c r="W19" i="10"/>
  <c r="V19" i="10"/>
  <c r="U19" i="10"/>
  <c r="O19" i="10"/>
  <c r="N19" i="10"/>
  <c r="J19" i="10"/>
  <c r="I19" i="10"/>
  <c r="W18" i="10"/>
  <c r="Y18" i="10" s="1"/>
  <c r="V18" i="10"/>
  <c r="U18" i="10"/>
  <c r="O18" i="10"/>
  <c r="N18" i="10"/>
  <c r="J18" i="10"/>
  <c r="I18" i="10"/>
  <c r="W17" i="10"/>
  <c r="V17" i="10"/>
  <c r="U17" i="10"/>
  <c r="O17" i="10"/>
  <c r="N17" i="10"/>
  <c r="J17" i="10"/>
  <c r="I17" i="10"/>
  <c r="W16" i="10"/>
  <c r="Y16" i="10" s="1"/>
  <c r="V16" i="10"/>
  <c r="U16" i="10"/>
  <c r="O16" i="10"/>
  <c r="N16" i="10"/>
  <c r="J16" i="10"/>
  <c r="I16" i="10"/>
  <c r="W15" i="10"/>
  <c r="V15" i="10"/>
  <c r="U15" i="10"/>
  <c r="O15" i="10"/>
  <c r="N15" i="10"/>
  <c r="J15" i="10"/>
  <c r="I15" i="10"/>
  <c r="W14" i="10"/>
  <c r="V14" i="10"/>
  <c r="U14" i="10"/>
  <c r="O14" i="10"/>
  <c r="N14" i="10"/>
  <c r="J14" i="10"/>
  <c r="I14" i="10"/>
  <c r="W13" i="10"/>
  <c r="Y13" i="10" s="1"/>
  <c r="V13" i="10"/>
  <c r="U13" i="10"/>
  <c r="O13" i="10"/>
  <c r="N13" i="10"/>
  <c r="J13" i="10"/>
  <c r="I13" i="10"/>
  <c r="W12" i="10"/>
  <c r="Y12" i="10" s="1"/>
  <c r="V12" i="10"/>
  <c r="U12" i="10"/>
  <c r="O12" i="10"/>
  <c r="N12" i="10"/>
  <c r="J12" i="10"/>
  <c r="I12" i="10"/>
  <c r="W11" i="10"/>
  <c r="V11" i="10"/>
  <c r="U11" i="10"/>
  <c r="O11" i="10"/>
  <c r="N11" i="10"/>
  <c r="J11" i="10"/>
  <c r="I11" i="10"/>
  <c r="W10" i="10"/>
  <c r="V10" i="10"/>
  <c r="U10" i="10"/>
  <c r="O10" i="10"/>
  <c r="N10" i="10"/>
  <c r="J10" i="10"/>
  <c r="I10" i="10"/>
  <c r="W9" i="10"/>
  <c r="Y9" i="10" s="1"/>
  <c r="V9" i="10"/>
  <c r="U9" i="10"/>
  <c r="O9" i="10"/>
  <c r="N9" i="10"/>
  <c r="J9" i="10"/>
  <c r="I9" i="10"/>
  <c r="W8" i="10"/>
  <c r="V8" i="10"/>
  <c r="U8" i="10"/>
  <c r="O8" i="10"/>
  <c r="N8" i="10"/>
  <c r="J8" i="10"/>
  <c r="I8" i="10"/>
  <c r="W7" i="10"/>
  <c r="V7" i="10"/>
  <c r="U7" i="10"/>
  <c r="O7" i="10"/>
  <c r="N7" i="10"/>
  <c r="J7" i="10"/>
  <c r="I7" i="10"/>
  <c r="W6" i="10"/>
  <c r="Y6" i="10" s="1"/>
  <c r="V6" i="10"/>
  <c r="U6" i="10"/>
  <c r="O6" i="10"/>
  <c r="N6" i="10"/>
  <c r="J6" i="10"/>
  <c r="I6" i="10"/>
  <c r="W5" i="10"/>
  <c r="Y5" i="10" s="1"/>
  <c r="V5" i="10"/>
  <c r="U5" i="10"/>
  <c r="O5" i="10"/>
  <c r="N5" i="10"/>
  <c r="J5" i="10"/>
  <c r="I5" i="10"/>
  <c r="W4" i="10"/>
  <c r="V4" i="10"/>
  <c r="U4" i="10"/>
  <c r="O4" i="10"/>
  <c r="N4" i="10"/>
  <c r="J4" i="10"/>
  <c r="I4" i="10"/>
  <c r="W3" i="10"/>
  <c r="V3" i="10"/>
  <c r="U3" i="10"/>
  <c r="O3" i="10"/>
  <c r="N3" i="10"/>
  <c r="J3" i="10"/>
  <c r="I3" i="10"/>
  <c r="K202" i="13" l="1"/>
  <c r="K208" i="13"/>
  <c r="K333" i="13"/>
  <c r="K334" i="13"/>
  <c r="K335" i="13"/>
  <c r="K336" i="13"/>
  <c r="K338" i="13"/>
  <c r="K337" i="13"/>
  <c r="AM42" i="13"/>
  <c r="AM41" i="13"/>
  <c r="AM45" i="13"/>
  <c r="AM40" i="13"/>
  <c r="AM43" i="13"/>
  <c r="AM44" i="13"/>
  <c r="AM39" i="13"/>
  <c r="AM38" i="13"/>
  <c r="AM37" i="13"/>
  <c r="AM36" i="13"/>
  <c r="AM46" i="13"/>
  <c r="AM35" i="13"/>
  <c r="K203" i="13"/>
  <c r="K207" i="13"/>
  <c r="J211" i="13"/>
  <c r="I150" i="13"/>
  <c r="I208" i="13"/>
  <c r="H147" i="13"/>
  <c r="K198" i="13"/>
  <c r="H155" i="13"/>
  <c r="I216" i="13"/>
  <c r="K199" i="13"/>
  <c r="I136" i="13"/>
  <c r="J197" i="13"/>
  <c r="I201" i="13"/>
  <c r="H140" i="13"/>
  <c r="H144" i="13"/>
  <c r="I205" i="13"/>
  <c r="K209" i="13"/>
  <c r="K213" i="13"/>
  <c r="I154" i="13"/>
  <c r="J215" i="13"/>
  <c r="I217" i="13"/>
  <c r="H156" i="13"/>
  <c r="I215" i="13"/>
  <c r="H154" i="13"/>
  <c r="K217" i="13"/>
  <c r="J212" i="13"/>
  <c r="I151" i="13"/>
  <c r="K210" i="13"/>
  <c r="I157" i="13"/>
  <c r="J218" i="13"/>
  <c r="I142" i="13"/>
  <c r="J203" i="13"/>
  <c r="K212" i="13"/>
  <c r="I137" i="13"/>
  <c r="J198" i="13"/>
  <c r="I143" i="13"/>
  <c r="J204" i="13"/>
  <c r="H141" i="13"/>
  <c r="I202" i="13"/>
  <c r="I211" i="13"/>
  <c r="H150" i="13"/>
  <c r="I197" i="13"/>
  <c r="H136" i="13"/>
  <c r="J207" i="13"/>
  <c r="I146" i="13"/>
  <c r="H153" i="13"/>
  <c r="I214" i="13"/>
  <c r="K218" i="13"/>
  <c r="H143" i="13"/>
  <c r="I204" i="13"/>
  <c r="J208" i="13"/>
  <c r="I147" i="13"/>
  <c r="I207" i="13"/>
  <c r="H146" i="13"/>
  <c r="K201" i="13"/>
  <c r="I144" i="13"/>
  <c r="J205" i="13"/>
  <c r="I209" i="13"/>
  <c r="H148" i="13"/>
  <c r="K205" i="13"/>
  <c r="K211" i="13"/>
  <c r="J201" i="13"/>
  <c r="I140" i="13"/>
  <c r="I200" i="13"/>
  <c r="H139" i="13"/>
  <c r="I149" i="13"/>
  <c r="J210" i="13"/>
  <c r="H157" i="13"/>
  <c r="I218" i="13"/>
  <c r="I145" i="13"/>
  <c r="J206" i="13"/>
  <c r="K197" i="13"/>
  <c r="K214" i="13"/>
  <c r="K200" i="13"/>
  <c r="I212" i="13"/>
  <c r="H151" i="13"/>
  <c r="I155" i="13"/>
  <c r="J216" i="13"/>
  <c r="H137" i="13"/>
  <c r="I198" i="13"/>
  <c r="I141" i="13"/>
  <c r="J202" i="13"/>
  <c r="H145" i="13"/>
  <c r="I206" i="13"/>
  <c r="I203" i="13"/>
  <c r="H142" i="13"/>
  <c r="J199" i="13"/>
  <c r="I138" i="13"/>
  <c r="J200" i="13"/>
  <c r="I139" i="13"/>
  <c r="H149" i="13"/>
  <c r="I210" i="13"/>
  <c r="I213" i="13"/>
  <c r="H152" i="13"/>
  <c r="I156" i="13"/>
  <c r="J217" i="13"/>
  <c r="I199" i="13"/>
  <c r="H138" i="13"/>
  <c r="J213" i="13"/>
  <c r="I152" i="13"/>
  <c r="K204" i="13"/>
  <c r="K206" i="13"/>
  <c r="I153" i="13"/>
  <c r="J214" i="13"/>
  <c r="K215" i="13"/>
  <c r="I148" i="13"/>
  <c r="J209" i="13"/>
  <c r="K234" i="13"/>
  <c r="M136" i="13"/>
  <c r="I223" i="13"/>
  <c r="K225" i="13"/>
  <c r="J233" i="13"/>
  <c r="N136" i="13"/>
  <c r="J223" i="13"/>
  <c r="I231" i="13"/>
  <c r="K235" i="13"/>
  <c r="K239" i="13"/>
  <c r="J241" i="13"/>
  <c r="I243" i="13"/>
  <c r="I241" i="13"/>
  <c r="K228" i="13"/>
  <c r="M141" i="13"/>
  <c r="I228" i="13"/>
  <c r="I242" i="13"/>
  <c r="M139" i="13"/>
  <c r="I226" i="13"/>
  <c r="J226" i="13"/>
  <c r="K232" i="13"/>
  <c r="M149" i="13"/>
  <c r="I236" i="13"/>
  <c r="K241" i="13"/>
  <c r="J229" i="13"/>
  <c r="I227" i="13"/>
  <c r="K238" i="13"/>
  <c r="J224" i="13"/>
  <c r="I240" i="13"/>
  <c r="K244" i="13"/>
  <c r="I230" i="13"/>
  <c r="J234" i="13"/>
  <c r="N152" i="13"/>
  <c r="J239" i="13"/>
  <c r="K243" i="13"/>
  <c r="J225" i="13"/>
  <c r="K229" i="13"/>
  <c r="I233" i="13"/>
  <c r="K233" i="13"/>
  <c r="N151" i="13"/>
  <c r="J238" i="13"/>
  <c r="J237" i="13"/>
  <c r="K227" i="13"/>
  <c r="J231" i="13"/>
  <c r="M148" i="13"/>
  <c r="I235" i="13"/>
  <c r="K231" i="13"/>
  <c r="K237" i="13"/>
  <c r="J227" i="13"/>
  <c r="K223" i="13"/>
  <c r="J236" i="13"/>
  <c r="K240" i="13"/>
  <c r="M157" i="13"/>
  <c r="I244" i="13"/>
  <c r="K226" i="13"/>
  <c r="I238" i="13"/>
  <c r="J242" i="13"/>
  <c r="M137" i="13"/>
  <c r="I224" i="13"/>
  <c r="J228" i="13"/>
  <c r="I232" i="13"/>
  <c r="I229" i="13"/>
  <c r="K242" i="13"/>
  <c r="I234" i="13"/>
  <c r="K224" i="13"/>
  <c r="J244" i="13"/>
  <c r="I239" i="13"/>
  <c r="J243" i="13"/>
  <c r="I225" i="13"/>
  <c r="N145" i="13"/>
  <c r="J232" i="13"/>
  <c r="N143" i="13"/>
  <c r="J230" i="13"/>
  <c r="K230" i="13"/>
  <c r="J240" i="13"/>
  <c r="K236" i="13"/>
  <c r="I237" i="13"/>
  <c r="J235" i="13"/>
  <c r="N142" i="13"/>
  <c r="M146" i="13"/>
  <c r="N139" i="13"/>
  <c r="N148" i="13"/>
  <c r="M140" i="13"/>
  <c r="M144" i="13"/>
  <c r="N154" i="13"/>
  <c r="M156" i="13"/>
  <c r="M154" i="13"/>
  <c r="M155" i="13"/>
  <c r="M150" i="13"/>
  <c r="N137" i="13"/>
  <c r="M147" i="13"/>
  <c r="N146" i="13"/>
  <c r="M153" i="13"/>
  <c r="M143" i="13"/>
  <c r="N147" i="13"/>
  <c r="N138" i="13"/>
  <c r="N144" i="13"/>
  <c r="N140" i="13"/>
  <c r="N150" i="13"/>
  <c r="N149" i="13"/>
  <c r="M151" i="13"/>
  <c r="N155" i="13"/>
  <c r="N141" i="13"/>
  <c r="M145" i="13"/>
  <c r="M142" i="13"/>
  <c r="N153" i="13"/>
  <c r="N157" i="13"/>
  <c r="M152" i="13"/>
  <c r="N156" i="13"/>
  <c r="M138" i="13"/>
  <c r="M16" i="7"/>
  <c r="R157" i="13"/>
  <c r="G118" i="13"/>
  <c r="AD21" i="10"/>
  <c r="AE21" i="10"/>
  <c r="AD25" i="10"/>
  <c r="AE25" i="10"/>
  <c r="AD29" i="10"/>
  <c r="AE29" i="10"/>
  <c r="AD33" i="10"/>
  <c r="AE33" i="10"/>
  <c r="AD37" i="10"/>
  <c r="AE37" i="10"/>
  <c r="AE152" i="10"/>
  <c r="AD152" i="10"/>
  <c r="AE156" i="10"/>
  <c r="AD156" i="10"/>
  <c r="AD160" i="10"/>
  <c r="AE160" i="10"/>
  <c r="AE164" i="10"/>
  <c r="AD164" i="10"/>
  <c r="AE168" i="10"/>
  <c r="AD168" i="10"/>
  <c r="AD172" i="10"/>
  <c r="AE172" i="10"/>
  <c r="AE254" i="10"/>
  <c r="AD254" i="10"/>
  <c r="AD258" i="10"/>
  <c r="AE258" i="10"/>
  <c r="AD262" i="10"/>
  <c r="AE262" i="10"/>
  <c r="AE266" i="10"/>
  <c r="AD266" i="10"/>
  <c r="AD270" i="10"/>
  <c r="AE270" i="10"/>
  <c r="AD274" i="10"/>
  <c r="AE274" i="10"/>
  <c r="AD293" i="10"/>
  <c r="AE293" i="10"/>
  <c r="AD297" i="10"/>
  <c r="AE297" i="10"/>
  <c r="AD301" i="10"/>
  <c r="AE301" i="10"/>
  <c r="AD305" i="10"/>
  <c r="AE305" i="10"/>
  <c r="AD397" i="10"/>
  <c r="AE397" i="10"/>
  <c r="AD401" i="10"/>
  <c r="AE401" i="10"/>
  <c r="AD416" i="10"/>
  <c r="AE416" i="10"/>
  <c r="AD420" i="10"/>
  <c r="AE420" i="10"/>
  <c r="AE5" i="10"/>
  <c r="AD5" i="10"/>
  <c r="AD9" i="10"/>
  <c r="AE9" i="10"/>
  <c r="AD13" i="10"/>
  <c r="AE13" i="10"/>
  <c r="AE60" i="10"/>
  <c r="AD60" i="10"/>
  <c r="AD64" i="10"/>
  <c r="AE64" i="10"/>
  <c r="AD68" i="10"/>
  <c r="AE68" i="10"/>
  <c r="AD72" i="10"/>
  <c r="AE72" i="10"/>
  <c r="AD76" i="10"/>
  <c r="AE76" i="10"/>
  <c r="AD80" i="10"/>
  <c r="AE80" i="10"/>
  <c r="AD84" i="10"/>
  <c r="AE84" i="10"/>
  <c r="AD88" i="10"/>
  <c r="AE88" i="10"/>
  <c r="AE92" i="10"/>
  <c r="AD92" i="10"/>
  <c r="AE96" i="10"/>
  <c r="AD96" i="10"/>
  <c r="AD100" i="10"/>
  <c r="AE100" i="10"/>
  <c r="AD104" i="10"/>
  <c r="AE104" i="10"/>
  <c r="AD108" i="10"/>
  <c r="AE108" i="10"/>
  <c r="AD112" i="10"/>
  <c r="AE112" i="10"/>
  <c r="AD116" i="10"/>
  <c r="AE116" i="10"/>
  <c r="AE120" i="10"/>
  <c r="AD120" i="10"/>
  <c r="AD124" i="10"/>
  <c r="AE124" i="10"/>
  <c r="AE128" i="10"/>
  <c r="AD128" i="10"/>
  <c r="AE132" i="10"/>
  <c r="AD132" i="10"/>
  <c r="AD136" i="10"/>
  <c r="AE136" i="10"/>
  <c r="AD140" i="10"/>
  <c r="AE140" i="10"/>
  <c r="AD144" i="10"/>
  <c r="AE144" i="10"/>
  <c r="AE199" i="10"/>
  <c r="AD199" i="10"/>
  <c r="AE203" i="10"/>
  <c r="AD203" i="10"/>
  <c r="AE207" i="10"/>
  <c r="AD207" i="10"/>
  <c r="AE211" i="10"/>
  <c r="AD211" i="10"/>
  <c r="AE215" i="10"/>
  <c r="AD215" i="10"/>
  <c r="AE219" i="10"/>
  <c r="AD219" i="10"/>
  <c r="AE223" i="10"/>
  <c r="AD223" i="10"/>
  <c r="AE227" i="10"/>
  <c r="AD227" i="10"/>
  <c r="AD285" i="10"/>
  <c r="AE285" i="10"/>
  <c r="AD289" i="10"/>
  <c r="AE289" i="10"/>
  <c r="AD324" i="10"/>
  <c r="AE324" i="10"/>
  <c r="AD328" i="10"/>
  <c r="AE328" i="10"/>
  <c r="AE347" i="10"/>
  <c r="AD347" i="10"/>
  <c r="AE351" i="10"/>
  <c r="AD351" i="10"/>
  <c r="AE374" i="10"/>
  <c r="AD374" i="10"/>
  <c r="AD378" i="10"/>
  <c r="AE378" i="10"/>
  <c r="AD382" i="10"/>
  <c r="AE382" i="10"/>
  <c r="AD393" i="10"/>
  <c r="AE393" i="10"/>
  <c r="AE439" i="10"/>
  <c r="AD439" i="10"/>
  <c r="AE443" i="10"/>
  <c r="AD443" i="10"/>
  <c r="AE447" i="10"/>
  <c r="AD447" i="10"/>
  <c r="AE451" i="10"/>
  <c r="AD451" i="10"/>
  <c r="AE455" i="10"/>
  <c r="AD455" i="10"/>
  <c r="AD462" i="10"/>
  <c r="AE462" i="10"/>
  <c r="AD476" i="10"/>
  <c r="AE476" i="10"/>
  <c r="AD20" i="10"/>
  <c r="AE20" i="10"/>
  <c r="AE24" i="10"/>
  <c r="AD24" i="10"/>
  <c r="AD40" i="10"/>
  <c r="AE40" i="10"/>
  <c r="AD17" i="10"/>
  <c r="AE17" i="10"/>
  <c r="AD176" i="10"/>
  <c r="AE176" i="10"/>
  <c r="AD180" i="10"/>
  <c r="AE180" i="10"/>
  <c r="AD184" i="10"/>
  <c r="AE184" i="10"/>
  <c r="AD188" i="10"/>
  <c r="AE188" i="10"/>
  <c r="AD192" i="10"/>
  <c r="AE192" i="10"/>
  <c r="AE235" i="10"/>
  <c r="AD235" i="10"/>
  <c r="AE239" i="10"/>
  <c r="AD239" i="10"/>
  <c r="AD332" i="10"/>
  <c r="AE332" i="10"/>
  <c r="AD336" i="10"/>
  <c r="AE336" i="10"/>
  <c r="AE355" i="10"/>
  <c r="AD355" i="10"/>
  <c r="AE359" i="10"/>
  <c r="AD359" i="10"/>
  <c r="AE363" i="10"/>
  <c r="AD363" i="10"/>
  <c r="AE44" i="10"/>
  <c r="AD44" i="10"/>
  <c r="AE48" i="10"/>
  <c r="AD48" i="10"/>
  <c r="AD52" i="10"/>
  <c r="AE52" i="10"/>
  <c r="AD56" i="10"/>
  <c r="AE56" i="10"/>
  <c r="AD246" i="10"/>
  <c r="AE246" i="10"/>
  <c r="AD250" i="10"/>
  <c r="AE250" i="10"/>
  <c r="AD277" i="10"/>
  <c r="AE277" i="10"/>
  <c r="AD281" i="10"/>
  <c r="AE281" i="10"/>
  <c r="AD308" i="10"/>
  <c r="AE308" i="10"/>
  <c r="AD312" i="10"/>
  <c r="AE312" i="10"/>
  <c r="AD316" i="10"/>
  <c r="AE316" i="10"/>
  <c r="AE320" i="10"/>
  <c r="AD320" i="10"/>
  <c r="AE343" i="10"/>
  <c r="AD343" i="10"/>
  <c r="AD370" i="10"/>
  <c r="AE370" i="10"/>
  <c r="AD408" i="10"/>
  <c r="AE408" i="10"/>
  <c r="AD412" i="10"/>
  <c r="AE412" i="10"/>
  <c r="AE423" i="10"/>
  <c r="AD423" i="10"/>
  <c r="AE427" i="10"/>
  <c r="AD427" i="10"/>
  <c r="AE431" i="10"/>
  <c r="AD431" i="10"/>
  <c r="AE435" i="10"/>
  <c r="AD435" i="10"/>
  <c r="AE491" i="10"/>
  <c r="AD491" i="10"/>
  <c r="AE43" i="10"/>
  <c r="AD43" i="10"/>
  <c r="AE47" i="10"/>
  <c r="AD47" i="10"/>
  <c r="AE51" i="10"/>
  <c r="AD51" i="10"/>
  <c r="AE55" i="10"/>
  <c r="AD55" i="10"/>
  <c r="AD245" i="10"/>
  <c r="AE245" i="10"/>
  <c r="AD249" i="10"/>
  <c r="AE249" i="10"/>
  <c r="AD280" i="10"/>
  <c r="AE280" i="10"/>
  <c r="AE307" i="10"/>
  <c r="AD307" i="10"/>
  <c r="AE311" i="10"/>
  <c r="AD311" i="10"/>
  <c r="AE315" i="10"/>
  <c r="AD315" i="10"/>
  <c r="AE319" i="10"/>
  <c r="AD319" i="10"/>
  <c r="AD342" i="10"/>
  <c r="AE342" i="10"/>
  <c r="AD369" i="10"/>
  <c r="AE369" i="10"/>
  <c r="AD388" i="10"/>
  <c r="AE388" i="10"/>
  <c r="AE407" i="10"/>
  <c r="AD407" i="10"/>
  <c r="AE411" i="10"/>
  <c r="AD411" i="10"/>
  <c r="AD426" i="10"/>
  <c r="AE426" i="10"/>
  <c r="AD430" i="10"/>
  <c r="AE430" i="10"/>
  <c r="AE434" i="10"/>
  <c r="AD434" i="10"/>
  <c r="AE32" i="10"/>
  <c r="AD32" i="10"/>
  <c r="AD36" i="10"/>
  <c r="AE36" i="10"/>
  <c r="AE151" i="10"/>
  <c r="AD151" i="10"/>
  <c r="AE159" i="10"/>
  <c r="AD159" i="10"/>
  <c r="AE179" i="10"/>
  <c r="AD179" i="10"/>
  <c r="AE187" i="10"/>
  <c r="AD187" i="10"/>
  <c r="AD238" i="10"/>
  <c r="AE238" i="10"/>
  <c r="AE242" i="10"/>
  <c r="AD242" i="10"/>
  <c r="AD265" i="10"/>
  <c r="AE265" i="10"/>
  <c r="AD273" i="10"/>
  <c r="AE273" i="10"/>
  <c r="AD404" i="10"/>
  <c r="AE404" i="10"/>
  <c r="AD501" i="10"/>
  <c r="AE501" i="10"/>
  <c r="D306" i="13"/>
  <c r="AE111" i="10"/>
  <c r="AD111" i="10"/>
  <c r="AE131" i="10"/>
  <c r="AD131" i="10"/>
  <c r="AE139" i="10"/>
  <c r="AD139" i="10"/>
  <c r="AD198" i="10"/>
  <c r="AE198" i="10"/>
  <c r="AD210" i="10"/>
  <c r="AE210" i="10"/>
  <c r="AD222" i="10"/>
  <c r="AE222" i="10"/>
  <c r="AE327" i="10"/>
  <c r="AD327" i="10"/>
  <c r="AD377" i="10"/>
  <c r="AE377" i="10"/>
  <c r="AD438" i="10"/>
  <c r="AE438" i="10"/>
  <c r="AD442" i="10"/>
  <c r="AE442" i="10"/>
  <c r="AE446" i="10"/>
  <c r="AD446" i="10"/>
  <c r="AD450" i="10"/>
  <c r="AE450" i="10"/>
  <c r="AD454" i="10"/>
  <c r="AE454" i="10"/>
  <c r="AD461" i="10"/>
  <c r="AE461" i="10"/>
  <c r="AD498" i="10"/>
  <c r="AE498" i="10"/>
  <c r="AE19" i="10"/>
  <c r="AD19" i="10"/>
  <c r="AE23" i="10"/>
  <c r="AD23" i="10"/>
  <c r="AE27" i="10"/>
  <c r="AD27" i="10"/>
  <c r="AE31" i="10"/>
  <c r="AD31" i="10"/>
  <c r="AE35" i="10"/>
  <c r="AD35" i="10"/>
  <c r="AE39" i="10"/>
  <c r="AD39" i="10"/>
  <c r="AD150" i="10"/>
  <c r="AE150" i="10"/>
  <c r="AD154" i="10"/>
  <c r="AE154" i="10"/>
  <c r="AE158" i="10"/>
  <c r="AD158" i="10"/>
  <c r="AD162" i="10"/>
  <c r="AE162" i="10"/>
  <c r="AD166" i="10"/>
  <c r="AE166" i="10"/>
  <c r="AE170" i="10"/>
  <c r="AD170" i="10"/>
  <c r="AD174" i="10"/>
  <c r="AE174" i="10"/>
  <c r="AD178" i="10"/>
  <c r="AE178" i="10"/>
  <c r="AE182" i="10"/>
  <c r="AD182" i="10"/>
  <c r="AD186" i="10"/>
  <c r="AE186" i="10"/>
  <c r="AD190" i="10"/>
  <c r="AE190" i="10"/>
  <c r="AE194" i="10"/>
  <c r="AD194" i="10"/>
  <c r="AD233" i="10"/>
  <c r="AE233" i="10"/>
  <c r="AD237" i="10"/>
  <c r="AE237" i="10"/>
  <c r="AD241" i="10"/>
  <c r="AE241" i="10"/>
  <c r="AD256" i="10"/>
  <c r="AE256" i="10"/>
  <c r="AE260" i="10"/>
  <c r="AD260" i="10"/>
  <c r="AD264" i="10"/>
  <c r="AE264" i="10"/>
  <c r="AD268" i="10"/>
  <c r="AE268" i="10"/>
  <c r="AE272" i="10"/>
  <c r="AD272" i="10"/>
  <c r="AE295" i="10"/>
  <c r="AD295" i="10"/>
  <c r="AE299" i="10"/>
  <c r="AD299" i="10"/>
  <c r="AE303" i="10"/>
  <c r="AD303" i="10"/>
  <c r="AD334" i="10"/>
  <c r="AE334" i="10"/>
  <c r="AE338" i="10"/>
  <c r="AD338" i="10"/>
  <c r="AD353" i="10"/>
  <c r="AE353" i="10"/>
  <c r="AD357" i="10"/>
  <c r="AE357" i="10"/>
  <c r="AD361" i="10"/>
  <c r="AE361" i="10"/>
  <c r="AD365" i="10"/>
  <c r="AE365" i="10"/>
  <c r="AE399" i="10"/>
  <c r="AD399" i="10"/>
  <c r="AE403" i="10"/>
  <c r="AD403" i="10"/>
  <c r="AD414" i="10"/>
  <c r="AE414" i="10"/>
  <c r="AD418" i="10"/>
  <c r="AE418" i="10"/>
  <c r="AE467" i="10"/>
  <c r="AD467" i="10"/>
  <c r="AD28" i="10"/>
  <c r="AE28" i="10"/>
  <c r="AD261" i="10"/>
  <c r="AE261" i="10"/>
  <c r="AD292" i="10"/>
  <c r="AE292" i="10"/>
  <c r="AD300" i="10"/>
  <c r="AE300" i="10"/>
  <c r="AE335" i="10"/>
  <c r="AD335" i="10"/>
  <c r="AD400" i="10"/>
  <c r="AE400" i="10"/>
  <c r="AE415" i="10"/>
  <c r="AD415" i="10"/>
  <c r="AE12" i="10"/>
  <c r="AD12" i="10"/>
  <c r="AE71" i="10"/>
  <c r="AD71" i="10"/>
  <c r="AE83" i="10"/>
  <c r="AD83" i="10"/>
  <c r="AE87" i="10"/>
  <c r="AD87" i="10"/>
  <c r="AE115" i="10"/>
  <c r="AD115" i="10"/>
  <c r="AE123" i="10"/>
  <c r="AD123" i="10"/>
  <c r="AE127" i="10"/>
  <c r="AD127" i="10"/>
  <c r="AE143" i="10"/>
  <c r="AD143" i="10"/>
  <c r="AD202" i="10"/>
  <c r="AE202" i="10"/>
  <c r="AD214" i="10"/>
  <c r="AE214" i="10"/>
  <c r="AD226" i="10"/>
  <c r="AE226" i="10"/>
  <c r="AD284" i="10"/>
  <c r="AE284" i="10"/>
  <c r="AE350" i="10"/>
  <c r="AD350" i="10"/>
  <c r="AD385" i="10"/>
  <c r="AE385" i="10"/>
  <c r="AD392" i="10"/>
  <c r="AE392" i="10"/>
  <c r="AD488" i="10"/>
  <c r="AE488" i="10"/>
  <c r="AE7" i="10"/>
  <c r="AD7" i="10"/>
  <c r="AE11" i="10"/>
  <c r="AD11" i="10"/>
  <c r="AE15" i="10"/>
  <c r="AD15" i="10"/>
  <c r="AE62" i="10"/>
  <c r="AD62" i="10"/>
  <c r="AD66" i="10"/>
  <c r="AE66" i="10"/>
  <c r="AD70" i="10"/>
  <c r="AE70" i="10"/>
  <c r="AE74" i="10"/>
  <c r="AD74" i="10"/>
  <c r="AD78" i="10"/>
  <c r="AE78" i="10"/>
  <c r="AD82" i="10"/>
  <c r="AE82" i="10"/>
  <c r="AE86" i="10"/>
  <c r="AD86" i="10"/>
  <c r="AD90" i="10"/>
  <c r="AE90" i="10"/>
  <c r="AD94" i="10"/>
  <c r="AE94" i="10"/>
  <c r="AE98" i="10"/>
  <c r="AD98" i="10"/>
  <c r="AD102" i="10"/>
  <c r="AE102" i="10"/>
  <c r="AD106" i="10"/>
  <c r="AE106" i="10"/>
  <c r="AE110" i="10"/>
  <c r="AD110" i="10"/>
  <c r="AD114" i="10"/>
  <c r="AE114" i="10"/>
  <c r="AD118" i="10"/>
  <c r="AE118" i="10"/>
  <c r="AE122" i="10"/>
  <c r="AD122" i="10"/>
  <c r="AD126" i="10"/>
  <c r="AE126" i="10"/>
  <c r="AD130" i="10"/>
  <c r="AE130" i="10"/>
  <c r="AE134" i="10"/>
  <c r="AD134" i="10"/>
  <c r="AD138" i="10"/>
  <c r="AE138" i="10"/>
  <c r="AD142" i="10"/>
  <c r="AE142" i="10"/>
  <c r="AE146" i="10"/>
  <c r="AD146" i="10"/>
  <c r="AD197" i="10"/>
  <c r="AE197" i="10"/>
  <c r="AD201" i="10"/>
  <c r="AE201" i="10"/>
  <c r="AD205" i="10"/>
  <c r="AE205" i="10"/>
  <c r="AD209" i="10"/>
  <c r="AE209" i="10"/>
  <c r="AD213" i="10"/>
  <c r="AE213" i="10"/>
  <c r="AD217" i="10"/>
  <c r="AE217" i="10"/>
  <c r="AD221" i="10"/>
  <c r="AE221" i="10"/>
  <c r="AD225" i="10"/>
  <c r="AE225" i="10"/>
  <c r="AD229" i="10"/>
  <c r="AE229" i="10"/>
  <c r="AD252" i="10"/>
  <c r="AE252" i="10"/>
  <c r="AE287" i="10"/>
  <c r="AD287" i="10"/>
  <c r="AD322" i="10"/>
  <c r="AE322" i="10"/>
  <c r="AE326" i="10"/>
  <c r="AD326" i="10"/>
  <c r="AD330" i="10"/>
  <c r="AE330" i="10"/>
  <c r="AD349" i="10"/>
  <c r="AE349" i="10"/>
  <c r="AD376" i="10"/>
  <c r="AE376" i="10"/>
  <c r="AD380" i="10"/>
  <c r="AE380" i="10"/>
  <c r="AD384" i="10"/>
  <c r="AE384" i="10"/>
  <c r="AE391" i="10"/>
  <c r="AD391" i="10"/>
  <c r="AD441" i="10"/>
  <c r="AE441" i="10"/>
  <c r="AD445" i="10"/>
  <c r="AE445" i="10"/>
  <c r="AD449" i="10"/>
  <c r="AE449" i="10"/>
  <c r="AD453" i="10"/>
  <c r="AE453" i="10"/>
  <c r="AD457" i="10"/>
  <c r="AE457" i="10"/>
  <c r="AD460" i="10"/>
  <c r="AE460" i="10"/>
  <c r="AD472" i="10"/>
  <c r="AE472" i="10"/>
  <c r="AD500" i="10"/>
  <c r="AE500" i="10"/>
  <c r="AE503" i="10"/>
  <c r="AD503" i="10"/>
  <c r="AD8" i="10"/>
  <c r="AE8" i="10"/>
  <c r="AE63" i="10"/>
  <c r="AD63" i="10"/>
  <c r="AE95" i="10"/>
  <c r="AD95" i="10"/>
  <c r="AE107" i="10"/>
  <c r="AD107" i="10"/>
  <c r="AE147" i="10"/>
  <c r="AD147" i="10"/>
  <c r="AE206" i="10"/>
  <c r="AD206" i="10"/>
  <c r="AE218" i="10"/>
  <c r="AD218" i="10"/>
  <c r="AE230" i="10"/>
  <c r="AD230" i="10"/>
  <c r="AD288" i="10"/>
  <c r="AE288" i="10"/>
  <c r="AE323" i="10"/>
  <c r="AD323" i="10"/>
  <c r="AD381" i="10"/>
  <c r="AE381" i="10"/>
  <c r="AD3" i="10"/>
  <c r="AE3" i="10"/>
  <c r="AD42" i="10"/>
  <c r="AE42" i="10"/>
  <c r="AD46" i="10"/>
  <c r="AE46" i="10"/>
  <c r="AE50" i="10"/>
  <c r="AD50" i="10"/>
  <c r="AD54" i="10"/>
  <c r="AE54" i="10"/>
  <c r="AD58" i="10"/>
  <c r="AE58" i="10"/>
  <c r="AD244" i="10"/>
  <c r="AE244" i="10"/>
  <c r="AD248" i="10"/>
  <c r="AE248" i="10"/>
  <c r="AE279" i="10"/>
  <c r="AD279" i="10"/>
  <c r="AD310" i="10"/>
  <c r="AE310" i="10"/>
  <c r="AE314" i="10"/>
  <c r="AD314" i="10"/>
  <c r="AD318" i="10"/>
  <c r="AE318" i="10"/>
  <c r="AD341" i="10"/>
  <c r="AE341" i="10"/>
  <c r="AD345" i="10"/>
  <c r="AE345" i="10"/>
  <c r="AD368" i="10"/>
  <c r="AE368" i="10"/>
  <c r="AD372" i="10"/>
  <c r="AE372" i="10"/>
  <c r="AE387" i="10"/>
  <c r="AD387" i="10"/>
  <c r="AD406" i="10"/>
  <c r="AE406" i="10"/>
  <c r="AE410" i="10"/>
  <c r="AD410" i="10"/>
  <c r="AD425" i="10"/>
  <c r="AE425" i="10"/>
  <c r="AD429" i="10"/>
  <c r="AE429" i="10"/>
  <c r="AD433" i="10"/>
  <c r="AE433" i="10"/>
  <c r="AE487" i="10"/>
  <c r="AD487" i="10"/>
  <c r="G130" i="13"/>
  <c r="AE155" i="10"/>
  <c r="AD155" i="10"/>
  <c r="AE163" i="10"/>
  <c r="AD163" i="10"/>
  <c r="AE171" i="10"/>
  <c r="AD171" i="10"/>
  <c r="AE183" i="10"/>
  <c r="AD183" i="10"/>
  <c r="AE191" i="10"/>
  <c r="AD191" i="10"/>
  <c r="AD234" i="10"/>
  <c r="AE234" i="10"/>
  <c r="AE296" i="10"/>
  <c r="AD296" i="10"/>
  <c r="AD304" i="10"/>
  <c r="AE304" i="10"/>
  <c r="AD358" i="10"/>
  <c r="AE358" i="10"/>
  <c r="AD366" i="10"/>
  <c r="AE366" i="10"/>
  <c r="AD396" i="10"/>
  <c r="AE396" i="10"/>
  <c r="AE67" i="10"/>
  <c r="AD67" i="10"/>
  <c r="AE75" i="10"/>
  <c r="AD75" i="10"/>
  <c r="AE99" i="10"/>
  <c r="AD99" i="10"/>
  <c r="AE119" i="10"/>
  <c r="AD119" i="10"/>
  <c r="AE135" i="10"/>
  <c r="AD135" i="10"/>
  <c r="AD18" i="10"/>
  <c r="AE18" i="10"/>
  <c r="AD22" i="10"/>
  <c r="AE22" i="10"/>
  <c r="AE26" i="10"/>
  <c r="AD26" i="10"/>
  <c r="AD30" i="10"/>
  <c r="AE30" i="10"/>
  <c r="AD153" i="10"/>
  <c r="AE153" i="10"/>
  <c r="AD157" i="10"/>
  <c r="AE157" i="10"/>
  <c r="AD161" i="10"/>
  <c r="AE161" i="10"/>
  <c r="AD165" i="10"/>
  <c r="AE165" i="10"/>
  <c r="AD177" i="10"/>
  <c r="AE177" i="10"/>
  <c r="AD181" i="10"/>
  <c r="AE181" i="10"/>
  <c r="AD189" i="10"/>
  <c r="AE189" i="10"/>
  <c r="AD193" i="10"/>
  <c r="AE193" i="10"/>
  <c r="AD232" i="10"/>
  <c r="AE232" i="10"/>
  <c r="AE236" i="10"/>
  <c r="AD236" i="10"/>
  <c r="AD240" i="10"/>
  <c r="AE240" i="10"/>
  <c r="AE255" i="10"/>
  <c r="AD255" i="10"/>
  <c r="AE259" i="10"/>
  <c r="AD259" i="10"/>
  <c r="AE263" i="10"/>
  <c r="AD263" i="10"/>
  <c r="AE267" i="10"/>
  <c r="AD267" i="10"/>
  <c r="AE271" i="10"/>
  <c r="AD271" i="10"/>
  <c r="AE275" i="10"/>
  <c r="AD275" i="10"/>
  <c r="AD294" i="10"/>
  <c r="AE294" i="10"/>
  <c r="AD298" i="10"/>
  <c r="AE298" i="10"/>
  <c r="AE302" i="10"/>
  <c r="AD302" i="10"/>
  <c r="AD333" i="10"/>
  <c r="AE333" i="10"/>
  <c r="AD337" i="10"/>
  <c r="AE337" i="10"/>
  <c r="AD356" i="10"/>
  <c r="AE356" i="10"/>
  <c r="AD360" i="10"/>
  <c r="AE360" i="10"/>
  <c r="AD364" i="10"/>
  <c r="AE364" i="10"/>
  <c r="AE398" i="10"/>
  <c r="AD398" i="10"/>
  <c r="AD402" i="10"/>
  <c r="AE402" i="10"/>
  <c r="AD417" i="10"/>
  <c r="AE417" i="10"/>
  <c r="AD421" i="10"/>
  <c r="AE421" i="10"/>
  <c r="G120" i="13"/>
  <c r="AD6" i="10"/>
  <c r="AE6" i="10"/>
  <c r="AD10" i="10"/>
  <c r="AE10" i="10"/>
  <c r="AE14" i="10"/>
  <c r="AD14" i="10"/>
  <c r="AD61" i="10"/>
  <c r="AE61" i="10"/>
  <c r="AD65" i="10"/>
  <c r="AE65" i="10"/>
  <c r="AD69" i="10"/>
  <c r="AE69" i="10"/>
  <c r="AD73" i="10"/>
  <c r="AE73" i="10"/>
  <c r="AD77" i="10"/>
  <c r="AE77" i="10"/>
  <c r="AD81" i="10"/>
  <c r="AE81" i="10"/>
  <c r="AD85" i="10"/>
  <c r="AE85" i="10"/>
  <c r="AD89" i="10"/>
  <c r="AE89" i="10"/>
  <c r="AD93" i="10"/>
  <c r="AE93" i="10"/>
  <c r="AD97" i="10"/>
  <c r="AE97" i="10"/>
  <c r="AD101" i="10"/>
  <c r="AE101" i="10"/>
  <c r="AD105" i="10"/>
  <c r="AE105" i="10"/>
  <c r="AD109" i="10"/>
  <c r="AE109" i="10"/>
  <c r="AD113" i="10"/>
  <c r="AE113" i="10"/>
  <c r="AD117" i="10"/>
  <c r="AE117" i="10"/>
  <c r="AD121" i="10"/>
  <c r="AE121" i="10"/>
  <c r="AD125" i="10"/>
  <c r="AE125" i="10"/>
  <c r="AD129" i="10"/>
  <c r="AE129" i="10"/>
  <c r="AD133" i="10"/>
  <c r="AE133" i="10"/>
  <c r="AD137" i="10"/>
  <c r="AE137" i="10"/>
  <c r="AD141" i="10"/>
  <c r="AE141" i="10"/>
  <c r="AD145" i="10"/>
  <c r="AE145" i="10"/>
  <c r="AD200" i="10"/>
  <c r="AE200" i="10"/>
  <c r="AD204" i="10"/>
  <c r="AE204" i="10"/>
  <c r="AD208" i="10"/>
  <c r="AE208" i="10"/>
  <c r="AD212" i="10"/>
  <c r="AE212" i="10"/>
  <c r="AD216" i="10"/>
  <c r="AE216" i="10"/>
  <c r="AD220" i="10"/>
  <c r="AE220" i="10"/>
  <c r="AE224" i="10"/>
  <c r="AD224" i="10"/>
  <c r="AD228" i="10"/>
  <c r="AE228" i="10"/>
  <c r="AD286" i="10"/>
  <c r="AE286" i="10"/>
  <c r="AE290" i="10"/>
  <c r="AD290" i="10"/>
  <c r="AD325" i="10"/>
  <c r="AE325" i="10"/>
  <c r="AD329" i="10"/>
  <c r="AE329" i="10"/>
  <c r="AD348" i="10"/>
  <c r="AE348" i="10"/>
  <c r="AE375" i="10"/>
  <c r="AD375" i="10"/>
  <c r="AE379" i="10"/>
  <c r="AD379" i="10"/>
  <c r="AE383" i="10"/>
  <c r="AD383" i="10"/>
  <c r="AD390" i="10"/>
  <c r="AE390" i="10"/>
  <c r="AD394" i="10"/>
  <c r="AE394" i="10"/>
  <c r="AD440" i="10"/>
  <c r="AE440" i="10"/>
  <c r="AD444" i="10"/>
  <c r="AE444" i="10"/>
  <c r="AD448" i="10"/>
  <c r="AE448" i="10"/>
  <c r="AD452" i="10"/>
  <c r="AE452" i="10"/>
  <c r="AD456" i="10"/>
  <c r="AE456" i="10"/>
  <c r="AE463" i="10"/>
  <c r="AD463" i="10"/>
  <c r="AE167" i="10"/>
  <c r="AD167" i="10"/>
  <c r="AE175" i="10"/>
  <c r="AD175" i="10"/>
  <c r="AD257" i="10"/>
  <c r="AE257" i="10"/>
  <c r="AD269" i="10"/>
  <c r="AE269" i="10"/>
  <c r="AE339" i="10"/>
  <c r="AD339" i="10"/>
  <c r="AD354" i="10"/>
  <c r="AE354" i="10"/>
  <c r="AE362" i="10"/>
  <c r="AD362" i="10"/>
  <c r="AE419" i="10"/>
  <c r="AD419" i="10"/>
  <c r="AD465" i="10"/>
  <c r="AE465" i="10"/>
  <c r="AD473" i="10"/>
  <c r="AE473" i="10"/>
  <c r="AE79" i="10"/>
  <c r="AD79" i="10"/>
  <c r="AE91" i="10"/>
  <c r="AD91" i="10"/>
  <c r="AE103" i="10"/>
  <c r="AD103" i="10"/>
  <c r="AD34" i="10"/>
  <c r="AE34" i="10"/>
  <c r="AE38" i="10"/>
  <c r="AD38" i="10"/>
  <c r="AD149" i="10"/>
  <c r="AE149" i="10"/>
  <c r="AD169" i="10"/>
  <c r="AE169" i="10"/>
  <c r="AD173" i="10"/>
  <c r="AE173" i="10"/>
  <c r="AD185" i="10"/>
  <c r="AE185" i="10"/>
  <c r="AD45" i="10"/>
  <c r="AE45" i="10"/>
  <c r="AD49" i="10"/>
  <c r="AE49" i="10"/>
  <c r="AD53" i="10"/>
  <c r="AE53" i="10"/>
  <c r="AD57" i="10"/>
  <c r="AE57" i="10"/>
  <c r="AE247" i="10"/>
  <c r="AD247" i="10"/>
  <c r="AE278" i="10"/>
  <c r="AD278" i="10"/>
  <c r="AD282" i="10"/>
  <c r="AE282" i="10"/>
  <c r="AD309" i="10"/>
  <c r="AE309" i="10"/>
  <c r="AD313" i="10"/>
  <c r="AE313" i="10"/>
  <c r="AD317" i="10"/>
  <c r="AE317" i="10"/>
  <c r="AE344" i="10"/>
  <c r="AD344" i="10"/>
  <c r="AE371" i="10"/>
  <c r="AD371" i="10"/>
  <c r="AD409" i="10"/>
  <c r="AE409" i="10"/>
  <c r="AD424" i="10"/>
  <c r="AE424" i="10"/>
  <c r="AD428" i="10"/>
  <c r="AE428" i="10"/>
  <c r="AD432" i="10"/>
  <c r="AE432" i="10"/>
  <c r="AD436" i="10"/>
  <c r="AE436" i="10"/>
  <c r="F340" i="13" a="1"/>
  <c r="F340" i="13" s="1"/>
  <c r="G340" i="13" s="1"/>
  <c r="J339" i="13" a="1"/>
  <c r="J339" i="13" s="1"/>
  <c r="M127" i="13"/>
  <c r="M129" i="13"/>
  <c r="C118" i="13"/>
  <c r="J279" i="13"/>
  <c r="H279" i="13"/>
  <c r="F279" i="13"/>
  <c r="M6" i="7"/>
  <c r="G127" i="13"/>
  <c r="M11" i="7"/>
  <c r="M23" i="7"/>
  <c r="M7" i="7"/>
  <c r="M19" i="7"/>
  <c r="M12" i="7"/>
  <c r="M24" i="7"/>
  <c r="H175" i="13"/>
  <c r="G129" i="13"/>
  <c r="R158" i="13"/>
  <c r="E295" i="13"/>
  <c r="G128" i="13"/>
  <c r="E293" i="13"/>
  <c r="R155" i="13"/>
  <c r="M18" i="7"/>
  <c r="M3" i="7"/>
  <c r="M9" i="7"/>
  <c r="M21" i="7"/>
  <c r="F296" i="13"/>
  <c r="F292" i="13"/>
  <c r="F294" i="13"/>
  <c r="F291" i="13"/>
  <c r="F297" i="13"/>
  <c r="M128" i="13"/>
  <c r="F289" i="13" a="1"/>
  <c r="F289" i="13" s="1"/>
  <c r="D279" i="13" a="1"/>
  <c r="D279" i="13" s="1"/>
  <c r="C280" i="13"/>
  <c r="E280" i="13"/>
  <c r="G280" i="13"/>
  <c r="I280" i="13"/>
  <c r="F211" i="13"/>
  <c r="M130" i="13"/>
  <c r="G288" i="13" a="1"/>
  <c r="G288" i="13" s="1"/>
  <c r="G290" i="13" s="1" a="1"/>
  <c r="G290" i="13" s="1"/>
  <c r="M15" i="7"/>
  <c r="M4" i="7"/>
  <c r="M8" i="7"/>
  <c r="C119" i="13"/>
  <c r="E119" i="13"/>
  <c r="C121" i="13"/>
  <c r="F197" i="13"/>
  <c r="F209" i="13"/>
  <c r="F217" i="13"/>
  <c r="F201" i="13"/>
  <c r="M14" i="7"/>
  <c r="F214" i="13"/>
  <c r="G119" i="13"/>
  <c r="F218" i="13"/>
  <c r="L155" i="13"/>
  <c r="F215" i="13"/>
  <c r="F212" i="13"/>
  <c r="F202" i="13"/>
  <c r="F206" i="13"/>
  <c r="B281" i="13" a="1"/>
  <c r="B281" i="13" s="1"/>
  <c r="F205" i="13"/>
  <c r="F198" i="13"/>
  <c r="M13" i="7"/>
  <c r="M20" i="7"/>
  <c r="C120" i="13"/>
  <c r="F199" i="13"/>
  <c r="E120" i="13"/>
  <c r="R156" i="13"/>
  <c r="M44" i="13"/>
  <c r="E121" i="13"/>
  <c r="F203" i="13"/>
  <c r="M5" i="7"/>
  <c r="C36" i="13"/>
  <c r="F200" i="13"/>
  <c r="F210" i="13"/>
  <c r="F213" i="13"/>
  <c r="F216" i="13"/>
  <c r="H166" i="13"/>
  <c r="H173" i="13"/>
  <c r="L144" i="13"/>
  <c r="F207" i="13"/>
  <c r="H167" i="13"/>
  <c r="H174" i="13"/>
  <c r="H180" i="13"/>
  <c r="F204" i="13"/>
  <c r="F208" i="13"/>
  <c r="G121" i="13"/>
  <c r="U44" i="13"/>
  <c r="S44" i="13"/>
  <c r="V44" i="13"/>
  <c r="R45" i="13" a="1"/>
  <c r="R45" i="13" s="1"/>
  <c r="T44" i="13"/>
  <c r="L138" i="13"/>
  <c r="G138" i="13"/>
  <c r="L143" i="13"/>
  <c r="G143" i="13"/>
  <c r="G149" i="13"/>
  <c r="L149" i="13"/>
  <c r="G44" i="13"/>
  <c r="L139" i="13"/>
  <c r="L145" i="13"/>
  <c r="G145" i="13"/>
  <c r="B17" i="13" a="1"/>
  <c r="B17" i="13" s="1"/>
  <c r="C44" i="13"/>
  <c r="G144" i="13"/>
  <c r="L136" i="13"/>
  <c r="G136" i="13"/>
  <c r="G137" i="13"/>
  <c r="L137" i="13"/>
  <c r="AD44" i="13"/>
  <c r="L141" i="13"/>
  <c r="G141" i="13"/>
  <c r="L147" i="13"/>
  <c r="G147" i="13"/>
  <c r="E44" i="13"/>
  <c r="AC44" i="13"/>
  <c r="L140" i="13"/>
  <c r="G140" i="13"/>
  <c r="L146" i="13"/>
  <c r="G146" i="13"/>
  <c r="C37" i="13"/>
  <c r="F44" i="13"/>
  <c r="B45" i="13" a="1"/>
  <c r="B45" i="13" s="1"/>
  <c r="B46" i="13" s="1" a="1"/>
  <c r="B46" i="13" s="1"/>
  <c r="B47" i="13" s="1" a="1"/>
  <c r="B47" i="13" s="1"/>
  <c r="B48" i="13" s="1" a="1"/>
  <c r="B48" i="13" s="1"/>
  <c r="AB45" i="13" a="1"/>
  <c r="AB45" i="13" s="1"/>
  <c r="AB46" i="13" s="1" a="1"/>
  <c r="AB46" i="13" s="1"/>
  <c r="G142" i="13"/>
  <c r="L142" i="13"/>
  <c r="L148" i="13"/>
  <c r="G148" i="13"/>
  <c r="H17" i="13" a="1"/>
  <c r="H17" i="13" s="1"/>
  <c r="D10" i="13"/>
  <c r="P44" i="13"/>
  <c r="N44" i="13"/>
  <c r="L44" i="13"/>
  <c r="J45" i="13" a="1"/>
  <c r="J45" i="13" s="1"/>
  <c r="G139" i="13"/>
  <c r="J22" i="7"/>
  <c r="J16" i="7"/>
  <c r="J10" i="7"/>
  <c r="K23" i="7"/>
  <c r="I22" i="7"/>
  <c r="K17" i="7"/>
  <c r="I16" i="7"/>
  <c r="K174" i="13" s="1"/>
  <c r="K11" i="7"/>
  <c r="I10" i="7"/>
  <c r="K3" i="7"/>
  <c r="D189" i="13"/>
  <c r="J23" i="7"/>
  <c r="J17" i="7"/>
  <c r="J11" i="7"/>
  <c r="K4" i="7"/>
  <c r="J3" i="7"/>
  <c r="K24" i="7"/>
  <c r="I23" i="7"/>
  <c r="G181" i="13" s="1"/>
  <c r="K18" i="7"/>
  <c r="I17" i="7"/>
  <c r="G175" i="13" s="1"/>
  <c r="K12" i="7"/>
  <c r="I11" i="7"/>
  <c r="G169" i="13" s="1"/>
  <c r="K5" i="7"/>
  <c r="J4" i="7"/>
  <c r="I3" i="7"/>
  <c r="I161" i="13" s="1"/>
  <c r="J24" i="7"/>
  <c r="J18" i="7"/>
  <c r="J12" i="7"/>
  <c r="K6" i="7"/>
  <c r="J5" i="7"/>
  <c r="I4" i="7"/>
  <c r="G162" i="13" s="1"/>
  <c r="I24" i="7"/>
  <c r="K19" i="7"/>
  <c r="I18" i="7"/>
  <c r="K13" i="7"/>
  <c r="I12" i="7"/>
  <c r="K7" i="7"/>
  <c r="J6" i="7"/>
  <c r="I5" i="7"/>
  <c r="I163" i="13" s="1"/>
  <c r="J19" i="7"/>
  <c r="J13" i="7"/>
  <c r="J7" i="7"/>
  <c r="I6" i="7"/>
  <c r="I164" i="13" s="1"/>
  <c r="E100" i="13"/>
  <c r="K20" i="7"/>
  <c r="I19" i="7"/>
  <c r="G177" i="13" s="1"/>
  <c r="K14" i="7"/>
  <c r="I13" i="7"/>
  <c r="K171" i="13" s="1"/>
  <c r="K8" i="7"/>
  <c r="I7" i="7"/>
  <c r="G165" i="13" s="1"/>
  <c r="J20" i="7"/>
  <c r="J14" i="7"/>
  <c r="J8" i="7"/>
  <c r="K21" i="7"/>
  <c r="I20" i="7"/>
  <c r="K15" i="7"/>
  <c r="I14" i="7"/>
  <c r="I172" i="13" s="1"/>
  <c r="K9" i="7"/>
  <c r="I8" i="7"/>
  <c r="J21" i="7"/>
  <c r="J15" i="7"/>
  <c r="J9" i="7"/>
  <c r="K22" i="7"/>
  <c r="I21" i="7"/>
  <c r="G179" i="13" s="1"/>
  <c r="K16" i="7"/>
  <c r="I15" i="7"/>
  <c r="I173" i="13" s="1"/>
  <c r="K10" i="7"/>
  <c r="I9" i="7"/>
  <c r="G167" i="13" s="1"/>
  <c r="D12" i="13"/>
  <c r="D11" i="13"/>
  <c r="M17" i="13" a="1"/>
  <c r="M17" i="13" s="1"/>
  <c r="O44" i="13"/>
  <c r="L152" i="13"/>
  <c r="G152" i="13"/>
  <c r="L154" i="13"/>
  <c r="G154" i="13"/>
  <c r="L156" i="13"/>
  <c r="G156" i="13"/>
  <c r="L150" i="13"/>
  <c r="G150" i="13"/>
  <c r="G151" i="13"/>
  <c r="L151" i="13"/>
  <c r="G153" i="13"/>
  <c r="L153" i="13"/>
  <c r="G155" i="13"/>
  <c r="G157" i="13"/>
  <c r="L157" i="13"/>
  <c r="M10" i="7"/>
  <c r="E118" i="13"/>
  <c r="Y3" i="10"/>
  <c r="D36" i="13"/>
  <c r="D264" i="13"/>
  <c r="Y478" i="10"/>
  <c r="D262" i="13"/>
  <c r="AL17" i="13" a="1"/>
  <c r="AL17" i="13" s="1"/>
  <c r="AC17" i="13" a="1"/>
  <c r="AC17" i="13" s="1"/>
  <c r="X17" i="13" a="1"/>
  <c r="X17" i="13" s="1"/>
  <c r="BC17" i="13" a="1"/>
  <c r="BC17" i="13" s="1"/>
  <c r="R17" i="13" a="1"/>
  <c r="R17" i="13" s="1"/>
  <c r="P17" i="13"/>
  <c r="P18" i="13" s="1"/>
  <c r="P19" i="13" s="1"/>
  <c r="AW17" i="13" a="1"/>
  <c r="AW17" i="13" s="1"/>
  <c r="D228" i="13"/>
  <c r="D132" i="13"/>
  <c r="D227" i="13"/>
  <c r="D131" i="13"/>
  <c r="Y8" i="10"/>
  <c r="D231" i="13"/>
  <c r="D135" i="13"/>
  <c r="D235" i="13"/>
  <c r="D139" i="13"/>
  <c r="Y7" i="10"/>
  <c r="Y15" i="10"/>
  <c r="D237" i="13"/>
  <c r="D141" i="13"/>
  <c r="Y17" i="10"/>
  <c r="D144" i="13"/>
  <c r="D240" i="13"/>
  <c r="Y20" i="10"/>
  <c r="D37" i="13"/>
  <c r="Y413" i="10"/>
  <c r="D241" i="13"/>
  <c r="D145" i="13"/>
  <c r="Y21" i="10"/>
  <c r="Y11" i="10"/>
  <c r="D232" i="13"/>
  <c r="D136" i="13"/>
  <c r="D244" i="13"/>
  <c r="D148" i="13"/>
  <c r="Y24" i="10"/>
  <c r="D140" i="13"/>
  <c r="D236" i="13"/>
  <c r="D223" i="13"/>
  <c r="D127" i="13"/>
  <c r="J35" i="13"/>
  <c r="I35" i="13"/>
  <c r="J38" i="13"/>
  <c r="J36" i="13"/>
  <c r="J34" i="13"/>
  <c r="I38" i="13"/>
  <c r="I36" i="13"/>
  <c r="I34" i="13"/>
  <c r="J37" i="13"/>
  <c r="I37" i="13"/>
  <c r="D5" i="13"/>
  <c r="D128" i="13"/>
  <c r="D224" i="13"/>
  <c r="Y4" i="10"/>
  <c r="D225" i="13"/>
  <c r="D129" i="13"/>
  <c r="D229" i="13"/>
  <c r="D133" i="13"/>
  <c r="D233" i="13"/>
  <c r="D137" i="13"/>
  <c r="D238" i="13"/>
  <c r="D142" i="13"/>
  <c r="D146" i="13"/>
  <c r="D242" i="13"/>
  <c r="D138" i="13"/>
  <c r="D234" i="13"/>
  <c r="D134" i="13"/>
  <c r="D230" i="13"/>
  <c r="Y10" i="10"/>
  <c r="D239" i="13"/>
  <c r="D143" i="13"/>
  <c r="D243" i="13"/>
  <c r="D147" i="13"/>
  <c r="D130" i="13"/>
  <c r="D226" i="13"/>
  <c r="Y14" i="10"/>
  <c r="Y19" i="10"/>
  <c r="Y23" i="10"/>
  <c r="L212" i="13" l="1"/>
  <c r="K179" i="13"/>
  <c r="I177" i="13"/>
  <c r="H128" i="13"/>
  <c r="K169" i="13"/>
  <c r="AC35" i="13"/>
  <c r="H127" i="13"/>
  <c r="U10" i="7"/>
  <c r="H130" i="13"/>
  <c r="O337" i="13"/>
  <c r="O336" i="13"/>
  <c r="O335" i="13"/>
  <c r="O334" i="13"/>
  <c r="O333" i="13"/>
  <c r="F320" i="13"/>
  <c r="F323" i="13"/>
  <c r="F327" i="13"/>
  <c r="F325" i="13"/>
  <c r="F321" i="13"/>
  <c r="F322" i="13"/>
  <c r="F324" i="13"/>
  <c r="F319" i="13"/>
  <c r="F326" i="13"/>
  <c r="I169" i="13"/>
  <c r="F280" i="13"/>
  <c r="J340" i="13" a="1"/>
  <c r="J340" i="13" s="1"/>
  <c r="K339" i="13"/>
  <c r="H129" i="13"/>
  <c r="F295" i="13"/>
  <c r="K163" i="13"/>
  <c r="U7" i="7"/>
  <c r="U13" i="7"/>
  <c r="F293" i="13"/>
  <c r="U9" i="7"/>
  <c r="U6" i="7"/>
  <c r="I181" i="13"/>
  <c r="J280" i="13"/>
  <c r="K181" i="13"/>
  <c r="H280" i="13"/>
  <c r="L232" i="13"/>
  <c r="L231" i="13"/>
  <c r="D280" i="13" a="1"/>
  <c r="D280" i="13" s="1"/>
  <c r="G292" i="13"/>
  <c r="G296" i="13"/>
  <c r="G291" i="13"/>
  <c r="G297" i="13"/>
  <c r="G294" i="13"/>
  <c r="H288" i="13" a="1"/>
  <c r="H288" i="13" s="1"/>
  <c r="H290" i="13" s="1" a="1"/>
  <c r="H290" i="13" s="1"/>
  <c r="G289" i="13" a="1"/>
  <c r="G289" i="13" s="1"/>
  <c r="B18" i="13" a="1"/>
  <c r="B18" i="13" s="1"/>
  <c r="B19" i="13" s="1" a="1"/>
  <c r="B19" i="13" s="1"/>
  <c r="L240" i="13"/>
  <c r="L200" i="13"/>
  <c r="L205" i="13"/>
  <c r="G281" i="13"/>
  <c r="I281" i="13"/>
  <c r="E281" i="13"/>
  <c r="B282" i="13" a="1"/>
  <c r="B282" i="13" s="1"/>
  <c r="C281" i="13"/>
  <c r="U14" i="7"/>
  <c r="L206" i="13"/>
  <c r="I167" i="13"/>
  <c r="L197" i="13"/>
  <c r="L226" i="13"/>
  <c r="I162" i="13"/>
  <c r="I175" i="13"/>
  <c r="U5" i="7"/>
  <c r="U19" i="7"/>
  <c r="K167" i="13"/>
  <c r="U12" i="7"/>
  <c r="U16" i="7"/>
  <c r="L230" i="13"/>
  <c r="L238" i="13"/>
  <c r="AC34" i="13"/>
  <c r="L218" i="13"/>
  <c r="L237" i="13"/>
  <c r="L204" i="13"/>
  <c r="L214" i="13"/>
  <c r="L244" i="13"/>
  <c r="L233" i="13"/>
  <c r="U23" i="7"/>
  <c r="U18" i="7"/>
  <c r="K177" i="13"/>
  <c r="K175" i="13"/>
  <c r="L201" i="13"/>
  <c r="L213" i="13"/>
  <c r="U3" i="7"/>
  <c r="L223" i="13"/>
  <c r="C48" i="13"/>
  <c r="G48" i="13"/>
  <c r="E48" i="13"/>
  <c r="F48" i="13"/>
  <c r="I166" i="13"/>
  <c r="G166" i="13"/>
  <c r="E111" i="13"/>
  <c r="K166" i="13"/>
  <c r="J46" i="13" a="1"/>
  <c r="J46" i="13" s="1"/>
  <c r="L227" i="13"/>
  <c r="U8" i="7"/>
  <c r="R46" i="13" a="1"/>
  <c r="R46" i="13" s="1"/>
  <c r="R47" i="13" s="1" a="1"/>
  <c r="R47" i="13" s="1"/>
  <c r="L224" i="13"/>
  <c r="B49" i="13" a="1"/>
  <c r="B49" i="13" s="1"/>
  <c r="B50" i="13" s="1" a="1"/>
  <c r="B50" i="13" s="1"/>
  <c r="G176" i="13"/>
  <c r="K176" i="13"/>
  <c r="I176" i="13"/>
  <c r="L235" i="13"/>
  <c r="K162" i="13"/>
  <c r="U4" i="7"/>
  <c r="L198" i="13"/>
  <c r="K161" i="13"/>
  <c r="K172" i="13"/>
  <c r="G172" i="13"/>
  <c r="G168" i="13"/>
  <c r="E112" i="13"/>
  <c r="K168" i="13"/>
  <c r="I168" i="13"/>
  <c r="L202" i="13"/>
  <c r="I17" i="13"/>
  <c r="J17" i="13"/>
  <c r="U11" i="7"/>
  <c r="L211" i="13"/>
  <c r="L239" i="13"/>
  <c r="K182" i="13"/>
  <c r="I182" i="13"/>
  <c r="G182" i="13"/>
  <c r="L234" i="13"/>
  <c r="I178" i="13"/>
  <c r="G178" i="13"/>
  <c r="K178" i="13"/>
  <c r="K164" i="13"/>
  <c r="G164" i="13"/>
  <c r="G174" i="13"/>
  <c r="I174" i="13"/>
  <c r="L243" i="13"/>
  <c r="L210" i="13"/>
  <c r="I165" i="13"/>
  <c r="I179" i="13"/>
  <c r="K173" i="13"/>
  <c r="G173" i="13"/>
  <c r="D110" i="13"/>
  <c r="L236" i="13"/>
  <c r="L229" i="13"/>
  <c r="U24" i="7"/>
  <c r="U17" i="7"/>
  <c r="L225" i="13"/>
  <c r="D111" i="13"/>
  <c r="K180" i="13"/>
  <c r="I180" i="13"/>
  <c r="G180" i="13"/>
  <c r="L203" i="13"/>
  <c r="L208" i="13"/>
  <c r="L216" i="13"/>
  <c r="G47" i="13"/>
  <c r="E47" i="13"/>
  <c r="C47" i="13"/>
  <c r="F47" i="13"/>
  <c r="D109" i="13"/>
  <c r="AD46" i="13"/>
  <c r="AC46" i="13"/>
  <c r="L217" i="13"/>
  <c r="D17" i="13"/>
  <c r="E17" i="13"/>
  <c r="C17" i="13"/>
  <c r="L199" i="13"/>
  <c r="U21" i="7"/>
  <c r="U20" i="7"/>
  <c r="G163" i="13"/>
  <c r="E110" i="13"/>
  <c r="D112" i="13"/>
  <c r="G46" i="13"/>
  <c r="F46" i="13"/>
  <c r="E46" i="13"/>
  <c r="C46" i="13"/>
  <c r="K165" i="13"/>
  <c r="L242" i="13"/>
  <c r="AD45" i="13"/>
  <c r="AB47" i="13" a="1"/>
  <c r="AB47" i="13" s="1"/>
  <c r="AB48" i="13" s="1" a="1"/>
  <c r="AB48" i="13" s="1"/>
  <c r="AC45" i="13"/>
  <c r="V45" i="13"/>
  <c r="U45" i="13"/>
  <c r="T45" i="13"/>
  <c r="S45" i="13"/>
  <c r="O17" i="13"/>
  <c r="N17" i="13"/>
  <c r="E109" i="13"/>
  <c r="G161" i="13"/>
  <c r="G45" i="13"/>
  <c r="F45" i="13"/>
  <c r="E45" i="13"/>
  <c r="C45" i="13"/>
  <c r="U22" i="7"/>
  <c r="L241" i="13"/>
  <c r="L207" i="13"/>
  <c r="I171" i="13"/>
  <c r="G171" i="13"/>
  <c r="K170" i="13"/>
  <c r="I170" i="13"/>
  <c r="G170" i="13"/>
  <c r="P45" i="13"/>
  <c r="N45" i="13"/>
  <c r="L45" i="13"/>
  <c r="O45" i="13"/>
  <c r="M45" i="13"/>
  <c r="L228" i="13"/>
  <c r="L209" i="13"/>
  <c r="U15" i="7"/>
  <c r="L215" i="13"/>
  <c r="M19" i="3"/>
  <c r="D265" i="13"/>
  <c r="D268" i="13"/>
  <c r="Y17" i="13"/>
  <c r="T17" i="13"/>
  <c r="Z17" i="13"/>
  <c r="S17" i="13"/>
  <c r="D250" i="13"/>
  <c r="AE17" i="13"/>
  <c r="AB435" i="10" s="1"/>
  <c r="D260" i="13"/>
  <c r="D266" i="13"/>
  <c r="D254" i="13"/>
  <c r="AY17" i="13"/>
  <c r="BA17" i="13"/>
  <c r="AZ17" i="13"/>
  <c r="AX17" i="13"/>
  <c r="AQ17" i="13"/>
  <c r="AP17" i="13"/>
  <c r="AR17" i="13"/>
  <c r="AO17" i="13"/>
  <c r="AM17" i="13"/>
  <c r="AN17" i="13"/>
  <c r="D270" i="13"/>
  <c r="D263" i="13"/>
  <c r="D259" i="13"/>
  <c r="BE17" i="13"/>
  <c r="BG17" i="13"/>
  <c r="BD17" i="13"/>
  <c r="BF17" i="13"/>
  <c r="D255" i="13"/>
  <c r="D252" i="13"/>
  <c r="D257" i="13"/>
  <c r="D256" i="13"/>
  <c r="D251" i="13"/>
  <c r="D258" i="13"/>
  <c r="D267" i="13"/>
  <c r="D261" i="13"/>
  <c r="D253" i="13"/>
  <c r="AB169" i="10" l="1"/>
  <c r="AB429" i="10"/>
  <c r="AB366" i="10"/>
  <c r="AB284" i="10"/>
  <c r="AB276" i="10"/>
  <c r="AB440" i="10"/>
  <c r="AB338" i="10"/>
  <c r="AB431" i="10"/>
  <c r="AB222" i="10"/>
  <c r="AB327" i="10"/>
  <c r="AB331" i="10"/>
  <c r="AB118" i="10"/>
  <c r="AB462" i="10"/>
  <c r="AB340" i="10"/>
  <c r="AB342" i="10"/>
  <c r="AB376" i="10"/>
  <c r="AB411" i="10"/>
  <c r="AB344" i="10"/>
  <c r="AB405" i="10"/>
  <c r="AB398" i="10"/>
  <c r="AB502" i="10"/>
  <c r="AB134" i="10"/>
  <c r="AB245" i="10"/>
  <c r="AB223" i="10"/>
  <c r="AB132" i="10"/>
  <c r="AB370" i="10"/>
  <c r="AB160" i="10"/>
  <c r="AB471" i="10"/>
  <c r="AB489" i="10"/>
  <c r="AB421" i="10"/>
  <c r="AB439" i="10"/>
  <c r="AB456" i="10"/>
  <c r="AB47" i="10"/>
  <c r="AB14" i="10"/>
  <c r="AB226" i="10"/>
  <c r="AB324" i="10"/>
  <c r="AB144" i="10"/>
  <c r="AB389" i="10"/>
  <c r="AB418" i="10"/>
  <c r="AB362" i="10"/>
  <c r="AB373" i="10"/>
  <c r="AB233" i="10"/>
  <c r="AB218" i="10"/>
  <c r="AB116" i="10"/>
  <c r="AB346" i="10"/>
  <c r="AB369" i="10"/>
  <c r="AB318" i="10"/>
  <c r="AB493" i="10"/>
  <c r="AB242" i="10"/>
  <c r="AB317" i="10"/>
  <c r="AB490" i="10"/>
  <c r="AB166" i="10"/>
  <c r="AB401" i="10"/>
  <c r="AB259" i="10"/>
  <c r="AB204" i="10"/>
  <c r="AB501" i="10"/>
  <c r="AB377" i="10"/>
  <c r="AB207" i="10"/>
  <c r="AB294" i="10"/>
  <c r="AB162" i="10"/>
  <c r="AB121" i="10"/>
  <c r="AB158" i="10"/>
  <c r="AB49" i="10"/>
  <c r="AB413" i="10"/>
  <c r="AB89" i="10"/>
  <c r="AB200" i="10"/>
  <c r="AB177" i="10"/>
  <c r="AB256" i="10"/>
  <c r="AB478" i="10"/>
  <c r="AB174" i="10"/>
  <c r="AB251" i="10"/>
  <c r="AB243" i="10"/>
  <c r="AB395" i="10"/>
  <c r="AB225" i="10"/>
  <c r="AB227" i="10"/>
  <c r="AB500" i="10"/>
  <c r="AB64" i="10"/>
  <c r="AB180" i="10"/>
  <c r="AB65" i="10"/>
  <c r="AB74" i="10"/>
  <c r="AB130" i="10"/>
  <c r="AB114" i="10"/>
  <c r="AB298" i="10"/>
  <c r="AB214" i="10"/>
  <c r="AB283" i="10"/>
  <c r="AB480" i="10"/>
  <c r="AB184" i="10"/>
  <c r="AB293" i="10"/>
  <c r="AB273" i="10"/>
  <c r="AB28" i="10"/>
  <c r="AB182" i="10"/>
  <c r="AB438" i="10"/>
  <c r="AB455" i="10"/>
  <c r="AB94" i="10"/>
  <c r="AB71" i="10"/>
  <c r="AB445" i="10"/>
  <c r="AB468" i="10"/>
  <c r="AB352" i="10"/>
  <c r="AB46" i="10"/>
  <c r="AB38" i="10"/>
  <c r="AB131" i="10"/>
  <c r="AB249" i="10"/>
  <c r="AB451" i="10"/>
  <c r="AB141" i="10"/>
  <c r="AB198" i="10"/>
  <c r="AB239" i="10"/>
  <c r="AB67" i="10"/>
  <c r="AB110" i="10"/>
  <c r="AB45" i="10"/>
  <c r="AB69" i="10"/>
  <c r="AB87" i="10"/>
  <c r="AB33" i="10"/>
  <c r="AB195" i="10"/>
  <c r="AB176" i="10"/>
  <c r="AB357" i="10"/>
  <c r="AB247" i="10"/>
  <c r="AB300" i="10"/>
  <c r="AB482" i="10"/>
  <c r="AB209" i="10"/>
  <c r="AB349" i="10"/>
  <c r="AB231" i="10"/>
  <c r="AB322" i="10"/>
  <c r="AB155" i="10"/>
  <c r="AB267" i="10"/>
  <c r="AB465" i="10"/>
  <c r="AB52" i="10"/>
  <c r="AB138" i="10"/>
  <c r="AB105" i="10"/>
  <c r="AB292" i="10"/>
  <c r="AB77" i="10"/>
  <c r="AB107" i="10"/>
  <c r="AB41" i="10"/>
  <c r="AB236" i="10"/>
  <c r="AB246" i="10"/>
  <c r="AB339" i="10"/>
  <c r="AB316" i="10"/>
  <c r="AB486" i="10"/>
  <c r="AB253" i="10"/>
  <c r="AB380" i="10"/>
  <c r="AB458" i="10"/>
  <c r="AB81" i="10"/>
  <c r="AB393" i="10"/>
  <c r="AB111" i="10"/>
  <c r="AB203" i="10"/>
  <c r="AB97" i="10"/>
  <c r="AB320" i="10"/>
  <c r="AB264" i="10"/>
  <c r="AB498" i="10"/>
  <c r="AB426" i="10"/>
  <c r="AB154" i="10"/>
  <c r="AB127" i="10"/>
  <c r="AB229" i="10"/>
  <c r="AB63" i="10"/>
  <c r="AB91" i="10"/>
  <c r="AB56" i="10"/>
  <c r="AB152" i="10"/>
  <c r="AB102" i="10"/>
  <c r="AB12" i="10"/>
  <c r="AB42" i="10"/>
  <c r="AB407" i="10"/>
  <c r="AB365" i="10"/>
  <c r="AB156" i="10"/>
  <c r="AB289" i="10"/>
  <c r="AB278" i="10"/>
  <c r="AB306" i="10"/>
  <c r="AB178" i="10"/>
  <c r="AB314" i="10"/>
  <c r="AB272" i="10"/>
  <c r="AB409" i="10"/>
  <c r="AB476" i="10"/>
  <c r="AB408" i="10"/>
  <c r="AB479" i="10"/>
  <c r="AB387" i="10"/>
  <c r="AB84" i="10"/>
  <c r="AB385" i="10"/>
  <c r="AB269" i="10"/>
  <c r="AB36" i="10"/>
  <c r="AB122" i="10"/>
  <c r="AB173" i="10"/>
  <c r="AB61" i="10"/>
  <c r="AB454" i="10"/>
  <c r="AB371" i="10"/>
  <c r="AB277" i="10"/>
  <c r="AB388" i="10"/>
  <c r="AB190" i="10"/>
  <c r="AB280" i="10"/>
  <c r="AB85" i="10"/>
  <c r="AB147" i="10"/>
  <c r="AB187" i="10"/>
  <c r="AB484" i="10"/>
  <c r="AB165" i="10"/>
  <c r="AB136" i="10"/>
  <c r="AB309" i="10"/>
  <c r="J341" i="13" a="1"/>
  <c r="J341" i="13" s="1"/>
  <c r="K340" i="13"/>
  <c r="AB336" i="10"/>
  <c r="AB208" i="10"/>
  <c r="AB415" i="10"/>
  <c r="AB434" i="10"/>
  <c r="AB115" i="10"/>
  <c r="AB360" i="10"/>
  <c r="AB391" i="10"/>
  <c r="AB25" i="10"/>
  <c r="AB296" i="10"/>
  <c r="AB303" i="10"/>
  <c r="AB83" i="10"/>
  <c r="R167" i="13"/>
  <c r="S167" i="13" s="1"/>
  <c r="G293" i="13"/>
  <c r="G295" i="13"/>
  <c r="M14" i="3"/>
  <c r="D281" i="13" a="1"/>
  <c r="D281" i="13" s="1"/>
  <c r="H291" i="13"/>
  <c r="H297" i="13"/>
  <c r="H292" i="13"/>
  <c r="H294" i="13"/>
  <c r="H296" i="13"/>
  <c r="J281" i="13"/>
  <c r="AC36" i="13"/>
  <c r="D18" i="13"/>
  <c r="I288" i="13" a="1"/>
  <c r="I288" i="13" s="1"/>
  <c r="I290" i="13" s="1" a="1"/>
  <c r="I290" i="13" s="1"/>
  <c r="H289" i="13" a="1"/>
  <c r="H289" i="13" s="1"/>
  <c r="C18" i="13"/>
  <c r="E18" i="13"/>
  <c r="F281" i="13"/>
  <c r="H281" i="13"/>
  <c r="C282" i="13"/>
  <c r="I282" i="13"/>
  <c r="E282" i="13"/>
  <c r="G282" i="13"/>
  <c r="B283" i="13" a="1"/>
  <c r="B283" i="13" s="1"/>
  <c r="R168" i="13"/>
  <c r="T168" i="13" s="1"/>
  <c r="M13" i="3"/>
  <c r="R169" i="13"/>
  <c r="S169" i="13" s="1"/>
  <c r="M12" i="3"/>
  <c r="F118" i="13"/>
  <c r="M17" i="3"/>
  <c r="M5" i="3"/>
  <c r="M8" i="3"/>
  <c r="M7" i="3"/>
  <c r="F17" i="13"/>
  <c r="H18" i="13" s="1" a="1"/>
  <c r="H18" i="13" s="1"/>
  <c r="J47" i="13" a="1"/>
  <c r="J47" i="13" s="1"/>
  <c r="M16" i="3"/>
  <c r="AD47" i="13"/>
  <c r="AC47" i="13"/>
  <c r="E19" i="13"/>
  <c r="C19" i="13"/>
  <c r="D19" i="13"/>
  <c r="B20" i="13" a="1"/>
  <c r="B20" i="13" s="1"/>
  <c r="C50" i="13"/>
  <c r="G50" i="13"/>
  <c r="F50" i="13"/>
  <c r="E50" i="13"/>
  <c r="C49" i="13"/>
  <c r="G49" i="13"/>
  <c r="E49" i="13"/>
  <c r="F49" i="13"/>
  <c r="P46" i="13"/>
  <c r="N46" i="13"/>
  <c r="L46" i="13"/>
  <c r="O46" i="13"/>
  <c r="M46" i="13"/>
  <c r="AD48" i="13"/>
  <c r="AC48" i="13"/>
  <c r="F120" i="13"/>
  <c r="D120" i="13"/>
  <c r="D118" i="13"/>
  <c r="F121" i="13"/>
  <c r="F119" i="13"/>
  <c r="D119" i="13"/>
  <c r="H118" i="13"/>
  <c r="D121" i="13"/>
  <c r="H121" i="13"/>
  <c r="H119" i="13"/>
  <c r="H120" i="13"/>
  <c r="V47" i="13"/>
  <c r="U47" i="13"/>
  <c r="T47" i="13"/>
  <c r="S47" i="13"/>
  <c r="V46" i="13"/>
  <c r="U46" i="13"/>
  <c r="T46" i="13"/>
  <c r="S46" i="13"/>
  <c r="B51" i="13" a="1"/>
  <c r="B51" i="13" s="1"/>
  <c r="B52" i="13" s="1" a="1"/>
  <c r="B52" i="13" s="1"/>
  <c r="R48" i="13" a="1"/>
  <c r="R48" i="13" s="1"/>
  <c r="R49" i="13" s="1" a="1"/>
  <c r="R49" i="13" s="1"/>
  <c r="AB49" i="13" a="1"/>
  <c r="AB49" i="13" s="1"/>
  <c r="M24" i="3"/>
  <c r="M20" i="3"/>
  <c r="M9" i="3"/>
  <c r="M15" i="3"/>
  <c r="M11" i="3"/>
  <c r="M6" i="3"/>
  <c r="D269" i="13"/>
  <c r="M23" i="3"/>
  <c r="M21" i="3"/>
  <c r="M18" i="3"/>
  <c r="M3" i="3"/>
  <c r="M10" i="3"/>
  <c r="AS17" i="13"/>
  <c r="M4" i="3"/>
  <c r="M22" i="3"/>
  <c r="AB15" i="10"/>
  <c r="AB16" i="10"/>
  <c r="AB460" i="10"/>
  <c r="AB11" i="10"/>
  <c r="AB20" i="10"/>
  <c r="AB18" i="10"/>
  <c r="AB22" i="10"/>
  <c r="AC37" i="13"/>
  <c r="AB3" i="10"/>
  <c r="AB7" i="10"/>
  <c r="T167" i="13" l="1"/>
  <c r="U167" i="13" s="1"/>
  <c r="F18" i="13"/>
  <c r="H19" i="13" s="1" a="1"/>
  <c r="H19" i="13" s="1"/>
  <c r="J19" i="13" s="1"/>
  <c r="J342" i="13" a="1"/>
  <c r="J342" i="13" s="1"/>
  <c r="K341" i="13"/>
  <c r="A331" i="13"/>
  <c r="B324" i="13"/>
  <c r="B325" i="13"/>
  <c r="B327" i="13"/>
  <c r="B326" i="13"/>
  <c r="K249" i="13"/>
  <c r="L249" i="13" s="1"/>
  <c r="B323" i="13"/>
  <c r="B21" i="13" a="1"/>
  <c r="B21" i="13" s="1"/>
  <c r="D21" i="13" s="1"/>
  <c r="L32" i="13"/>
  <c r="H295" i="13"/>
  <c r="H293" i="13"/>
  <c r="T169" i="13"/>
  <c r="U169" i="13" s="1"/>
  <c r="D282" i="13" a="1"/>
  <c r="D282" i="13" s="1"/>
  <c r="I291" i="13"/>
  <c r="I297" i="13"/>
  <c r="I296" i="13"/>
  <c r="I292" i="13"/>
  <c r="I294" i="13"/>
  <c r="J288" i="13" a="1"/>
  <c r="J288" i="13" s="1"/>
  <c r="J290" i="13" s="1" a="1"/>
  <c r="J290" i="13" s="1"/>
  <c r="I289" i="13" a="1"/>
  <c r="I289" i="13" s="1"/>
  <c r="S168" i="13"/>
  <c r="U168" i="13" s="1"/>
  <c r="H282" i="13"/>
  <c r="F282" i="13"/>
  <c r="J282" i="13"/>
  <c r="C283" i="13"/>
  <c r="I283" i="13"/>
  <c r="G283" i="13"/>
  <c r="E283" i="13"/>
  <c r="G52" i="13"/>
  <c r="F52" i="13"/>
  <c r="E52" i="13"/>
  <c r="C52" i="13"/>
  <c r="B53" i="13" a="1"/>
  <c r="B53" i="13" s="1"/>
  <c r="AD49" i="13"/>
  <c r="AC49" i="13"/>
  <c r="AB50" i="13" a="1"/>
  <c r="AB50" i="13" s="1"/>
  <c r="P47" i="13"/>
  <c r="N47" i="13"/>
  <c r="L47" i="13"/>
  <c r="O47" i="13"/>
  <c r="M47" i="13"/>
  <c r="J48" i="13" a="1"/>
  <c r="J48" i="13" s="1"/>
  <c r="V49" i="13"/>
  <c r="U49" i="13"/>
  <c r="T49" i="13"/>
  <c r="S49" i="13"/>
  <c r="E20" i="13"/>
  <c r="D20" i="13"/>
  <c r="C20" i="13"/>
  <c r="R50" i="13" a="1"/>
  <c r="R50" i="13" s="1"/>
  <c r="R51" i="13" s="1" a="1"/>
  <c r="R51" i="13" s="1"/>
  <c r="V48" i="13"/>
  <c r="U48" i="13"/>
  <c r="T48" i="13"/>
  <c r="S48" i="13"/>
  <c r="F51" i="13"/>
  <c r="E51" i="13"/>
  <c r="C51" i="13"/>
  <c r="G51" i="13"/>
  <c r="J18" i="13"/>
  <c r="I18" i="13"/>
  <c r="F19" i="13"/>
  <c r="K250" i="13"/>
  <c r="L250" i="13" s="1"/>
  <c r="K251" i="13"/>
  <c r="L251" i="13" s="1"/>
  <c r="K252" i="13"/>
  <c r="L252" i="13" s="1"/>
  <c r="K253" i="13"/>
  <c r="L253" i="13" s="1"/>
  <c r="AC38" i="13"/>
  <c r="J343" i="13" l="1" a="1"/>
  <c r="J343" i="13" s="1"/>
  <c r="K342" i="13"/>
  <c r="C326" i="13"/>
  <c r="C323" i="13"/>
  <c r="C327" i="13"/>
  <c r="C325" i="13"/>
  <c r="C324" i="13"/>
  <c r="B22" i="13" a="1"/>
  <c r="B22" i="13" s="1"/>
  <c r="B23" i="13" s="1" a="1"/>
  <c r="B23" i="13" s="1"/>
  <c r="B24" i="13" s="1" a="1"/>
  <c r="B24" i="13" s="1"/>
  <c r="E24" i="13" s="1"/>
  <c r="E21" i="13"/>
  <c r="C21" i="13"/>
  <c r="M34" i="13"/>
  <c r="M36" i="13"/>
  <c r="M38" i="13"/>
  <c r="M37" i="13"/>
  <c r="M35" i="13"/>
  <c r="J283" i="13"/>
  <c r="H283" i="13"/>
  <c r="I295" i="13"/>
  <c r="F283" i="13"/>
  <c r="I293" i="13"/>
  <c r="J292" i="13"/>
  <c r="J291" i="13"/>
  <c r="J297" i="13"/>
  <c r="J296" i="13"/>
  <c r="J294" i="13"/>
  <c r="I19" i="13"/>
  <c r="J289" i="13" a="1"/>
  <c r="J289" i="13" s="1"/>
  <c r="D283" i="13" a="1"/>
  <c r="D283" i="13" s="1"/>
  <c r="U51" i="13"/>
  <c r="T51" i="13"/>
  <c r="S51" i="13"/>
  <c r="V51" i="13"/>
  <c r="R52" i="13" a="1"/>
  <c r="R52" i="13" s="1"/>
  <c r="R53" i="13" s="1" a="1"/>
  <c r="R53" i="13" s="1"/>
  <c r="S50" i="13"/>
  <c r="V50" i="13"/>
  <c r="U50" i="13"/>
  <c r="T50" i="13"/>
  <c r="F20" i="13"/>
  <c r="P48" i="13"/>
  <c r="N48" i="13"/>
  <c r="L48" i="13"/>
  <c r="O48" i="13"/>
  <c r="M48" i="13"/>
  <c r="F53" i="13"/>
  <c r="G53" i="13"/>
  <c r="E53" i="13"/>
  <c r="C53" i="13"/>
  <c r="J49" i="13" a="1"/>
  <c r="J49" i="13" s="1"/>
  <c r="J50" i="13" s="1" a="1"/>
  <c r="J50" i="13" s="1"/>
  <c r="AD50" i="13"/>
  <c r="AC50" i="13"/>
  <c r="AB51" i="13" a="1"/>
  <c r="AB51" i="13" s="1"/>
  <c r="B54" i="13" a="1"/>
  <c r="B54" i="13" s="1"/>
  <c r="H20" i="13" a="1"/>
  <c r="H20" i="13" s="1"/>
  <c r="F21" i="13" l="1"/>
  <c r="J293" i="13"/>
  <c r="K343" i="13"/>
  <c r="B25" i="13" a="1"/>
  <c r="B25" i="13" s="1"/>
  <c r="B26" i="13" s="1" a="1"/>
  <c r="B26" i="13" s="1"/>
  <c r="C22" i="13"/>
  <c r="E22" i="13"/>
  <c r="D22" i="13"/>
  <c r="J295" i="13"/>
  <c r="C24" i="13"/>
  <c r="D23" i="13"/>
  <c r="D24" i="13"/>
  <c r="C23" i="13"/>
  <c r="E23" i="13"/>
  <c r="G54" i="13"/>
  <c r="F54" i="13"/>
  <c r="E54" i="13"/>
  <c r="C54" i="13"/>
  <c r="B55" i="13" a="1"/>
  <c r="B55" i="13" s="1"/>
  <c r="AD51" i="13"/>
  <c r="AC51" i="13"/>
  <c r="H21" i="13" a="1"/>
  <c r="H21" i="13" s="1"/>
  <c r="T53" i="13"/>
  <c r="V53" i="13"/>
  <c r="U53" i="13"/>
  <c r="S53" i="13"/>
  <c r="R54" i="13" a="1"/>
  <c r="R54" i="13" s="1"/>
  <c r="J20" i="13"/>
  <c r="I20" i="13"/>
  <c r="P50" i="13"/>
  <c r="O50" i="13"/>
  <c r="M50" i="13"/>
  <c r="N50" i="13"/>
  <c r="L50" i="13"/>
  <c r="P49" i="13"/>
  <c r="N49" i="13"/>
  <c r="L49" i="13"/>
  <c r="O49" i="13"/>
  <c r="M49" i="13"/>
  <c r="J51" i="13" a="1"/>
  <c r="J51" i="13" s="1"/>
  <c r="V52" i="13"/>
  <c r="U52" i="13"/>
  <c r="T52" i="13"/>
  <c r="S52" i="13"/>
  <c r="F24" i="13" l="1"/>
  <c r="F22" i="13"/>
  <c r="F23" i="13"/>
  <c r="E25" i="13"/>
  <c r="C25" i="13"/>
  <c r="D25" i="13"/>
  <c r="H22" i="13" a="1"/>
  <c r="H22" i="13" s="1"/>
  <c r="D26" i="13"/>
  <c r="E26" i="13"/>
  <c r="C26" i="13"/>
  <c r="B27" i="13" a="1"/>
  <c r="B27" i="13" s="1"/>
  <c r="G55" i="13"/>
  <c r="F55" i="13"/>
  <c r="E55" i="13"/>
  <c r="C55" i="13"/>
  <c r="B56" i="13" a="1"/>
  <c r="B56" i="13" s="1"/>
  <c r="I21" i="13"/>
  <c r="J21" i="13"/>
  <c r="J52" i="13" a="1"/>
  <c r="J52" i="13" s="1"/>
  <c r="V54" i="13"/>
  <c r="U54" i="13"/>
  <c r="T54" i="13"/>
  <c r="S54" i="13"/>
  <c r="P51" i="13"/>
  <c r="O51" i="13"/>
  <c r="M51" i="13"/>
  <c r="L51" i="13"/>
  <c r="N51" i="13"/>
  <c r="R55" i="13" a="1"/>
  <c r="R55" i="13" s="1"/>
  <c r="F25" i="13" l="1"/>
  <c r="F26" i="13"/>
  <c r="E27" i="13"/>
  <c r="C27" i="13"/>
  <c r="D27" i="13"/>
  <c r="P52" i="13"/>
  <c r="O52" i="13"/>
  <c r="N52" i="13"/>
  <c r="M52" i="13"/>
  <c r="L52" i="13"/>
  <c r="V55" i="13"/>
  <c r="U55" i="13"/>
  <c r="T55" i="13"/>
  <c r="S55" i="13"/>
  <c r="R56" i="13" a="1"/>
  <c r="R56" i="13" s="1"/>
  <c r="F56" i="13"/>
  <c r="G56" i="13"/>
  <c r="E56" i="13"/>
  <c r="C56" i="13"/>
  <c r="B57" i="13" a="1"/>
  <c r="B57" i="13" s="1"/>
  <c r="J22" i="13"/>
  <c r="I22" i="13"/>
  <c r="H23" i="13" a="1"/>
  <c r="H23" i="13" s="1"/>
  <c r="J53" i="13" a="1"/>
  <c r="J53" i="13" s="1"/>
  <c r="B331" i="13" l="1"/>
  <c r="P53" i="13"/>
  <c r="O53" i="13"/>
  <c r="N53" i="13"/>
  <c r="M53" i="13"/>
  <c r="L53" i="13"/>
  <c r="J54" i="13" a="1"/>
  <c r="J54" i="13" s="1"/>
  <c r="G57" i="13"/>
  <c r="F57" i="13"/>
  <c r="E57" i="13"/>
  <c r="C57" i="13"/>
  <c r="B58" i="13" a="1"/>
  <c r="B58" i="13" s="1"/>
  <c r="J23" i="13"/>
  <c r="I23" i="13"/>
  <c r="H24" i="13" a="1"/>
  <c r="H24" i="13" s="1"/>
  <c r="T56" i="13"/>
  <c r="V56" i="13"/>
  <c r="U56" i="13"/>
  <c r="S56" i="13"/>
  <c r="R57" i="13" a="1"/>
  <c r="R57" i="13" s="1"/>
  <c r="F27" i="13"/>
  <c r="C331" i="13" l="1"/>
  <c r="J24" i="13"/>
  <c r="I24" i="13"/>
  <c r="H25" i="13" a="1"/>
  <c r="H25" i="13" s="1"/>
  <c r="L54" i="13"/>
  <c r="P54" i="13"/>
  <c r="O54" i="13"/>
  <c r="N54" i="13"/>
  <c r="M54" i="13"/>
  <c r="J55" i="13" a="1"/>
  <c r="J55" i="13" s="1"/>
  <c r="V57" i="13"/>
  <c r="U57" i="13"/>
  <c r="T57" i="13"/>
  <c r="S57" i="13"/>
  <c r="R58" i="13" a="1"/>
  <c r="R58" i="13" s="1"/>
  <c r="G58" i="13"/>
  <c r="F58" i="13"/>
  <c r="E58" i="13"/>
  <c r="C58" i="13"/>
  <c r="B59" i="13" a="1"/>
  <c r="B59" i="13" s="1"/>
  <c r="A332" i="13" l="1"/>
  <c r="V58" i="13"/>
  <c r="U58" i="13"/>
  <c r="T58" i="13"/>
  <c r="S58" i="13"/>
  <c r="R59" i="13" a="1"/>
  <c r="R59" i="13" s="1"/>
  <c r="I25" i="13"/>
  <c r="J25" i="13"/>
  <c r="H26" i="13" a="1"/>
  <c r="H26" i="13" s="1"/>
  <c r="P55" i="13"/>
  <c r="O55" i="13"/>
  <c r="N55" i="13"/>
  <c r="M55" i="13"/>
  <c r="L55" i="13"/>
  <c r="J56" i="13" a="1"/>
  <c r="J56" i="13" s="1"/>
  <c r="F59" i="13"/>
  <c r="G59" i="13"/>
  <c r="E59" i="13"/>
  <c r="C59" i="13"/>
  <c r="B60" i="13" a="1"/>
  <c r="B60" i="13" s="1"/>
  <c r="A333" i="13" l="1"/>
  <c r="B332" i="13"/>
  <c r="C332" i="13" s="1"/>
  <c r="T59" i="13"/>
  <c r="V59" i="13"/>
  <c r="U59" i="13"/>
  <c r="S59" i="13"/>
  <c r="R60" i="13" a="1"/>
  <c r="R60" i="13" s="1"/>
  <c r="P56" i="13"/>
  <c r="O56" i="13"/>
  <c r="N56" i="13"/>
  <c r="M56" i="13"/>
  <c r="L56" i="13"/>
  <c r="J57" i="13" a="1"/>
  <c r="J57" i="13" s="1"/>
  <c r="F60" i="13"/>
  <c r="E60" i="13"/>
  <c r="C60" i="13"/>
  <c r="G60" i="13"/>
  <c r="B61" i="13" a="1"/>
  <c r="B61" i="13" s="1"/>
  <c r="J26" i="13"/>
  <c r="I26" i="13"/>
  <c r="H27" i="13" a="1"/>
  <c r="H27" i="13" s="1"/>
  <c r="A334" i="13" l="1"/>
  <c r="B333" i="13"/>
  <c r="C333" i="13" s="1"/>
  <c r="J27" i="13"/>
  <c r="I27" i="13"/>
  <c r="G61" i="13"/>
  <c r="F61" i="13"/>
  <c r="E61" i="13"/>
  <c r="C61" i="13"/>
  <c r="B62" i="13" a="1"/>
  <c r="B62" i="13" s="1"/>
  <c r="U60" i="13"/>
  <c r="T60" i="13"/>
  <c r="S60" i="13"/>
  <c r="V60" i="13"/>
  <c r="R61" i="13" a="1"/>
  <c r="R61" i="13" s="1"/>
  <c r="L57" i="13"/>
  <c r="P57" i="13"/>
  <c r="O57" i="13"/>
  <c r="N57" i="13"/>
  <c r="M57" i="13"/>
  <c r="J58" i="13" a="1"/>
  <c r="J58" i="13" s="1"/>
  <c r="A335" i="13" l="1"/>
  <c r="B335" i="13" s="1"/>
  <c r="C335" i="13" s="1"/>
  <c r="B334" i="13"/>
  <c r="C334" i="13" s="1"/>
  <c r="P58" i="13"/>
  <c r="O58" i="13"/>
  <c r="N58" i="13"/>
  <c r="M58" i="13"/>
  <c r="L58" i="13"/>
  <c r="J59" i="13" a="1"/>
  <c r="J59" i="13" s="1"/>
  <c r="F62" i="13"/>
  <c r="E62" i="13"/>
  <c r="C62" i="13"/>
  <c r="G62" i="13"/>
  <c r="B63" i="13" a="1"/>
  <c r="B63" i="13" s="1"/>
  <c r="V61" i="13"/>
  <c r="U61" i="13"/>
  <c r="T61" i="13"/>
  <c r="S61" i="13"/>
  <c r="R62" i="13" a="1"/>
  <c r="R62" i="13" s="1"/>
  <c r="T62" i="13" l="1"/>
  <c r="U62" i="13"/>
  <c r="S62" i="13"/>
  <c r="V62" i="13"/>
  <c r="R63" i="13" a="1"/>
  <c r="R63" i="13" s="1"/>
  <c r="O59" i="13"/>
  <c r="N59" i="13"/>
  <c r="M59" i="13"/>
  <c r="L59" i="13"/>
  <c r="P59" i="13"/>
  <c r="J60" i="13" a="1"/>
  <c r="J60" i="13" s="1"/>
  <c r="G63" i="13"/>
  <c r="F63" i="13"/>
  <c r="E63" i="13"/>
  <c r="C63" i="13"/>
  <c r="B64" i="13" a="1"/>
  <c r="B64" i="13" s="1"/>
  <c r="G64" i="13" l="1"/>
  <c r="F64" i="13"/>
  <c r="E64" i="13"/>
  <c r="C64" i="13"/>
  <c r="B65" i="13" a="1"/>
  <c r="B65" i="13" s="1"/>
  <c r="V63" i="13"/>
  <c r="U63" i="13"/>
  <c r="T63" i="13"/>
  <c r="S63" i="13"/>
  <c r="R64" i="13" a="1"/>
  <c r="R64" i="13" s="1"/>
  <c r="L60" i="13"/>
  <c r="P60" i="13"/>
  <c r="O60" i="13"/>
  <c r="N60" i="13"/>
  <c r="M60" i="13"/>
  <c r="J61" i="13" a="1"/>
  <c r="J61" i="13" s="1"/>
  <c r="V64" i="13" l="1"/>
  <c r="U64" i="13"/>
  <c r="T64" i="13"/>
  <c r="S64" i="13"/>
  <c r="R65" i="13" a="1"/>
  <c r="R65" i="13" s="1"/>
  <c r="K27" i="13"/>
  <c r="K17" i="13"/>
  <c r="K19" i="13"/>
  <c r="K21" i="13"/>
  <c r="K18" i="13"/>
  <c r="K22" i="13"/>
  <c r="K23" i="13"/>
  <c r="K20" i="13"/>
  <c r="K26" i="13"/>
  <c r="K24" i="13"/>
  <c r="F65" i="13"/>
  <c r="F66" i="13" s="1"/>
  <c r="C65" i="13"/>
  <c r="G65" i="13"/>
  <c r="G66" i="13" s="1"/>
  <c r="E65" i="13"/>
  <c r="E66" i="13" s="1"/>
  <c r="E98" i="13"/>
  <c r="E99" i="13" s="1"/>
  <c r="P61" i="13"/>
  <c r="N61" i="13"/>
  <c r="M61" i="13"/>
  <c r="L61" i="13"/>
  <c r="O61" i="13"/>
  <c r="J62" i="13" a="1"/>
  <c r="J62" i="13" s="1"/>
  <c r="K25" i="13"/>
  <c r="X18" i="13" l="1" a="1"/>
  <c r="X18" i="13" s="1"/>
  <c r="AC18" i="13" a="1"/>
  <c r="AC18" i="13" s="1"/>
  <c r="M18" i="13" a="1"/>
  <c r="M18" i="13" s="1"/>
  <c r="R18" i="13" a="1"/>
  <c r="R18" i="13" s="1"/>
  <c r="C66" i="13"/>
  <c r="D65" i="13" s="1"/>
  <c r="T65" i="13"/>
  <c r="V65" i="13"/>
  <c r="U65" i="13"/>
  <c r="S65" i="13"/>
  <c r="D6" i="13"/>
  <c r="P62" i="13"/>
  <c r="O62" i="13"/>
  <c r="N62" i="13"/>
  <c r="M62" i="13"/>
  <c r="L62" i="13"/>
  <c r="J63" i="13" a="1"/>
  <c r="J63" i="13" s="1"/>
  <c r="L63" i="13" l="1"/>
  <c r="O63" i="13"/>
  <c r="N63" i="13"/>
  <c r="M63" i="13"/>
  <c r="P63" i="13"/>
  <c r="J64" i="13" a="1"/>
  <c r="J64" i="13" s="1"/>
  <c r="D44" i="13"/>
  <c r="D48" i="13"/>
  <c r="D47" i="13"/>
  <c r="D46" i="13"/>
  <c r="D45" i="13"/>
  <c r="D50" i="13"/>
  <c r="D49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O18" i="13"/>
  <c r="N18" i="13"/>
  <c r="AB39" i="10"/>
  <c r="AB217" i="10"/>
  <c r="AB254" i="10"/>
  <c r="AB167" i="10"/>
  <c r="AE18" i="13"/>
  <c r="AB442" i="10" s="1"/>
  <c r="AB432" i="10"/>
  <c r="AB185" i="10"/>
  <c r="AB92" i="10"/>
  <c r="AB139" i="10"/>
  <c r="AB492" i="10"/>
  <c r="T18" i="13"/>
  <c r="Z18" i="13"/>
  <c r="S18" i="13"/>
  <c r="Y18" i="13"/>
  <c r="M19" i="13" a="1"/>
  <c r="M19" i="13" s="1"/>
  <c r="AB404" i="10" l="1"/>
  <c r="AB396" i="10"/>
  <c r="AB201" i="10"/>
  <c r="AB384" i="10"/>
  <c r="AB378" i="10"/>
  <c r="AB215" i="10"/>
  <c r="AB379" i="10"/>
  <c r="AB80" i="10"/>
  <c r="AB446" i="10"/>
  <c r="AB72" i="10"/>
  <c r="AB4" i="10"/>
  <c r="AB363" i="10"/>
  <c r="AB497" i="10"/>
  <c r="AB211" i="10"/>
  <c r="AB416" i="10"/>
  <c r="AB491" i="10"/>
  <c r="J316" i="13"/>
  <c r="AB168" i="10"/>
  <c r="AB347" i="10"/>
  <c r="P64" i="13"/>
  <c r="N64" i="13"/>
  <c r="O64" i="13"/>
  <c r="M64" i="13"/>
  <c r="L64" i="13"/>
  <c r="J65" i="13" a="1"/>
  <c r="J65" i="13" s="1"/>
  <c r="O19" i="13"/>
  <c r="N19" i="13"/>
  <c r="M20" i="13" a="1"/>
  <c r="M20" i="13" s="1"/>
  <c r="AB463" i="10"/>
  <c r="AB6" i="10"/>
  <c r="AB108" i="10"/>
  <c r="AB23" i="10"/>
  <c r="AB5" i="10"/>
  <c r="X19" i="13" a="1"/>
  <c r="X19" i="13" s="1"/>
  <c r="R19" i="13" a="1"/>
  <c r="R19" i="13" s="1"/>
  <c r="AB216" i="10"/>
  <c r="AC19" i="13" a="1"/>
  <c r="AC19" i="13" s="1"/>
  <c r="R20" i="13" l="1" a="1"/>
  <c r="R20" i="13" s="1"/>
  <c r="Y19" i="13"/>
  <c r="T19" i="13"/>
  <c r="S19" i="13"/>
  <c r="Z19" i="13"/>
  <c r="AE19" i="13"/>
  <c r="AB53" i="10" s="1"/>
  <c r="N65" i="13"/>
  <c r="P65" i="13"/>
  <c r="O65" i="13"/>
  <c r="M65" i="13"/>
  <c r="L65" i="13"/>
  <c r="J66" i="13" a="1"/>
  <c r="J66" i="13" s="1"/>
  <c r="N20" i="13"/>
  <c r="O20" i="13"/>
  <c r="M21" i="13" a="1"/>
  <c r="M21" i="13" s="1"/>
  <c r="AB310" i="10" l="1"/>
  <c r="AB332" i="10"/>
  <c r="AB148" i="10"/>
  <c r="AI19" i="13"/>
  <c r="AB494" i="10"/>
  <c r="AB381" i="10"/>
  <c r="AB472" i="10"/>
  <c r="AB55" i="10"/>
  <c r="AB57" i="10"/>
  <c r="AB54" i="10"/>
  <c r="AB219" i="10"/>
  <c r="X20" i="13" a="1"/>
  <c r="X20" i="13" s="1"/>
  <c r="O66" i="13"/>
  <c r="M66" i="13"/>
  <c r="P66" i="13"/>
  <c r="N66" i="13"/>
  <c r="L66" i="13"/>
  <c r="J67" i="13" a="1"/>
  <c r="J67" i="13" s="1"/>
  <c r="R21" i="13" a="1"/>
  <c r="R21" i="13" s="1"/>
  <c r="AH19" i="13"/>
  <c r="T20" i="13"/>
  <c r="Z20" i="13"/>
  <c r="S20" i="13"/>
  <c r="Y20" i="13"/>
  <c r="O21" i="13"/>
  <c r="N21" i="13"/>
  <c r="M22" i="13" a="1"/>
  <c r="M22" i="13" s="1"/>
  <c r="AC20" i="13" a="1"/>
  <c r="AC20" i="13" s="1"/>
  <c r="AB8" i="10" l="1"/>
  <c r="L335" i="13"/>
  <c r="AF19" i="13"/>
  <c r="AB170" i="10"/>
  <c r="R22" i="13" a="1"/>
  <c r="R22" i="13" s="1"/>
  <c r="Z21" i="13"/>
  <c r="T21" i="13"/>
  <c r="S21" i="13"/>
  <c r="Y21" i="13"/>
  <c r="AE20" i="13"/>
  <c r="AB60" i="10" s="1"/>
  <c r="O67" i="13"/>
  <c r="N67" i="13"/>
  <c r="P67" i="13"/>
  <c r="M67" i="13"/>
  <c r="L67" i="13"/>
  <c r="J68" i="13" a="1"/>
  <c r="J68" i="13" s="1"/>
  <c r="X21" i="13" a="1"/>
  <c r="X21" i="13" s="1"/>
  <c r="X22" i="13" s="1" a="1"/>
  <c r="X22" i="13" s="1"/>
  <c r="O22" i="13"/>
  <c r="N22" i="13"/>
  <c r="M23" i="13" a="1"/>
  <c r="M23" i="13" s="1"/>
  <c r="AC21" i="13" a="1"/>
  <c r="AC21" i="13" s="1"/>
  <c r="AB333" i="10" l="1"/>
  <c r="AB311" i="10"/>
  <c r="AB78" i="10"/>
  <c r="AB145" i="10"/>
  <c r="AB149" i="10"/>
  <c r="AB473" i="10"/>
  <c r="AB402" i="10"/>
  <c r="AB307" i="10"/>
  <c r="AB240" i="10"/>
  <c r="AB382" i="10"/>
  <c r="AB469" i="10"/>
  <c r="AB495" i="10"/>
  <c r="AB171" i="10"/>
  <c r="R23" i="13" a="1"/>
  <c r="R23" i="13" s="1"/>
  <c r="S23" i="13" s="1"/>
  <c r="AB172" i="10"/>
  <c r="AB356" i="10"/>
  <c r="AB137" i="10"/>
  <c r="AB312" i="10"/>
  <c r="AB126" i="10"/>
  <c r="AB128" i="10"/>
  <c r="AB443" i="10"/>
  <c r="AB221" i="10"/>
  <c r="AB358" i="10"/>
  <c r="AB101" i="10"/>
  <c r="AB90" i="10"/>
  <c r="AB150" i="10"/>
  <c r="AB50" i="10"/>
  <c r="AB288" i="10"/>
  <c r="AB414" i="10"/>
  <c r="AB345" i="10"/>
  <c r="AB213" i="10"/>
  <c r="AB323" i="10"/>
  <c r="AB308" i="10"/>
  <c r="AB444" i="10"/>
  <c r="M68" i="13"/>
  <c r="P68" i="13"/>
  <c r="O68" i="13"/>
  <c r="N68" i="13"/>
  <c r="L68" i="13"/>
  <c r="J69" i="13" a="1"/>
  <c r="J69" i="13" s="1"/>
  <c r="AB403" i="10"/>
  <c r="AB427" i="10"/>
  <c r="AB106" i="10"/>
  <c r="AB9" i="10"/>
  <c r="AB452" i="10"/>
  <c r="AB146" i="10"/>
  <c r="AB375" i="10"/>
  <c r="AB430" i="10"/>
  <c r="AB70" i="10"/>
  <c r="T22" i="13"/>
  <c r="Y22" i="13"/>
  <c r="Z22" i="13"/>
  <c r="S22" i="13"/>
  <c r="AB496" i="10"/>
  <c r="AB266" i="10"/>
  <c r="AB485" i="10"/>
  <c r="AB232" i="10"/>
  <c r="AB194" i="10"/>
  <c r="AB428" i="10"/>
  <c r="AB263" i="10"/>
  <c r="AB196" i="10"/>
  <c r="AB372" i="10"/>
  <c r="AB394" i="10"/>
  <c r="AB183" i="10"/>
  <c r="AB268" i="10"/>
  <c r="AB59" i="10"/>
  <c r="AB104" i="10"/>
  <c r="AB299" i="10"/>
  <c r="AB120" i="10"/>
  <c r="AH20" i="13"/>
  <c r="AE21" i="13"/>
  <c r="AB151" i="10" s="1"/>
  <c r="AC22" i="13" a="1"/>
  <c r="AC22" i="13" s="1"/>
  <c r="AB282" i="10"/>
  <c r="AB103" i="10"/>
  <c r="M308" i="13"/>
  <c r="AB470" i="10"/>
  <c r="AB252" i="10"/>
  <c r="M314" i="13"/>
  <c r="AB119" i="10"/>
  <c r="O23" i="13"/>
  <c r="N23" i="13"/>
  <c r="M24" i="13" a="1"/>
  <c r="M24" i="13" s="1"/>
  <c r="AB359" i="10"/>
  <c r="AB281" i="10"/>
  <c r="AB425" i="10"/>
  <c r="AB32" i="10"/>
  <c r="AB212" i="10"/>
  <c r="AB199" i="10"/>
  <c r="AB79" i="10"/>
  <c r="AB58" i="10"/>
  <c r="AB450" i="10"/>
  <c r="AB290" i="10"/>
  <c r="AB474" i="10"/>
  <c r="AB220" i="10"/>
  <c r="AB163" i="10" l="1"/>
  <c r="AB461" i="10"/>
  <c r="AB265" i="10"/>
  <c r="AB361" i="10"/>
  <c r="AB374" i="10"/>
  <c r="G319" i="13"/>
  <c r="AB441" i="10"/>
  <c r="G325" i="13"/>
  <c r="AB210" i="10"/>
  <c r="I327" i="13"/>
  <c r="AB161" i="10"/>
  <c r="AB383" i="10"/>
  <c r="AB241" i="10"/>
  <c r="AB197" i="10"/>
  <c r="AB35" i="10"/>
  <c r="AB117" i="10"/>
  <c r="X23" i="13" a="1"/>
  <c r="X23" i="13" s="1"/>
  <c r="T23" i="13"/>
  <c r="Y23" i="13"/>
  <c r="Z23" i="13"/>
  <c r="R24" i="13" a="1"/>
  <c r="R24" i="13" s="1"/>
  <c r="S24" i="13" s="1"/>
  <c r="N24" i="13"/>
  <c r="O24" i="13"/>
  <c r="M25" i="13" a="1"/>
  <c r="M25" i="13" s="1"/>
  <c r="AB175" i="10"/>
  <c r="AB477" i="10"/>
  <c r="AB34" i="10"/>
  <c r="AB82" i="10"/>
  <c r="AE22" i="13"/>
  <c r="AB234" i="10" s="1"/>
  <c r="AC23" i="13" a="1"/>
  <c r="AC23" i="13" s="1"/>
  <c r="AB48" i="10"/>
  <c r="AB244" i="10"/>
  <c r="AB406" i="10"/>
  <c r="AB37" i="10"/>
  <c r="P69" i="13"/>
  <c r="M69" i="13"/>
  <c r="L69" i="13"/>
  <c r="O69" i="13"/>
  <c r="N69" i="13"/>
  <c r="J70" i="13" a="1"/>
  <c r="J70" i="13" s="1"/>
  <c r="AB291" i="10"/>
  <c r="AB453" i="10"/>
  <c r="AB10" i="10"/>
  <c r="AB153" i="10"/>
  <c r="AB21" i="10"/>
  <c r="AB51" i="10"/>
  <c r="AB334" i="10"/>
  <c r="AB499" i="10"/>
  <c r="AH21" i="13"/>
  <c r="AB129" i="10"/>
  <c r="AB386" i="10" l="1"/>
  <c r="AH18" i="13"/>
  <c r="I320" i="13"/>
  <c r="J324" i="13"/>
  <c r="AB62" i="10"/>
  <c r="X24" i="13" a="1"/>
  <c r="X24" i="13" s="1"/>
  <c r="R25" i="13" a="1"/>
  <c r="R25" i="13" s="1"/>
  <c r="Z25" i="13" s="1"/>
  <c r="Z24" i="13"/>
  <c r="Y24" i="13"/>
  <c r="T24" i="13"/>
  <c r="AH23" i="13"/>
  <c r="AE23" i="13"/>
  <c r="AB279" i="10" s="1"/>
  <c r="AC24" i="13" a="1"/>
  <c r="AC24" i="13" s="1"/>
  <c r="AH22" i="13"/>
  <c r="O25" i="13"/>
  <c r="N25" i="13"/>
  <c r="M26" i="13" a="1"/>
  <c r="M26" i="13" s="1"/>
  <c r="AB224" i="10"/>
  <c r="AB13" i="10"/>
  <c r="O70" i="13"/>
  <c r="N70" i="13"/>
  <c r="M70" i="13"/>
  <c r="L70" i="13"/>
  <c r="P70" i="13"/>
  <c r="J71" i="13" a="1"/>
  <c r="J71" i="13" s="1"/>
  <c r="AB270" i="10" l="1"/>
  <c r="X25" i="13" a="1"/>
  <c r="X25" i="13" s="1"/>
  <c r="R26" i="13" a="1"/>
  <c r="R26" i="13" s="1"/>
  <c r="Z26" i="13" s="1"/>
  <c r="T25" i="13"/>
  <c r="S25" i="13"/>
  <c r="Y25" i="13"/>
  <c r="AE24" i="13"/>
  <c r="AB285" i="10" s="1"/>
  <c r="AC25" i="13" a="1"/>
  <c r="AC25" i="13" s="1"/>
  <c r="O26" i="13"/>
  <c r="N26" i="13"/>
  <c r="M27" i="13" a="1"/>
  <c r="M27" i="13" s="1"/>
  <c r="P71" i="13"/>
  <c r="N71" i="13"/>
  <c r="O71" i="13"/>
  <c r="M71" i="13"/>
  <c r="L71" i="13"/>
  <c r="J72" i="13" a="1"/>
  <c r="J72" i="13" s="1"/>
  <c r="AB437" i="10" l="1"/>
  <c r="AB98" i="10"/>
  <c r="AB368" i="10"/>
  <c r="AB44" i="10"/>
  <c r="AB260" i="10"/>
  <c r="AB191" i="10"/>
  <c r="AB275" i="10"/>
  <c r="AB29" i="10"/>
  <c r="AB123" i="10"/>
  <c r="AB353" i="10"/>
  <c r="AB447" i="10"/>
  <c r="AB113" i="10"/>
  <c r="AB206" i="10"/>
  <c r="AB422" i="10"/>
  <c r="J321" i="13"/>
  <c r="X26" i="13" a="1"/>
  <c r="X26" i="13" s="1"/>
  <c r="R27" i="13" a="1"/>
  <c r="R27" i="13" s="1"/>
  <c r="S27" i="13" s="1"/>
  <c r="Y26" i="13"/>
  <c r="S26" i="13"/>
  <c r="T26" i="13"/>
  <c r="AE25" i="13"/>
  <c r="AB315" i="10" s="1"/>
  <c r="AH25" i="13"/>
  <c r="AC26" i="13" a="1"/>
  <c r="AC26" i="13" s="1"/>
  <c r="P72" i="13"/>
  <c r="O72" i="13"/>
  <c r="M72" i="13"/>
  <c r="N72" i="13"/>
  <c r="L72" i="13"/>
  <c r="J73" i="13" a="1"/>
  <c r="J73" i="13" s="1"/>
  <c r="O27" i="13"/>
  <c r="N27" i="13"/>
  <c r="M28" i="13" a="1"/>
  <c r="M28" i="13" s="1"/>
  <c r="X27" i="13" l="1" a="1"/>
  <c r="X27" i="13" s="1"/>
  <c r="Z27" i="13"/>
  <c r="T27" i="13"/>
  <c r="Y27" i="13"/>
  <c r="AH26" i="13"/>
  <c r="AE26" i="13"/>
  <c r="AB337" i="10" s="1"/>
  <c r="AC27" i="13" a="1"/>
  <c r="AC27" i="13" s="1"/>
  <c r="N73" i="13"/>
  <c r="L73" i="13"/>
  <c r="P73" i="13"/>
  <c r="O73" i="13"/>
  <c r="M73" i="13"/>
  <c r="J74" i="13" a="1"/>
  <c r="J74" i="13" s="1"/>
  <c r="N28" i="13"/>
  <c r="O28" i="13"/>
  <c r="M29" i="13" a="1"/>
  <c r="M29" i="13" s="1"/>
  <c r="AH27" i="13" l="1"/>
  <c r="AE27" i="13"/>
  <c r="O29" i="13"/>
  <c r="N29" i="13"/>
  <c r="M30" i="13" a="1"/>
  <c r="M30" i="13" s="1"/>
  <c r="O74" i="13"/>
  <c r="N74" i="13"/>
  <c r="M74" i="13"/>
  <c r="P74" i="13"/>
  <c r="L74" i="13"/>
  <c r="J75" i="13" a="1"/>
  <c r="J75" i="13" s="1"/>
  <c r="L75" i="13" l="1"/>
  <c r="P75" i="13"/>
  <c r="O75" i="13"/>
  <c r="N75" i="13"/>
  <c r="M75" i="13"/>
  <c r="J76" i="13" a="1"/>
  <c r="J76" i="13" s="1"/>
  <c r="O30" i="13"/>
  <c r="N30" i="13"/>
  <c r="O76" i="13" l="1"/>
  <c r="M76" i="13"/>
  <c r="L76" i="13"/>
  <c r="P76" i="13"/>
  <c r="N76" i="13"/>
  <c r="J77" i="13" a="1"/>
  <c r="J77" i="13" s="1"/>
  <c r="AB475" i="10" l="1"/>
  <c r="AB329" i="10"/>
  <c r="AB335" i="10"/>
  <c r="AB313" i="10"/>
  <c r="AB328" i="10"/>
  <c r="AB487" i="10"/>
  <c r="AB330" i="10"/>
  <c r="AB301" i="10"/>
  <c r="AB325" i="10"/>
  <c r="P77" i="13"/>
  <c r="O77" i="13"/>
  <c r="N77" i="13"/>
  <c r="M77" i="13"/>
  <c r="L77" i="13"/>
  <c r="J78" i="13" a="1"/>
  <c r="J78" i="13" s="1"/>
  <c r="AB261" i="10"/>
  <c r="AB436" i="10"/>
  <c r="AB321" i="10"/>
  <c r="AB410" i="10"/>
  <c r="AB188" i="10"/>
  <c r="AB262" i="10"/>
  <c r="AB255" i="10"/>
  <c r="AB181" i="10"/>
  <c r="AB186" i="10"/>
  <c r="AB237" i="10"/>
  <c r="AB419" i="10"/>
  <c r="AB205" i="10"/>
  <c r="M315" i="13"/>
  <c r="AB43" i="10"/>
  <c r="AB351" i="10"/>
  <c r="M306" i="13"/>
  <c r="AB305" i="10"/>
  <c r="AB95" i="10"/>
  <c r="AB355" i="10"/>
  <c r="AB73" i="10"/>
  <c r="AB193" i="10"/>
  <c r="AB159" i="10"/>
  <c r="AB274" i="10"/>
  <c r="AB466" i="10"/>
  <c r="AB302" i="10"/>
  <c r="AB483" i="10"/>
  <c r="M312" i="13"/>
  <c r="AB481" i="10"/>
  <c r="AB238" i="10"/>
  <c r="AB420" i="10"/>
  <c r="AH17" i="13"/>
  <c r="AB143" i="10"/>
  <c r="AB354" i="10"/>
  <c r="AB412" i="10"/>
  <c r="AB343" i="10"/>
  <c r="AB367" i="10"/>
  <c r="AB250" i="10"/>
  <c r="AB424" i="10"/>
  <c r="M309" i="13"/>
  <c r="M311" i="13"/>
  <c r="AB433" i="10"/>
  <c r="AB457" i="10"/>
  <c r="M316" i="13"/>
  <c r="AB350" i="10"/>
  <c r="AB100" i="10"/>
  <c r="AB295" i="10"/>
  <c r="AB96" i="10"/>
  <c r="AB397" i="10"/>
  <c r="AB258" i="10"/>
  <c r="AB399" i="10"/>
  <c r="L333" i="13" l="1"/>
  <c r="AI17" i="13"/>
  <c r="AF17" i="13"/>
  <c r="L336" i="13"/>
  <c r="AF20" i="13"/>
  <c r="AI20" i="13"/>
  <c r="AI22" i="13"/>
  <c r="L338" i="13"/>
  <c r="AF22" i="13"/>
  <c r="L337" i="13"/>
  <c r="AF21" i="13"/>
  <c r="AI21" i="13"/>
  <c r="AI18" i="13"/>
  <c r="L334" i="13"/>
  <c r="AF18" i="13"/>
  <c r="J323" i="13"/>
  <c r="M305" i="13"/>
  <c r="D310" i="13"/>
  <c r="AG74" i="13"/>
  <c r="AG78" i="13"/>
  <c r="AG77" i="13"/>
  <c r="AG76" i="13"/>
  <c r="AG75" i="13"/>
  <c r="AG66" i="13"/>
  <c r="AG73" i="13"/>
  <c r="AG72" i="13"/>
  <c r="AG71" i="13"/>
  <c r="AG70" i="13"/>
  <c r="AG69" i="13"/>
  <c r="AG68" i="13"/>
  <c r="AG67" i="13"/>
  <c r="AG65" i="13"/>
  <c r="AG64" i="13"/>
  <c r="AF64" i="13" s="1"/>
  <c r="L339" i="13"/>
  <c r="L340" i="13"/>
  <c r="L343" i="13"/>
  <c r="H338" i="13"/>
  <c r="L341" i="13"/>
  <c r="L342" i="13"/>
  <c r="H335" i="13"/>
  <c r="H333" i="13"/>
  <c r="H336" i="13"/>
  <c r="H337" i="13"/>
  <c r="H340" i="13"/>
  <c r="H334" i="13"/>
  <c r="H339" i="13"/>
  <c r="P336" i="13"/>
  <c r="P333" i="13"/>
  <c r="P337" i="13"/>
  <c r="P335" i="13"/>
  <c r="R306" i="13"/>
  <c r="P334" i="13"/>
  <c r="R308" i="13"/>
  <c r="R305" i="13"/>
  <c r="R309" i="13"/>
  <c r="R307" i="13"/>
  <c r="H317" i="13"/>
  <c r="I318" i="13"/>
  <c r="M310" i="13"/>
  <c r="J326" i="13"/>
  <c r="AB464" i="10"/>
  <c r="M307" i="13"/>
  <c r="G316" i="13"/>
  <c r="M313" i="13"/>
  <c r="J325" i="13"/>
  <c r="I316" i="13"/>
  <c r="J318" i="13"/>
  <c r="AB271" i="10"/>
  <c r="H321" i="13"/>
  <c r="AB99" i="10"/>
  <c r="J327" i="13"/>
  <c r="AB392" i="10"/>
  <c r="G321" i="13"/>
  <c r="AB202" i="10"/>
  <c r="I326" i="13"/>
  <c r="AB304" i="10"/>
  <c r="H325" i="13"/>
  <c r="AB488" i="10"/>
  <c r="F317" i="13"/>
  <c r="AB189" i="10"/>
  <c r="I325" i="13"/>
  <c r="AB297" i="10"/>
  <c r="H324" i="13"/>
  <c r="AB400" i="10"/>
  <c r="G322" i="13"/>
  <c r="AB417" i="10"/>
  <c r="G323" i="13"/>
  <c r="AB124" i="10"/>
  <c r="I317" i="13"/>
  <c r="AB257" i="10"/>
  <c r="H320" i="13"/>
  <c r="AB390" i="10"/>
  <c r="G320" i="13"/>
  <c r="F318" i="13"/>
  <c r="F316" i="13"/>
  <c r="H316" i="13"/>
  <c r="I323" i="13"/>
  <c r="J317" i="13"/>
  <c r="AB66" i="10"/>
  <c r="J322" i="13"/>
  <c r="AB135" i="10"/>
  <c r="I319" i="13"/>
  <c r="AB364" i="10"/>
  <c r="G318" i="13"/>
  <c r="AB235" i="10"/>
  <c r="H318" i="13"/>
  <c r="AB286" i="10"/>
  <c r="H322" i="13"/>
  <c r="AB179" i="10"/>
  <c r="I324" i="13"/>
  <c r="AB287" i="10"/>
  <c r="H323" i="13"/>
  <c r="AB423" i="10"/>
  <c r="G324" i="13"/>
  <c r="AB319" i="10"/>
  <c r="H326" i="13"/>
  <c r="AB448" i="10"/>
  <c r="G326" i="13"/>
  <c r="J320" i="13"/>
  <c r="AB248" i="10"/>
  <c r="H319" i="13"/>
  <c r="AB348" i="10"/>
  <c r="G317" i="13"/>
  <c r="AB164" i="10"/>
  <c r="I322" i="13"/>
  <c r="AB326" i="10"/>
  <c r="H327" i="13"/>
  <c r="J319" i="13"/>
  <c r="AB449" i="10"/>
  <c r="G327" i="13"/>
  <c r="AB157" i="10"/>
  <c r="I321" i="13"/>
  <c r="D308" i="13"/>
  <c r="D309" i="13" s="1"/>
  <c r="H298" i="13"/>
  <c r="E298" i="13"/>
  <c r="F298" i="13"/>
  <c r="J298" i="13"/>
  <c r="D298" i="13"/>
  <c r="K280" i="13"/>
  <c r="G298" i="13"/>
  <c r="I298" i="13"/>
  <c r="K276" i="13"/>
  <c r="C298" i="13"/>
  <c r="K281" i="13"/>
  <c r="K278" i="13"/>
  <c r="K279" i="13"/>
  <c r="K283" i="13"/>
  <c r="K277" i="13"/>
  <c r="K282" i="13"/>
  <c r="J11" i="3"/>
  <c r="E257" i="13" s="1"/>
  <c r="AB68" i="10"/>
  <c r="AB467" i="10"/>
  <c r="AD34" i="13"/>
  <c r="AB142" i="10"/>
  <c r="J3" i="3"/>
  <c r="AB459" i="10"/>
  <c r="AH24" i="13"/>
  <c r="AB228" i="10"/>
  <c r="AD36" i="13"/>
  <c r="J17" i="3"/>
  <c r="E263" i="13" s="1"/>
  <c r="AB17" i="10"/>
  <c r="AD38" i="13"/>
  <c r="AI23" i="13"/>
  <c r="AF23" i="13"/>
  <c r="AB76" i="10"/>
  <c r="J7" i="3"/>
  <c r="E253" i="13" s="1"/>
  <c r="AB75" i="10"/>
  <c r="J6" i="3"/>
  <c r="E252" i="13" s="1"/>
  <c r="J16" i="3"/>
  <c r="E262" i="13" s="1"/>
  <c r="AB133" i="10"/>
  <c r="AB341" i="10"/>
  <c r="AD35" i="13"/>
  <c r="AB30" i="10"/>
  <c r="J8" i="3"/>
  <c r="E254" i="13" s="1"/>
  <c r="AB88" i="10"/>
  <c r="J15" i="3"/>
  <c r="E261" i="13" s="1"/>
  <c r="AB503" i="10"/>
  <c r="S152" i="13"/>
  <c r="AB40" i="10"/>
  <c r="J14" i="3"/>
  <c r="E260" i="13" s="1"/>
  <c r="AB26" i="10"/>
  <c r="J4" i="3"/>
  <c r="E250" i="13" s="1"/>
  <c r="AI26" i="13"/>
  <c r="AF26" i="13"/>
  <c r="AB125" i="10"/>
  <c r="J12" i="3"/>
  <c r="E258" i="13" s="1"/>
  <c r="J19" i="3"/>
  <c r="E265" i="13" s="1"/>
  <c r="AB19" i="10"/>
  <c r="AI24" i="13"/>
  <c r="AF24" i="13"/>
  <c r="O78" i="13"/>
  <c r="M78" i="13"/>
  <c r="P78" i="13"/>
  <c r="N78" i="13"/>
  <c r="L78" i="13"/>
  <c r="J79" i="13" a="1"/>
  <c r="J79" i="13" s="1"/>
  <c r="AB230" i="10"/>
  <c r="J22" i="3"/>
  <c r="E268" i="13" s="1"/>
  <c r="AB192" i="10"/>
  <c r="J10" i="3"/>
  <c r="E256" i="13" s="1"/>
  <c r="AB31" i="10"/>
  <c r="J9" i="3"/>
  <c r="E255" i="13" s="1"/>
  <c r="AB140" i="10"/>
  <c r="J23" i="3"/>
  <c r="E269" i="13" s="1"/>
  <c r="AB109" i="10"/>
  <c r="AD37" i="13"/>
  <c r="J18" i="3"/>
  <c r="E264" i="13" s="1"/>
  <c r="J24" i="3"/>
  <c r="E270" i="13" s="1"/>
  <c r="AB24" i="10"/>
  <c r="AI25" i="13"/>
  <c r="AF25" i="13"/>
  <c r="AB93" i="10"/>
  <c r="J20" i="3"/>
  <c r="E266" i="13" s="1"/>
  <c r="AB27" i="10"/>
  <c r="J5" i="3"/>
  <c r="E251" i="13" s="1"/>
  <c r="AI27" i="13"/>
  <c r="AF27" i="13"/>
  <c r="AB86" i="10"/>
  <c r="J13" i="3"/>
  <c r="E259" i="13" s="1"/>
  <c r="AB112" i="10"/>
  <c r="J21" i="3"/>
  <c r="E267" i="13" s="1"/>
  <c r="M298" i="13" l="1"/>
  <c r="AE75" i="13"/>
  <c r="AF75" i="13"/>
  <c r="AE76" i="13"/>
  <c r="AF76" i="13"/>
  <c r="AE77" i="13"/>
  <c r="AF77" i="13"/>
  <c r="AE78" i="13"/>
  <c r="AF78" i="13"/>
  <c r="AE74" i="13"/>
  <c r="AF74" i="13"/>
  <c r="AE65" i="13"/>
  <c r="AF65" i="13"/>
  <c r="AE67" i="13"/>
  <c r="AF67" i="13"/>
  <c r="AE68" i="13"/>
  <c r="AF68" i="13"/>
  <c r="AE69" i="13"/>
  <c r="AF69" i="13"/>
  <c r="AE70" i="13"/>
  <c r="AF70" i="13"/>
  <c r="AE71" i="13"/>
  <c r="AF71" i="13"/>
  <c r="AE72" i="13"/>
  <c r="AF72" i="13"/>
  <c r="AE73" i="13"/>
  <c r="AF73" i="13"/>
  <c r="AE66" i="13"/>
  <c r="AF66" i="13"/>
  <c r="AE64" i="13"/>
  <c r="S306" i="13"/>
  <c r="S308" i="13"/>
  <c r="S307" i="13"/>
  <c r="S305" i="13"/>
  <c r="N317" i="13"/>
  <c r="N313" i="13" s="1"/>
  <c r="S156" i="13"/>
  <c r="T156" i="13" s="1"/>
  <c r="S157" i="13"/>
  <c r="T157" i="13" s="1"/>
  <c r="S155" i="13"/>
  <c r="T155" i="13" s="1"/>
  <c r="S158" i="13"/>
  <c r="T158" i="13" s="1"/>
  <c r="E249" i="13"/>
  <c r="D190" i="13"/>
  <c r="D192" i="13" s="1"/>
  <c r="P79" i="13"/>
  <c r="O79" i="13"/>
  <c r="N79" i="13"/>
  <c r="M79" i="13"/>
  <c r="L79" i="13"/>
  <c r="J80" i="13" a="1"/>
  <c r="J80" i="13" s="1"/>
  <c r="N305" i="13" l="1"/>
  <c r="N308" i="13"/>
  <c r="N314" i="13"/>
  <c r="N306" i="13"/>
  <c r="N312" i="13"/>
  <c r="N307" i="13"/>
  <c r="N309" i="13"/>
  <c r="N315" i="13"/>
  <c r="N310" i="13"/>
  <c r="N316" i="13"/>
  <c r="N311" i="13"/>
  <c r="M80" i="13"/>
  <c r="L80" i="13"/>
  <c r="O80" i="13"/>
  <c r="P80" i="13"/>
  <c r="N80" i="13"/>
  <c r="J81" i="13" a="1"/>
  <c r="J81" i="13" s="1"/>
  <c r="Q18" i="7"/>
  <c r="Q19" i="7"/>
  <c r="Q10" i="7"/>
  <c r="Q11" i="7"/>
  <c r="Q13" i="7"/>
  <c r="Q12" i="7"/>
  <c r="Q16" i="7"/>
  <c r="Q17" i="7"/>
  <c r="Q20" i="7"/>
  <c r="Q4" i="7"/>
  <c r="Q3" i="7"/>
  <c r="Q9" i="7"/>
  <c r="Q15" i="7"/>
  <c r="Q8" i="7"/>
  <c r="Q24" i="7"/>
  <c r="Q7" i="7"/>
  <c r="Q6" i="7"/>
  <c r="Q5" i="7"/>
  <c r="Q21" i="7"/>
  <c r="Q22" i="7"/>
  <c r="Q23" i="7"/>
  <c r="Q14" i="7"/>
  <c r="R164" i="13" l="1"/>
  <c r="U164" i="13" s="1"/>
  <c r="C156" i="13"/>
  <c r="R163" i="13"/>
  <c r="U163" i="13" s="1"/>
  <c r="C155" i="13"/>
  <c r="O81" i="13"/>
  <c r="N81" i="13"/>
  <c r="M81" i="13"/>
  <c r="L81" i="13"/>
  <c r="J82" i="13" a="1"/>
  <c r="J82" i="13" s="1"/>
  <c r="C153" i="13"/>
  <c r="R161" i="13"/>
  <c r="U161" i="13" s="1"/>
  <c r="C154" i="13"/>
  <c r="R162" i="13"/>
  <c r="U162" i="13" s="1"/>
  <c r="O82" i="13" l="1"/>
  <c r="M82" i="13"/>
  <c r="N82" i="13"/>
  <c r="L82" i="13"/>
  <c r="J83" i="13" a="1"/>
  <c r="J83" i="13" s="1"/>
  <c r="O83" i="13" l="1"/>
  <c r="N83" i="13"/>
  <c r="M83" i="13"/>
  <c r="L83" i="13"/>
  <c r="J84" i="13" a="1"/>
  <c r="J84" i="13" s="1"/>
  <c r="O84" i="13" l="1"/>
  <c r="N84" i="13"/>
  <c r="M84" i="13"/>
  <c r="L84" i="13"/>
  <c r="J85" i="13" a="1"/>
  <c r="J85" i="13" s="1"/>
  <c r="N85" i="13" l="1"/>
  <c r="M85" i="13"/>
  <c r="L85" i="13"/>
  <c r="O85" i="13"/>
  <c r="J86" i="13" a="1"/>
  <c r="J86" i="13" s="1"/>
  <c r="O86" i="13" l="1"/>
  <c r="N86" i="13"/>
  <c r="M86" i="13"/>
  <c r="L86" i="13"/>
  <c r="J87" i="13" a="1"/>
  <c r="J87" i="13" s="1"/>
  <c r="L87" i="13" l="1"/>
  <c r="N87" i="13"/>
  <c r="O87" i="13"/>
  <c r="M87" i="13"/>
  <c r="J88" i="13" a="1"/>
  <c r="J88" i="13" s="1"/>
  <c r="O88" i="13" l="1"/>
  <c r="N88" i="13"/>
  <c r="M88" i="13"/>
  <c r="L88" i="13"/>
  <c r="J89" i="13" a="1"/>
  <c r="J89" i="13" s="1"/>
  <c r="O89" i="13" l="1"/>
  <c r="N89" i="13"/>
  <c r="L89" i="13"/>
  <c r="M89" i="13"/>
  <c r="J90" i="13" a="1"/>
  <c r="J90" i="13" s="1"/>
  <c r="O90" i="13" l="1"/>
  <c r="N90" i="13"/>
  <c r="M90" i="13"/>
  <c r="L90" i="13"/>
  <c r="J91" i="13" a="1"/>
  <c r="J91" i="13" s="1"/>
  <c r="O91" i="13" l="1"/>
  <c r="N91" i="13"/>
  <c r="M91" i="13"/>
  <c r="L91" i="13"/>
  <c r="J92" i="13" a="1"/>
  <c r="J92" i="13" s="1"/>
  <c r="M92" i="13" l="1"/>
  <c r="L92" i="13"/>
  <c r="O92" i="13"/>
  <c r="N92" i="13"/>
  <c r="D3" i="13"/>
  <c r="AG27" i="13" l="1"/>
  <c r="AG21" i="13"/>
  <c r="AG19" i="13"/>
  <c r="AG18" i="13"/>
  <c r="AG25" i="13"/>
  <c r="AG20" i="13"/>
  <c r="AG23" i="13"/>
  <c r="AG24" i="13"/>
  <c r="AG22" i="13"/>
  <c r="AG17" i="13"/>
  <c r="AW18" i="13" s="1" a="1"/>
  <c r="AW18" i="13" s="1"/>
  <c r="AG26" i="13"/>
  <c r="BC18" i="13" a="1"/>
  <c r="BC18" i="13" s="1"/>
  <c r="AL18" i="13" l="1" a="1"/>
  <c r="AL18" i="13" s="1"/>
  <c r="AM18" i="13" s="1"/>
  <c r="AY18" i="13"/>
  <c r="BA18" i="13"/>
  <c r="BG18" i="13"/>
  <c r="BF18" i="13"/>
  <c r="BE18" i="13"/>
  <c r="BD18" i="13"/>
  <c r="AX18" i="13"/>
  <c r="AZ18" i="13"/>
  <c r="AR18" i="13" l="1"/>
  <c r="AL19" i="13" a="1"/>
  <c r="AL19" i="13" s="1"/>
  <c r="AL20" i="13" s="1" a="1"/>
  <c r="AL20" i="13" s="1"/>
  <c r="AN20" i="13" s="1"/>
  <c r="AN18" i="13"/>
  <c r="AS18" i="13" s="1"/>
  <c r="AP18" i="13"/>
  <c r="AQ18" i="13"/>
  <c r="AO18" i="13"/>
  <c r="BC19" i="13" l="1" a="1"/>
  <c r="BC19" i="13" s="1"/>
  <c r="BG19" i="13" s="1"/>
  <c r="AW19" i="13" a="1"/>
  <c r="AW19" i="13" s="1"/>
  <c r="AY19" i="13" s="1"/>
  <c r="AQ19" i="13"/>
  <c r="AM19" i="13"/>
  <c r="AL21" i="13" a="1"/>
  <c r="AL21" i="13" s="1"/>
  <c r="AQ21" i="13" s="1"/>
  <c r="AQ20" i="13"/>
  <c r="AO19" i="13"/>
  <c r="AR19" i="13"/>
  <c r="AP19" i="13"/>
  <c r="AP20" i="13"/>
  <c r="AR20" i="13"/>
  <c r="AN19" i="13"/>
  <c r="AS19" i="13" s="1"/>
  <c r="AO20" i="13"/>
  <c r="AM20" i="13"/>
  <c r="AS20" i="13" s="1"/>
  <c r="BE19" i="13" l="1"/>
  <c r="BF19" i="13"/>
  <c r="BD19" i="13"/>
  <c r="AZ19" i="13"/>
  <c r="BA19" i="13"/>
  <c r="BC20" i="13" s="1" a="1"/>
  <c r="BC20" i="13" s="1"/>
  <c r="AX19" i="13"/>
  <c r="AW20" i="13" a="1"/>
  <c r="AW20" i="13" s="1"/>
  <c r="AX20" i="13" s="1"/>
  <c r="AL22" i="13" a="1"/>
  <c r="AL22" i="13" s="1"/>
  <c r="AM22" i="13" s="1"/>
  <c r="AR21" i="13"/>
  <c r="AO21" i="13"/>
  <c r="AN21" i="13"/>
  <c r="AM21" i="13"/>
  <c r="AP21" i="13"/>
  <c r="AW21" i="13" l="1" a="1"/>
  <c r="AW21" i="13" s="1"/>
  <c r="AW22" i="13" s="1" a="1"/>
  <c r="AW22" i="13" s="1"/>
  <c r="AY20" i="13"/>
  <c r="AZ20" i="13"/>
  <c r="BA20" i="13"/>
  <c r="AS21" i="13"/>
  <c r="AN22" i="13"/>
  <c r="AS22" i="13" s="1"/>
  <c r="AR22" i="13"/>
  <c r="AL23" i="13" a="1"/>
  <c r="AL23" i="13" s="1"/>
  <c r="AR23" i="13" s="1"/>
  <c r="AO22" i="13"/>
  <c r="AP22" i="13"/>
  <c r="AQ22" i="13"/>
  <c r="BF20" i="13"/>
  <c r="BE20" i="13"/>
  <c r="BD20" i="13"/>
  <c r="BG20" i="13"/>
  <c r="BC21" i="13" l="1" a="1"/>
  <c r="BC21" i="13" s="1"/>
  <c r="BF21" i="13" s="1"/>
  <c r="AX21" i="13"/>
  <c r="BA21" i="13"/>
  <c r="AZ21" i="13"/>
  <c r="AY21" i="13"/>
  <c r="AO23" i="13"/>
  <c r="AL24" i="13" a="1"/>
  <c r="AL24" i="13" s="1"/>
  <c r="AN24" i="13" s="1"/>
  <c r="AP23" i="13"/>
  <c r="AM23" i="13"/>
  <c r="AN23" i="13"/>
  <c r="AS23" i="13" s="1"/>
  <c r="AQ23" i="13"/>
  <c r="AY22" i="13"/>
  <c r="BA22" i="13"/>
  <c r="AZ22" i="13"/>
  <c r="AX22" i="13"/>
  <c r="AW23" i="13" a="1"/>
  <c r="AW23" i="13" s="1"/>
  <c r="BE21" i="13" l="1"/>
  <c r="BD21" i="13"/>
  <c r="BC22" i="13" a="1"/>
  <c r="BC22" i="13" s="1"/>
  <c r="BF22" i="13" s="1"/>
  <c r="BG21" i="13"/>
  <c r="AL25" i="13" a="1"/>
  <c r="AL25" i="13" s="1"/>
  <c r="AR25" i="13" s="1"/>
  <c r="AQ24" i="13"/>
  <c r="AM24" i="13"/>
  <c r="AS24" i="13" s="1"/>
  <c r="AO24" i="13"/>
  <c r="AP24" i="13"/>
  <c r="AR24" i="13"/>
  <c r="AY23" i="13"/>
  <c r="BA23" i="13"/>
  <c r="AX23" i="13"/>
  <c r="AZ23" i="13"/>
  <c r="AW24" i="13" a="1"/>
  <c r="AW24" i="13" s="1"/>
  <c r="BE22" i="13" l="1"/>
  <c r="BC23" i="13" a="1"/>
  <c r="BC23" i="13" s="1"/>
  <c r="BE23" i="13" s="1"/>
  <c r="BD22" i="13"/>
  <c r="BG22" i="13"/>
  <c r="AM25" i="13"/>
  <c r="AL26" i="13" a="1"/>
  <c r="AL26" i="13" s="1"/>
  <c r="AN26" i="13" s="1"/>
  <c r="AN25" i="13"/>
  <c r="AS25" i="13" s="1"/>
  <c r="AQ25" i="13"/>
  <c r="AO25" i="13"/>
  <c r="AP25" i="13"/>
  <c r="AX24" i="13"/>
  <c r="BA24" i="13"/>
  <c r="AY24" i="13"/>
  <c r="AZ24" i="13"/>
  <c r="AW25" i="13" a="1"/>
  <c r="AW25" i="13" s="1"/>
  <c r="BC24" i="13" l="1" a="1"/>
  <c r="BC24" i="13" s="1"/>
  <c r="BF24" i="13" s="1"/>
  <c r="BD23" i="13"/>
  <c r="BF23" i="13"/>
  <c r="BG23" i="13"/>
  <c r="AL27" i="13" a="1"/>
  <c r="AL27" i="13" s="1"/>
  <c r="AQ27" i="13" s="1"/>
  <c r="AR26" i="13"/>
  <c r="AP26" i="13"/>
  <c r="AM26" i="13"/>
  <c r="AS26" i="13" s="1"/>
  <c r="AQ26" i="13"/>
  <c r="AO26" i="13"/>
  <c r="AY25" i="13"/>
  <c r="AX25" i="13"/>
  <c r="AZ25" i="13"/>
  <c r="BA25" i="13"/>
  <c r="AW26" i="13" a="1"/>
  <c r="AW26" i="13" s="1"/>
  <c r="BE24" i="13" l="1"/>
  <c r="BD24" i="13"/>
  <c r="BG24" i="13"/>
  <c r="BC25" i="13" a="1"/>
  <c r="BC25" i="13" s="1"/>
  <c r="BE25" i="13" s="1"/>
  <c r="AM27" i="13"/>
  <c r="AN27" i="13"/>
  <c r="AO27" i="13"/>
  <c r="AR27" i="13"/>
  <c r="AP27" i="13"/>
  <c r="AZ26" i="13"/>
  <c r="BA26" i="13"/>
  <c r="AY26" i="13"/>
  <c r="AX26" i="13"/>
  <c r="AW27" i="13" a="1"/>
  <c r="AW27" i="13" s="1"/>
  <c r="BF25" i="13" l="1"/>
  <c r="BC26" i="13" a="1"/>
  <c r="BC26" i="13" s="1"/>
  <c r="BD26" i="13" s="1"/>
  <c r="BG25" i="13"/>
  <c r="BD25" i="13"/>
  <c r="AS27" i="13"/>
  <c r="BA27" i="13"/>
  <c r="AX27" i="13"/>
  <c r="AZ27" i="13"/>
  <c r="AY27" i="13"/>
  <c r="BG26" i="13" l="1"/>
  <c r="BC27" i="13" a="1"/>
  <c r="BC27" i="13" s="1"/>
  <c r="BE27" i="13" s="1"/>
  <c r="BF26" i="13"/>
  <c r="BE26" i="13"/>
  <c r="BG27" i="13" l="1"/>
  <c r="BF27" i="13"/>
  <c r="BD27" i="13"/>
</calcChain>
</file>

<file path=xl/sharedStrings.xml><?xml version="1.0" encoding="utf-8"?>
<sst xmlns="http://schemas.openxmlformats.org/spreadsheetml/2006/main" count="6024" uniqueCount="442">
  <si>
    <t>Billing</t>
  </si>
  <si>
    <t>Client ID</t>
  </si>
  <si>
    <t>Client Name</t>
  </si>
  <si>
    <t>Contact Person</t>
  </si>
  <si>
    <t>Address</t>
  </si>
  <si>
    <t>Email</t>
  </si>
  <si>
    <t>Phone Number</t>
  </si>
  <si>
    <t>ABC Corp</t>
  </si>
  <si>
    <t>John Doe</t>
  </si>
  <si>
    <t>123 Main St</t>
  </si>
  <si>
    <t>XYZ Ltd</t>
  </si>
  <si>
    <t>Jane Smith</t>
  </si>
  <si>
    <t>456 Elm St</t>
  </si>
  <si>
    <t>Case ID</t>
  </si>
  <si>
    <t>Case Type</t>
  </si>
  <si>
    <t>Assigned Lawyer</t>
  </si>
  <si>
    <t>Status</t>
  </si>
  <si>
    <t>Civil</t>
  </si>
  <si>
    <t>Alice Johnson</t>
  </si>
  <si>
    <t>Bob Brown</t>
  </si>
  <si>
    <t>Closed</t>
  </si>
  <si>
    <t>Hours Worked</t>
  </si>
  <si>
    <t>Task</t>
  </si>
  <si>
    <t>Due Date</t>
  </si>
  <si>
    <t>Outcome</t>
  </si>
  <si>
    <t>Name</t>
  </si>
  <si>
    <t>Phone</t>
  </si>
  <si>
    <t>Lawyers ID</t>
  </si>
  <si>
    <t>Date of Filing</t>
  </si>
  <si>
    <t>Criminal</t>
  </si>
  <si>
    <t>Matter</t>
  </si>
  <si>
    <t>Location</t>
  </si>
  <si>
    <t>Timekeeper</t>
  </si>
  <si>
    <t>Harry Ford</t>
  </si>
  <si>
    <t>Rose Watson</t>
  </si>
  <si>
    <t>Rosemary Bailey</t>
  </si>
  <si>
    <t>Roy Gray</t>
  </si>
  <si>
    <t>Ruby Kelly</t>
  </si>
  <si>
    <t>Tammy Watson</t>
  </si>
  <si>
    <t>Theodore Gray</t>
  </si>
  <si>
    <t>Tony Kelly</t>
  </si>
  <si>
    <t xml:space="preserve">Trisha Bailey  </t>
  </si>
  <si>
    <t xml:space="preserve">Troy Gray  </t>
  </si>
  <si>
    <t xml:space="preserve">Tyler Kelly  </t>
  </si>
  <si>
    <t xml:space="preserve">Valerie Ward  </t>
  </si>
  <si>
    <t xml:space="preserve">Vanessa Hughes  </t>
  </si>
  <si>
    <t xml:space="preserve">Vernon Watson  </t>
  </si>
  <si>
    <t xml:space="preserve">Steven Ward  </t>
  </si>
  <si>
    <t xml:space="preserve">Stuart Hughes  </t>
  </si>
  <si>
    <t xml:space="preserve">Sue Watson  </t>
  </si>
  <si>
    <t xml:space="preserve">Susan Bailey  </t>
  </si>
  <si>
    <t xml:space="preserve">Suzanne Gray  </t>
  </si>
  <si>
    <t xml:space="preserve">Sydney Kelly  </t>
  </si>
  <si>
    <t xml:space="preserve">Sylvia Ward  </t>
  </si>
  <si>
    <t xml:space="preserve">Tabitha Hughes  </t>
  </si>
  <si>
    <t xml:space="preserve">Grace Bryant  </t>
  </si>
  <si>
    <t xml:space="preserve">Graham Alexander  </t>
  </si>
  <si>
    <t xml:space="preserve">Grant Russell  </t>
  </si>
  <si>
    <t xml:space="preserve">Gregory Griffin  </t>
  </si>
  <si>
    <t xml:space="preserve">Gwen Diaz  </t>
  </si>
  <si>
    <t xml:space="preserve">Hannah Hayes  </t>
  </si>
  <si>
    <t xml:space="preserve">Harold Myers  </t>
  </si>
  <si>
    <t xml:space="preserve">Arthur Lee  </t>
  </si>
  <si>
    <t xml:space="preserve">Ashley Perez  </t>
  </si>
  <si>
    <t xml:space="preserve">Austin Thompson  </t>
  </si>
  <si>
    <t xml:space="preserve">Avery White  </t>
  </si>
  <si>
    <t xml:space="preserve">Barbara Harris  </t>
  </si>
  <si>
    <t xml:space="preserve">Beatrice Clark  </t>
  </si>
  <si>
    <t xml:space="preserve">Benjamin Lewis  </t>
  </si>
  <si>
    <t>Tinkerbell's Treasures</t>
  </si>
  <si>
    <t>Quantum Quirk Solutions</t>
  </si>
  <si>
    <t>Blue Moon Innovations</t>
  </si>
  <si>
    <t>Crimson Cove Ventures</t>
  </si>
  <si>
    <t>Golden Horizon Enterprises</t>
  </si>
  <si>
    <t>Zephyr Dynamics</t>
  </si>
  <si>
    <t>Whimsy Works</t>
  </si>
  <si>
    <t>Nova Nexus</t>
  </si>
  <si>
    <t>Eclipse Eco-Tech</t>
  </si>
  <si>
    <t>Twilight Travels</t>
  </si>
  <si>
    <t>Azure Heights</t>
  </si>
  <si>
    <t>Radiant Realms</t>
  </si>
  <si>
    <t>Mosaic Machines</t>
  </si>
  <si>
    <t>Starlit Strategies</t>
  </si>
  <si>
    <t>Nimbus Networks</t>
  </si>
  <si>
    <t>Cascade Creations</t>
  </si>
  <si>
    <t>Velvet Valley Ventures</t>
  </si>
  <si>
    <t>Harmony Harvest</t>
  </si>
  <si>
    <t>Phoenix Foundations</t>
  </si>
  <si>
    <t>Luna Luxuries</t>
  </si>
  <si>
    <t xml:space="preserve">Paul Hughes  </t>
  </si>
  <si>
    <t xml:space="preserve">Paula Perry  </t>
  </si>
  <si>
    <t xml:space="preserve">Peggy Watson  </t>
  </si>
  <si>
    <t xml:space="preserve">Peter Bailey  </t>
  </si>
  <si>
    <t xml:space="preserve">Philip Gray  </t>
  </si>
  <si>
    <t xml:space="preserve">Phyllis Kelly  </t>
  </si>
  <si>
    <t xml:space="preserve">Rachel Ward  </t>
  </si>
  <si>
    <t xml:space="preserve">Ralph Hughes  </t>
  </si>
  <si>
    <t xml:space="preserve">Randy Watson  </t>
  </si>
  <si>
    <t xml:space="preserve">Raymond Bailey  </t>
  </si>
  <si>
    <t xml:space="preserve">Rebecca Gray  </t>
  </si>
  <si>
    <t xml:space="preserve">Regina Kelly  </t>
  </si>
  <si>
    <t xml:space="preserve">Renee Ward  </t>
  </si>
  <si>
    <t xml:space="preserve">Richard Hughes  </t>
  </si>
  <si>
    <t xml:space="preserve">Rick Watson  </t>
  </si>
  <si>
    <t xml:space="preserve">Nathan Ward  </t>
  </si>
  <si>
    <t xml:space="preserve">Nathaniel Hughes  </t>
  </si>
  <si>
    <t xml:space="preserve">Neil Watson  </t>
  </si>
  <si>
    <t xml:space="preserve">Nicholas Bailey  </t>
  </si>
  <si>
    <t xml:space="preserve">Nicole Gray  </t>
  </si>
  <si>
    <t xml:space="preserve">Nina Kelly  </t>
  </si>
  <si>
    <t xml:space="preserve">Noah Ward  </t>
  </si>
  <si>
    <t xml:space="preserve">New York  </t>
  </si>
  <si>
    <t xml:space="preserve">Los Angeles  </t>
  </si>
  <si>
    <t xml:space="preserve">Chicago  </t>
  </si>
  <si>
    <t xml:space="preserve">Houston  </t>
  </si>
  <si>
    <t xml:space="preserve">Phoenix  </t>
  </si>
  <si>
    <t xml:space="preserve">Philadelphia  </t>
  </si>
  <si>
    <t xml:space="preserve">San Antonio  </t>
  </si>
  <si>
    <t xml:space="preserve">San Diego  </t>
  </si>
  <si>
    <t xml:space="preserve">Contract Dispute  </t>
  </si>
  <si>
    <t xml:space="preserve">Property Dispute  </t>
  </si>
  <si>
    <t xml:space="preserve">Employment Discrimination  </t>
  </si>
  <si>
    <t xml:space="preserve">Bankruptcy  </t>
  </si>
  <si>
    <t xml:space="preserve">Intellectual Property  </t>
  </si>
  <si>
    <t xml:space="preserve">Real Estate Transaction  </t>
  </si>
  <si>
    <t xml:space="preserve">Debt Collection  </t>
  </si>
  <si>
    <t xml:space="preserve">Class Action  </t>
  </si>
  <si>
    <t xml:space="preserve">Defamation  </t>
  </si>
  <si>
    <t xml:space="preserve">Landlord-Tenant Dispute  </t>
  </si>
  <si>
    <t xml:space="preserve">Insurance Claim  </t>
  </si>
  <si>
    <t xml:space="preserve">Corporate Governance  </t>
  </si>
  <si>
    <t xml:space="preserve">Trade Secrets  </t>
  </si>
  <si>
    <t xml:space="preserve">Product Liability  </t>
  </si>
  <si>
    <t xml:space="preserve">Environmental Law  </t>
  </si>
  <si>
    <t xml:space="preserve">Civil Rights  </t>
  </si>
  <si>
    <t xml:space="preserve">Tax Dispute  </t>
  </si>
  <si>
    <t xml:space="preserve">Construction Defect  </t>
  </si>
  <si>
    <t xml:space="preserve">Fraud  </t>
  </si>
  <si>
    <t xml:space="preserve">Workers' Compensation  </t>
  </si>
  <si>
    <t xml:space="preserve">Appeals  </t>
  </si>
  <si>
    <t xml:space="preserve">Privacy Violation  </t>
  </si>
  <si>
    <t xml:space="preserve">Business Formation  </t>
  </si>
  <si>
    <t xml:space="preserve">Securities Fraud  </t>
  </si>
  <si>
    <t xml:space="preserve">Trademark Infringement  </t>
  </si>
  <si>
    <t xml:space="preserve">Breach of Fiduciary Duty  </t>
  </si>
  <si>
    <t xml:space="preserve">Antitrust  </t>
  </si>
  <si>
    <t xml:space="preserve">Professional Malpractice  </t>
  </si>
  <si>
    <t xml:space="preserve">Election Law  </t>
  </si>
  <si>
    <t xml:space="preserve">Consumer Protection  </t>
  </si>
  <si>
    <t xml:space="preserve">Negotiable Instruments  </t>
  </si>
  <si>
    <t xml:space="preserve">Cybersecurity  </t>
  </si>
  <si>
    <t xml:space="preserve">Fiduciary Litigation  </t>
  </si>
  <si>
    <t xml:space="preserve">Public Interest Law  </t>
  </si>
  <si>
    <t xml:space="preserve">Asbestos Litigation  </t>
  </si>
  <si>
    <t xml:space="preserve">Maritime Law  </t>
  </si>
  <si>
    <t xml:space="preserve">Credit Reporting Disputes  </t>
  </si>
  <si>
    <t>File appeal</t>
  </si>
  <si>
    <t>Review documents</t>
  </si>
  <si>
    <t>Client consultation</t>
  </si>
  <si>
    <t>Research case law</t>
  </si>
  <si>
    <t>Draft motion</t>
  </si>
  <si>
    <t>Prepare for hearing</t>
  </si>
  <si>
    <t>Settled</t>
  </si>
  <si>
    <t>In Progress</t>
  </si>
  <si>
    <t>Lost</t>
  </si>
  <si>
    <t>Won</t>
  </si>
  <si>
    <t>Overall Status</t>
  </si>
  <si>
    <t>On Hold</t>
  </si>
  <si>
    <t>No. of Cases Assigned</t>
  </si>
  <si>
    <t>Class</t>
  </si>
  <si>
    <t>alice.johnson@example.com</t>
  </si>
  <si>
    <t>bob.brown@samplemail.com</t>
  </si>
  <si>
    <t>tammy.watson@example.com</t>
  </si>
  <si>
    <t>tony.kelly@fastmail.com</t>
  </si>
  <si>
    <t>rose.watson@internetmail.com</t>
  </si>
  <si>
    <t>rosemary.bailey@samplemail.com</t>
  </si>
  <si>
    <t>roy.gray@fastmail.com</t>
  </si>
  <si>
    <t>ruby.kelly@internetmail.com</t>
  </si>
  <si>
    <t>+1-555-123-4567</t>
  </si>
  <si>
    <t>+44-20-7946-958</t>
  </si>
  <si>
    <t>+61-2-9374-4000</t>
  </si>
  <si>
    <t>+49-30-1234567</t>
  </si>
  <si>
    <t>+91-22-12345678</t>
  </si>
  <si>
    <t>+81-3-1234-5678</t>
  </si>
  <si>
    <t>+33-1-23456789</t>
  </si>
  <si>
    <t>+39-6-12345678</t>
  </si>
  <si>
    <t>+86-10-12345678</t>
  </si>
  <si>
    <t>+7-495-123-4567</t>
  </si>
  <si>
    <t>+34-91-1234567</t>
  </si>
  <si>
    <t>+55-11-1234-5678</t>
  </si>
  <si>
    <t>+27-21-123-4567</t>
  </si>
  <si>
    <t>+64-9-123-4567</t>
  </si>
  <si>
    <t>+46-8-1234567</t>
  </si>
  <si>
    <t>+31-20-1234567</t>
  </si>
  <si>
    <t>+82-2-1234-5678</t>
  </si>
  <si>
    <t>+61-3-1234-5678</t>
  </si>
  <si>
    <t>+1-416-123-4567</t>
  </si>
  <si>
    <t>+351-21-1234567</t>
  </si>
  <si>
    <t>+64-4-123-4567</t>
  </si>
  <si>
    <t>+90-212-123-4567</t>
  </si>
  <si>
    <t>john.doe@abccorp.com</t>
  </si>
  <si>
    <t>jane.smith@xyzltd.com</t>
  </si>
  <si>
    <t>arthur.lee..@mailcity.com</t>
  </si>
  <si>
    <t>ashley.perez..@directmail.com</t>
  </si>
  <si>
    <t>austin.thompson..@fastpost.com</t>
  </si>
  <si>
    <t>avery.white..@nowmail.com</t>
  </si>
  <si>
    <t>barbara.harris..@mailcity.com</t>
  </si>
  <si>
    <t>beatrice.clark..@directmail.com</t>
  </si>
  <si>
    <t>benjamin.lewis..@nowmail.com</t>
  </si>
  <si>
    <t>grace.bryant..@mailcity.com</t>
  </si>
  <si>
    <t>graham.alexander..@abccorp.com</t>
  </si>
  <si>
    <t>grant.russell..@xyzltd.com</t>
  </si>
  <si>
    <t>gregory.griffin..@mailcity.com</t>
  </si>
  <si>
    <t>gwen.diaz..@nowmail.com</t>
  </si>
  <si>
    <t>hannah.hayes..@mailcity.com</t>
  </si>
  <si>
    <t>harold.myers..@directmail.com</t>
  </si>
  <si>
    <t>harry.ford@nowmail.com</t>
  </si>
  <si>
    <t>paul.hughes..@mailcity.com</t>
  </si>
  <si>
    <t>paula.perry..@abccorp.com</t>
  </si>
  <si>
    <t>peggy.watson..@xyzltd.com</t>
  </si>
  <si>
    <t>peter.bailey..@fastpost.com</t>
  </si>
  <si>
    <t>theodore.gray@abccorp.com</t>
  </si>
  <si>
    <t>789 Oak St</t>
  </si>
  <si>
    <t>321 Pine St</t>
  </si>
  <si>
    <t>654 Maple St</t>
  </si>
  <si>
    <t>987 Cedar St</t>
  </si>
  <si>
    <t>432 Birch St</t>
  </si>
  <si>
    <t>876 Willow St</t>
  </si>
  <si>
    <t>543 Spruce St</t>
  </si>
  <si>
    <t>210 Chestnut St</t>
  </si>
  <si>
    <t>765 Walnut St</t>
  </si>
  <si>
    <t>432 Ash St</t>
  </si>
  <si>
    <t>109 Beech St</t>
  </si>
  <si>
    <t>876 Fir St</t>
  </si>
  <si>
    <t>543 Palm St</t>
  </si>
  <si>
    <t>210 Redwood St</t>
  </si>
  <si>
    <t>678 Cypress St</t>
  </si>
  <si>
    <t>987 Sycamore St</t>
  </si>
  <si>
    <t>654 Dogwood St</t>
  </si>
  <si>
    <t>321 Poplar St</t>
  </si>
  <si>
    <t>890 Hickory St</t>
  </si>
  <si>
    <t>123 Magnolia St</t>
  </si>
  <si>
    <t>'+44-20-7946-0958</t>
  </si>
  <si>
    <t>'+61-2-9374-4000</t>
  </si>
  <si>
    <t>'+49-30-1234567</t>
  </si>
  <si>
    <t>'+91-22-12345678</t>
  </si>
  <si>
    <t>'+81-3-1234-5678</t>
  </si>
  <si>
    <t>'+33-1-23456789</t>
  </si>
  <si>
    <t>'+39-06-12345678</t>
  </si>
  <si>
    <t>'+86-10-12345678</t>
  </si>
  <si>
    <t>'+7-495-123-4567</t>
  </si>
  <si>
    <t>'+34-91-1234567</t>
  </si>
  <si>
    <t>'+55-11-1234-5678</t>
  </si>
  <si>
    <t>'+27-21-123-4567</t>
  </si>
  <si>
    <t>'+64-9-123-4567</t>
  </si>
  <si>
    <t>'+46-8-1234567</t>
  </si>
  <si>
    <t>'+31-20-1234567</t>
  </si>
  <si>
    <t>'+82-2-1234-5678</t>
  </si>
  <si>
    <t>'+61-3-1234-5678</t>
  </si>
  <si>
    <t>'+1-416-123-4567</t>
  </si>
  <si>
    <t>'+351-21-1234567</t>
  </si>
  <si>
    <t>'+64-4-123-4567</t>
  </si>
  <si>
    <t>'+90-212-123-4567</t>
  </si>
  <si>
    <t>'+353-1-1234567</t>
  </si>
  <si>
    <t>Employment Tribunal</t>
  </si>
  <si>
    <t>Bankruptcy</t>
  </si>
  <si>
    <t>Federal</t>
  </si>
  <si>
    <t>Housing</t>
  </si>
  <si>
    <t>Environmental</t>
  </si>
  <si>
    <t>Tax</t>
  </si>
  <si>
    <t>Workers' Compensation</t>
  </si>
  <si>
    <t>Appellate</t>
  </si>
  <si>
    <t>Specialized Election</t>
  </si>
  <si>
    <t>Date of Closure</t>
  </si>
  <si>
    <t/>
  </si>
  <si>
    <t>Total Number of Cases</t>
  </si>
  <si>
    <t>Cases by Status</t>
  </si>
  <si>
    <t>Case Count</t>
  </si>
  <si>
    <t>Lawyer Names</t>
  </si>
  <si>
    <t>Matter Names</t>
  </si>
  <si>
    <t>Total Number of Matter</t>
  </si>
  <si>
    <t>Total Number of Lawyer</t>
  </si>
  <si>
    <t>Total Number of Client</t>
  </si>
  <si>
    <t>Client Names</t>
  </si>
  <si>
    <t>Total</t>
  </si>
  <si>
    <t>Contribution %</t>
  </si>
  <si>
    <t>Case Analysis based on Lawyers</t>
  </si>
  <si>
    <t>Case Analysis based on Matter</t>
  </si>
  <si>
    <t>Case Analysis based on Client</t>
  </si>
  <si>
    <t>Avg No of Cases/Lawyer</t>
  </si>
  <si>
    <t>Approx hrs/case</t>
  </si>
  <si>
    <t>Avg TAT of Closed Cases</t>
  </si>
  <si>
    <t>Turn Around Time (TAT)</t>
  </si>
  <si>
    <t>Case Analysis based on Case Type</t>
  </si>
  <si>
    <t>Case Analysis based on Location</t>
  </si>
  <si>
    <t>trisha.bailey@fastmail.com</t>
  </si>
  <si>
    <t>troy.gray@internetmail.com</t>
  </si>
  <si>
    <t>tyler.kelly@netmail.com</t>
  </si>
  <si>
    <t>valerie.ward@fastmail.com</t>
  </si>
  <si>
    <t>vanessa.hughes@internetmail.com</t>
  </si>
  <si>
    <t>vernon.watson@netmail.com</t>
  </si>
  <si>
    <t>steven.ward@fastmail.com</t>
  </si>
  <si>
    <t>stuart.hughes@internetmail.com</t>
  </si>
  <si>
    <t>sue.watson@netmail.com</t>
  </si>
  <si>
    <t>susan.bailey@example.com</t>
  </si>
  <si>
    <t>suzanne.gray@fastmail.com</t>
  </si>
  <si>
    <t>sydney.kelly@internetmail.com</t>
  </si>
  <si>
    <t>sylvia.ward@example.com</t>
  </si>
  <si>
    <t>tabitha.hughes@netmail.com</t>
  </si>
  <si>
    <t>Volume of Cases based on Year and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</si>
  <si>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</si>
  <si>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</si>
  <si>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</si>
  <si>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</si>
  <si>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</si>
  <si>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</si>
  <si>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</si>
  <si>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</si>
  <si>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</si>
  <si>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</si>
  <si>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</si>
  <si>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</si>
  <si>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</si>
  <si>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Month</t>
  </si>
  <si>
    <t>Cases Filed</t>
  </si>
  <si>
    <t>Cases Closed</t>
  </si>
  <si>
    <t xml:space="preserve"> </t>
  </si>
  <si>
    <t>Volume of Cases based on Year</t>
  </si>
  <si>
    <t>No of Cases</t>
  </si>
  <si>
    <t>Case Count based on Status</t>
  </si>
  <si>
    <t>Average TAT (Days)</t>
  </si>
  <si>
    <t>Select Year</t>
  </si>
  <si>
    <t>Select Month</t>
  </si>
  <si>
    <t>Case Count and Average TAT based on Closure Status</t>
  </si>
  <si>
    <t>Case Count and Average TAT based on In Progress Status</t>
  </si>
  <si>
    <t>Case Filed % Contr.</t>
  </si>
  <si>
    <t>1-3 Months</t>
  </si>
  <si>
    <t>3-6 Months</t>
  </si>
  <si>
    <t>6-9 Months</t>
  </si>
  <si>
    <t>9 Months - 1 Year</t>
  </si>
  <si>
    <t>&gt; 1 Year</t>
  </si>
  <si>
    <t>Billed Amount</t>
  </si>
  <si>
    <t>Avg Hourly Billed Rate</t>
  </si>
  <si>
    <t>Total Billed Amnt</t>
  </si>
  <si>
    <t>Total Cases</t>
  </si>
  <si>
    <t>Last Billed Date</t>
  </si>
  <si>
    <t>Date of Hearing</t>
  </si>
  <si>
    <t>Billed Year</t>
  </si>
  <si>
    <t>Billed Amount weightage</t>
  </si>
  <si>
    <t>Lawyers</t>
  </si>
  <si>
    <t>In Progress Cases</t>
  </si>
  <si>
    <t>Grade wise case Count</t>
  </si>
  <si>
    <t>Grade</t>
  </si>
  <si>
    <t>Won %</t>
  </si>
  <si>
    <t>Grade A</t>
  </si>
  <si>
    <t>Grade B</t>
  </si>
  <si>
    <t>Grade C</t>
  </si>
  <si>
    <t>Grade D</t>
  </si>
  <si>
    <t>Lost %</t>
  </si>
  <si>
    <t>Settled %</t>
  </si>
  <si>
    <t>Grade wise Won-Loss-Settled case Count</t>
  </si>
  <si>
    <t>Lawyer wise TAT Analysis</t>
  </si>
  <si>
    <t>Top Graded Lawyers (Grade A &amp; B)</t>
  </si>
  <si>
    <t>Case Weightage over Lawyer Grade</t>
  </si>
  <si>
    <t>Case</t>
  </si>
  <si>
    <t>Weightage</t>
  </si>
  <si>
    <t>Paid</t>
  </si>
  <si>
    <t>Due</t>
  </si>
  <si>
    <t>Active</t>
  </si>
  <si>
    <t>Inactive</t>
  </si>
  <si>
    <t>Case Weightage over Active/Inactive Status</t>
  </si>
  <si>
    <t>Won%</t>
  </si>
  <si>
    <t>Lost%</t>
  </si>
  <si>
    <t>Amount Paid</t>
  </si>
  <si>
    <t>Cases</t>
  </si>
  <si>
    <t>TAT (Days)</t>
  </si>
  <si>
    <t>Cases Won</t>
  </si>
  <si>
    <t>Cases Lost</t>
  </si>
  <si>
    <t>Lawyer wise Cases based on Year and Month</t>
  </si>
  <si>
    <t>Lawyer wise Cases based on Year</t>
  </si>
  <si>
    <t>Cases Assigned</t>
  </si>
  <si>
    <t>Payable</t>
  </si>
  <si>
    <t>Due %</t>
  </si>
  <si>
    <t>Hrs Spent</t>
  </si>
  <si>
    <t>Total Hrs</t>
  </si>
  <si>
    <t>Rate</t>
  </si>
  <si>
    <t>Total Hours</t>
  </si>
  <si>
    <t>Amount</t>
  </si>
  <si>
    <t>Rate /Hr</t>
  </si>
  <si>
    <t>Count</t>
  </si>
  <si>
    <t>Total Payable</t>
  </si>
  <si>
    <t>Rank</t>
  </si>
  <si>
    <t>Lawyer</t>
  </si>
  <si>
    <t>Assigned</t>
  </si>
  <si>
    <t>Win %</t>
  </si>
  <si>
    <t>Total Billed</t>
  </si>
  <si>
    <t>Number of Cases</t>
  </si>
  <si>
    <t>Clients</t>
  </si>
  <si>
    <t>Total Number of Clients</t>
  </si>
  <si>
    <t>Total Paid</t>
  </si>
  <si>
    <t>Total Due</t>
  </si>
  <si>
    <t>YTD Analysis based on Client</t>
  </si>
  <si>
    <t>MTD Analysis based on Client</t>
  </si>
  <si>
    <t>Client wise TAT Analysis</t>
  </si>
  <si>
    <t>Billing Detail of Client</t>
  </si>
  <si>
    <t>Total Billable Hours</t>
  </si>
  <si>
    <t>Billable Hours</t>
  </si>
  <si>
    <t>YTD Won</t>
  </si>
  <si>
    <t>YTD Lost</t>
  </si>
  <si>
    <t>MTD Case Filed</t>
  </si>
  <si>
    <t>MTD Won</t>
  </si>
  <si>
    <t>MTD Lost</t>
  </si>
  <si>
    <t>YTD Case Filed</t>
  </si>
  <si>
    <t>In Progress TAT</t>
  </si>
  <si>
    <t>Closure TAT</t>
  </si>
  <si>
    <t>TAT Range</t>
  </si>
  <si>
    <t>Location wise Analysis</t>
  </si>
  <si>
    <t>Attributes</t>
  </si>
  <si>
    <t>Billable Hours Year wise</t>
  </si>
  <si>
    <t>Billable Hours Location wise</t>
  </si>
  <si>
    <t>Billable Hours Case Type wise</t>
  </si>
  <si>
    <t>Billed Value/Case</t>
  </si>
  <si>
    <t>YoY Growth/Degrowth Percentage</t>
  </si>
  <si>
    <t>Months</t>
  </si>
  <si>
    <t>Billed Month</t>
  </si>
  <si>
    <t>Yearly Contribution %</t>
  </si>
  <si>
    <t>Amount Billed</t>
  </si>
  <si>
    <t>Growth Degrowth %</t>
  </si>
  <si>
    <t>Client</t>
  </si>
  <si>
    <t>Top 5 Clients by Billable Hours</t>
  </si>
  <si>
    <t>Bottom 5 Clients by Billable Hours</t>
  </si>
  <si>
    <t>Billed Hours</t>
  </si>
  <si>
    <t>Case Id</t>
  </si>
  <si>
    <t>Billed Value</t>
  </si>
  <si>
    <t>Top 15 High Valued Cases</t>
  </si>
  <si>
    <t>Top 5 Clients based on Billable hours</t>
  </si>
  <si>
    <t>Highest Billed Value</t>
  </si>
  <si>
    <t>Billing Amnt (Closed Cases)</t>
  </si>
  <si>
    <t>Avg Amount/Hr</t>
  </si>
  <si>
    <t>Billing Amnt(In Progress)</t>
  </si>
  <si>
    <t>Month wise Case No</t>
  </si>
  <si>
    <t>Matter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</si>
</sst>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d/mmm/yy;@"/>
    <numFmt numFmtId="165" formatCode="0.0"/>
    <numFmt numFmtId="166" formatCode="[$-409]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B5D7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2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vertical="center" wrapText="1"/>
    </xf>
    <xf numFmtId="0" fontId="0" fillId="0" borderId="3" xfId="0" applyBorder="1"/>
    <xf numFmtId="0" fontId="0" fillId="0" borderId="9" xfId="0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5" xfId="0" applyFont="1" applyBorder="1"/>
    <xf numFmtId="0" fontId="1" fillId="0" borderId="14" xfId="0" applyFont="1" applyBorder="1"/>
    <xf numFmtId="0" fontId="1" fillId="0" borderId="16" xfId="0" applyFont="1" applyBorder="1"/>
    <xf numFmtId="0" fontId="1" fillId="0" borderId="18" xfId="0" applyFont="1" applyBorder="1"/>
    <xf numFmtId="0" fontId="1" fillId="0" borderId="20" xfId="0" applyFont="1" applyBorder="1"/>
    <xf numFmtId="0" fontId="0" fillId="0" borderId="0" xfId="0" applyBorder="1"/>
    <xf numFmtId="9" fontId="0" fillId="0" borderId="0" xfId="1" applyFont="1" applyAlignment="1">
      <alignment horizontal="center"/>
    </xf>
    <xf numFmtId="0" fontId="3" fillId="4" borderId="0" xfId="0" applyFont="1" applyFill="1"/>
    <xf numFmtId="0" fontId="1" fillId="3" borderId="0" xfId="0" applyFont="1" applyFill="1" applyAlignment="1">
      <alignment horizontal="center"/>
    </xf>
    <xf numFmtId="0" fontId="3" fillId="4" borderId="0" xfId="0" applyFont="1" applyFill="1" applyAlignment="1"/>
    <xf numFmtId="0" fontId="0" fillId="0" borderId="3" xfId="0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right"/>
    </xf>
    <xf numFmtId="0" fontId="0" fillId="0" borderId="20" xfId="0" applyBorder="1"/>
    <xf numFmtId="0" fontId="3" fillId="4" borderId="27" xfId="0" applyFont="1" applyFill="1" applyBorder="1"/>
    <xf numFmtId="0" fontId="3" fillId="4" borderId="28" xfId="0" applyFont="1" applyFill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2" fontId="0" fillId="0" borderId="32" xfId="0" applyNumberFormat="1" applyBorder="1"/>
    <xf numFmtId="0" fontId="0" fillId="0" borderId="33" xfId="0" applyBorder="1"/>
    <xf numFmtId="2" fontId="0" fillId="0" borderId="21" xfId="0" applyNumberFormat="1" applyBorder="1"/>
    <xf numFmtId="0" fontId="1" fillId="2" borderId="34" xfId="0" applyFont="1" applyFill="1" applyBorder="1" applyAlignment="1">
      <alignment horizontal="center" vertical="center" wrapText="1"/>
    </xf>
    <xf numFmtId="0" fontId="3" fillId="4" borderId="0" xfId="0" applyFont="1" applyFill="1" applyBorder="1"/>
    <xf numFmtId="165" fontId="0" fillId="0" borderId="0" xfId="0" applyNumberFormat="1"/>
    <xf numFmtId="0" fontId="1" fillId="3" borderId="0" xfId="0" applyFont="1" applyFill="1" applyAlignment="1">
      <alignment horizontal="center"/>
    </xf>
    <xf numFmtId="0" fontId="0" fillId="5" borderId="0" xfId="0" applyFill="1"/>
    <xf numFmtId="9" fontId="0" fillId="0" borderId="0" xfId="1" applyFont="1"/>
    <xf numFmtId="0" fontId="0" fillId="0" borderId="17" xfId="0" applyBorder="1" applyAlignment="1">
      <alignment horizontal="right"/>
    </xf>
    <xf numFmtId="0" fontId="0" fillId="0" borderId="19" xfId="0" applyBorder="1" applyAlignment="1">
      <alignment horizontal="right"/>
    </xf>
    <xf numFmtId="165" fontId="0" fillId="0" borderId="19" xfId="0" applyNumberFormat="1" applyBorder="1" applyAlignment="1">
      <alignment horizontal="right"/>
    </xf>
    <xf numFmtId="1" fontId="0" fillId="0" borderId="19" xfId="0" applyNumberFormat="1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0" xfId="0" applyAlignment="1">
      <alignment horizontal="center"/>
    </xf>
    <xf numFmtId="43" fontId="0" fillId="0" borderId="0" xfId="2" applyFont="1" applyAlignment="1">
      <alignment horizontal="center"/>
    </xf>
    <xf numFmtId="0" fontId="3" fillId="4" borderId="0" xfId="0" applyFont="1" applyFill="1" applyAlignment="1">
      <alignment horizontal="center"/>
    </xf>
    <xf numFmtId="0" fontId="0" fillId="8" borderId="0" xfId="0" applyFill="1"/>
    <xf numFmtId="0" fontId="7" fillId="0" borderId="14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23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6" xfId="1" applyFont="1" applyBorder="1" applyAlignment="1">
      <alignment horizontal="center"/>
    </xf>
    <xf numFmtId="9" fontId="0" fillId="0" borderId="24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0" fontId="0" fillId="0" borderId="19" xfId="0" applyBorder="1"/>
    <xf numFmtId="0" fontId="1" fillId="0" borderId="20" xfId="0" applyFont="1" applyFill="1" applyBorder="1"/>
    <xf numFmtId="0" fontId="0" fillId="0" borderId="21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23" xfId="1" applyNumberFormat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6" xfId="1" applyNumberFormat="1" applyFont="1" applyBorder="1" applyAlignment="1">
      <alignment horizontal="center"/>
    </xf>
    <xf numFmtId="9" fontId="0" fillId="0" borderId="0" xfId="0" applyNumberFormat="1"/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43" fontId="0" fillId="0" borderId="0" xfId="2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0" borderId="0" xfId="0" applyNumberFormat="1"/>
    <xf numFmtId="43" fontId="0" fillId="0" borderId="0" xfId="2" applyFont="1"/>
    <xf numFmtId="0" fontId="1" fillId="0" borderId="40" xfId="0" applyFont="1" applyBorder="1"/>
    <xf numFmtId="43" fontId="0" fillId="0" borderId="7" xfId="2" applyFont="1" applyBorder="1"/>
    <xf numFmtId="0" fontId="1" fillId="0" borderId="17" xfId="0" applyFont="1" applyBorder="1" applyAlignment="1">
      <alignment horizontal="right"/>
    </xf>
    <xf numFmtId="0" fontId="1" fillId="0" borderId="19" xfId="0" applyFont="1" applyBorder="1"/>
    <xf numFmtId="43" fontId="1" fillId="0" borderId="19" xfId="0" applyNumberFormat="1" applyFont="1" applyBorder="1"/>
    <xf numFmtId="43" fontId="1" fillId="0" borderId="41" xfId="0" applyNumberFormat="1" applyFont="1" applyBorder="1"/>
    <xf numFmtId="43" fontId="1" fillId="0" borderId="21" xfId="0" applyNumberFormat="1" applyFont="1" applyBorder="1"/>
    <xf numFmtId="0" fontId="3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9" fontId="0" fillId="0" borderId="43" xfId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2" fontId="0" fillId="0" borderId="0" xfId="2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0" fillId="0" borderId="43" xfId="1" applyNumberFormat="1" applyFont="1" applyBorder="1" applyAlignment="1">
      <alignment horizontal="center"/>
    </xf>
    <xf numFmtId="0" fontId="0" fillId="0" borderId="43" xfId="2" applyNumberFormat="1" applyFont="1" applyBorder="1" applyAlignment="1">
      <alignment horizontal="center"/>
    </xf>
    <xf numFmtId="2" fontId="0" fillId="0" borderId="44" xfId="0" applyNumberForma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43" fontId="0" fillId="0" borderId="0" xfId="2" applyFont="1" applyBorder="1"/>
    <xf numFmtId="0" fontId="1" fillId="0" borderId="22" xfId="0" applyFont="1" applyBorder="1"/>
    <xf numFmtId="0" fontId="0" fillId="0" borderId="24" xfId="0" applyFont="1" applyBorder="1"/>
    <xf numFmtId="0" fontId="1" fillId="0" borderId="2" xfId="0" applyFont="1" applyBorder="1"/>
    <xf numFmtId="1" fontId="0" fillId="0" borderId="4" xfId="0" applyNumberFormat="1" applyBorder="1"/>
    <xf numFmtId="43" fontId="0" fillId="0" borderId="4" xfId="2" applyFont="1" applyBorder="1" applyAlignment="1">
      <alignment horizontal="right"/>
    </xf>
    <xf numFmtId="43" fontId="0" fillId="0" borderId="4" xfId="0" applyNumberFormat="1" applyBorder="1"/>
    <xf numFmtId="0" fontId="1" fillId="0" borderId="5" xfId="0" applyFont="1" applyBorder="1"/>
    <xf numFmtId="0" fontId="8" fillId="0" borderId="0" xfId="0" applyFont="1" applyFill="1" applyBorder="1" applyAlignment="1">
      <alignment horizontal="center"/>
    </xf>
    <xf numFmtId="0" fontId="0" fillId="0" borderId="49" xfId="0" applyBorder="1" applyAlignment="1">
      <alignment horizontal="center"/>
    </xf>
    <xf numFmtId="43" fontId="0" fillId="0" borderId="50" xfId="2" applyFont="1" applyBorder="1"/>
    <xf numFmtId="43" fontId="0" fillId="0" borderId="28" xfId="2" applyFont="1" applyBorder="1"/>
    <xf numFmtId="0" fontId="0" fillId="0" borderId="51" xfId="0" applyBorder="1" applyAlignment="1">
      <alignment horizontal="center"/>
    </xf>
    <xf numFmtId="43" fontId="0" fillId="0" borderId="52" xfId="2" applyFont="1" applyBorder="1"/>
    <xf numFmtId="0" fontId="0" fillId="0" borderId="53" xfId="0" applyBorder="1" applyAlignment="1">
      <alignment horizontal="center"/>
    </xf>
    <xf numFmtId="43" fontId="0" fillId="0" borderId="29" xfId="2" applyFont="1" applyBorder="1"/>
    <xf numFmtId="43" fontId="0" fillId="0" borderId="37" xfId="2" applyFont="1" applyBorder="1"/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4" borderId="0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165" fontId="0" fillId="0" borderId="0" xfId="0" applyNumberFormat="1" applyAlignment="1">
      <alignment horizontal="center"/>
    </xf>
    <xf numFmtId="0" fontId="1" fillId="3" borderId="0" xfId="0" applyFont="1" applyFill="1" applyAlignment="1"/>
    <xf numFmtId="0" fontId="0" fillId="0" borderId="0" xfId="0" applyBorder="1" applyAlignment="1">
      <alignment horizontal="center" vertical="center" wrapText="1"/>
    </xf>
    <xf numFmtId="1" fontId="0" fillId="0" borderId="0" xfId="0" applyNumberFormat="1"/>
    <xf numFmtId="0" fontId="10" fillId="0" borderId="0" xfId="0" applyFont="1" applyAlignment="1">
      <alignment horizontal="center"/>
    </xf>
    <xf numFmtId="9" fontId="10" fillId="0" borderId="0" xfId="1" applyFont="1" applyAlignment="1">
      <alignment horizontal="center"/>
    </xf>
    <xf numFmtId="43" fontId="10" fillId="0" borderId="0" xfId="2" applyFont="1" applyAlignment="1">
      <alignment horizontal="center"/>
    </xf>
    <xf numFmtId="165" fontId="10" fillId="0" borderId="0" xfId="0" applyNumberFormat="1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9" fontId="10" fillId="0" borderId="0" xfId="1" applyFont="1" applyBorder="1" applyAlignment="1">
      <alignment horizont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/>
    <xf numFmtId="0" fontId="0" fillId="9" borderId="8" xfId="0" applyFill="1" applyBorder="1" applyAlignment="1">
      <alignment vertical="center" wrapText="1"/>
    </xf>
    <xf numFmtId="0" fontId="0" fillId="9" borderId="9" xfId="0" applyFill="1" applyBorder="1" applyAlignment="1">
      <alignment vertical="center" wrapText="1"/>
    </xf>
    <xf numFmtId="0" fontId="0" fillId="9" borderId="9" xfId="0" applyFill="1" applyBorder="1" applyAlignment="1">
      <alignment vertical="center"/>
    </xf>
    <xf numFmtId="164" fontId="0" fillId="9" borderId="3" xfId="0" applyNumberFormat="1" applyFill="1" applyBorder="1"/>
    <xf numFmtId="164" fontId="0" fillId="9" borderId="9" xfId="0" applyNumberFormat="1" applyFill="1" applyBorder="1"/>
    <xf numFmtId="164" fontId="0" fillId="9" borderId="9" xfId="0" applyNumberFormat="1" applyFill="1" applyBorder="1" applyAlignment="1">
      <alignment vertical="center" wrapText="1"/>
    </xf>
    <xf numFmtId="0" fontId="0" fillId="9" borderId="9" xfId="0" applyFill="1" applyBorder="1"/>
    <xf numFmtId="1" fontId="0" fillId="9" borderId="9" xfId="0" applyNumberFormat="1" applyFill="1" applyBorder="1" applyAlignment="1">
      <alignment vertical="center" wrapText="1"/>
    </xf>
    <xf numFmtId="0" fontId="0" fillId="9" borderId="35" xfId="0" applyFill="1" applyBorder="1" applyAlignment="1">
      <alignment vertical="center" wrapText="1"/>
    </xf>
    <xf numFmtId="0" fontId="0" fillId="9" borderId="46" xfId="0" applyFill="1" applyBorder="1"/>
    <xf numFmtId="0" fontId="0" fillId="9" borderId="47" xfId="0" applyFill="1" applyBorder="1"/>
    <xf numFmtId="0" fontId="0" fillId="9" borderId="0" xfId="0" applyFill="1"/>
    <xf numFmtId="0" fontId="0" fillId="9" borderId="2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3" xfId="0" applyFill="1" applyBorder="1" applyAlignment="1"/>
    <xf numFmtId="164" fontId="0" fillId="9" borderId="3" xfId="0" applyNumberFormat="1" applyFill="1" applyBorder="1" applyAlignment="1">
      <alignment vertical="center" wrapText="1"/>
    </xf>
    <xf numFmtId="0" fontId="0" fillId="9" borderId="3" xfId="0" applyFill="1" applyBorder="1"/>
    <xf numFmtId="1" fontId="0" fillId="9" borderId="3" xfId="0" applyNumberFormat="1" applyFill="1" applyBorder="1" applyAlignment="1">
      <alignment vertical="center" wrapText="1"/>
    </xf>
    <xf numFmtId="0" fontId="0" fillId="9" borderId="2" xfId="0" applyFill="1" applyBorder="1" applyAlignment="1">
      <alignment vertical="center"/>
    </xf>
    <xf numFmtId="164" fontId="0" fillId="9" borderId="3" xfId="0" applyNumberFormat="1" applyFill="1" applyBorder="1" applyAlignment="1"/>
    <xf numFmtId="0" fontId="0" fillId="9" borderId="9" xfId="0" applyFill="1" applyBorder="1" applyAlignment="1"/>
    <xf numFmtId="164" fontId="0" fillId="9" borderId="9" xfId="0" applyNumberFormat="1" applyFill="1" applyBorder="1" applyAlignment="1">
      <alignment vertical="center"/>
    </xf>
    <xf numFmtId="1" fontId="0" fillId="9" borderId="3" xfId="0" applyNumberFormat="1" applyFill="1" applyBorder="1" applyAlignment="1">
      <alignment vertical="center"/>
    </xf>
    <xf numFmtId="0" fontId="0" fillId="9" borderId="0" xfId="0" applyFill="1" applyAlignment="1"/>
    <xf numFmtId="0" fontId="0" fillId="9" borderId="5" xfId="0" applyFill="1" applyBorder="1" applyAlignment="1">
      <alignment vertical="center" wrapText="1"/>
    </xf>
    <xf numFmtId="0" fontId="0" fillId="9" borderId="6" xfId="0" applyFill="1" applyBorder="1"/>
    <xf numFmtId="0" fontId="0" fillId="9" borderId="6" xfId="0" applyFill="1" applyBorder="1" applyAlignment="1">
      <alignment vertical="center"/>
    </xf>
    <xf numFmtId="0" fontId="0" fillId="9" borderId="6" xfId="0" applyFill="1" applyBorder="1" applyAlignment="1"/>
    <xf numFmtId="164" fontId="0" fillId="9" borderId="6" xfId="0" applyNumberFormat="1" applyFill="1" applyBorder="1"/>
    <xf numFmtId="1" fontId="0" fillId="9" borderId="6" xfId="0" applyNumberFormat="1" applyFill="1" applyBorder="1" applyAlignment="1">
      <alignment vertical="center" wrapText="1"/>
    </xf>
    <xf numFmtId="0" fontId="0" fillId="9" borderId="23" xfId="0" applyFill="1" applyBorder="1" applyAlignment="1">
      <alignment vertical="center"/>
    </xf>
    <xf numFmtId="0" fontId="0" fillId="9" borderId="23" xfId="0" applyFill="1" applyBorder="1"/>
    <xf numFmtId="0" fontId="0" fillId="9" borderId="0" xfId="1" applyNumberFormat="1" applyFont="1" applyFill="1"/>
    <xf numFmtId="0" fontId="0" fillId="9" borderId="4" xfId="0" applyFill="1" applyBorder="1"/>
    <xf numFmtId="0" fontId="11" fillId="9" borderId="0" xfId="0" applyFont="1" applyFill="1"/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0" xfId="0" quotePrefix="1" applyNumberFormat="1" applyFill="1" applyBorder="1"/>
    <xf numFmtId="2" fontId="0" fillId="9" borderId="0" xfId="0" applyNumberFormat="1" applyFill="1" applyBorder="1"/>
    <xf numFmtId="9" fontId="0" fillId="9" borderId="0" xfId="1" applyFont="1" applyFill="1" applyBorder="1"/>
    <xf numFmtId="43" fontId="0" fillId="9" borderId="0" xfId="2" applyNumberFormat="1" applyFont="1" applyFill="1" applyBorder="1"/>
    <xf numFmtId="43" fontId="0" fillId="9" borderId="0" xfId="0" applyNumberFormat="1" applyFill="1" applyBorder="1"/>
    <xf numFmtId="0" fontId="0" fillId="9" borderId="0" xfId="1" applyNumberFormat="1" applyFont="1" applyFill="1" applyBorder="1"/>
    <xf numFmtId="0" fontId="0" fillId="9" borderId="0" xfId="0" applyFill="1" applyBorder="1" applyAlignment="1"/>
    <xf numFmtId="0" fontId="0" fillId="9" borderId="0" xfId="0" applyFill="1" applyBorder="1" applyAlignment="1">
      <alignment horizontal="center"/>
    </xf>
    <xf numFmtId="0" fontId="0" fillId="9" borderId="22" xfId="0" applyFill="1" applyBorder="1" applyAlignment="1">
      <alignment vertical="center" wrapText="1"/>
    </xf>
    <xf numFmtId="0" fontId="0" fillId="9" borderId="23" xfId="0" applyFill="1" applyBorder="1" applyAlignment="1">
      <alignment vertical="center" wrapText="1"/>
    </xf>
    <xf numFmtId="1" fontId="0" fillId="9" borderId="38" xfId="0" applyNumberFormat="1" applyFill="1" applyBorder="1"/>
    <xf numFmtId="43" fontId="0" fillId="9" borderId="23" xfId="2" applyNumberFormat="1" applyFont="1" applyFill="1" applyBorder="1"/>
    <xf numFmtId="43" fontId="0" fillId="9" borderId="24" xfId="2" applyFont="1" applyFill="1" applyBorder="1"/>
    <xf numFmtId="1" fontId="0" fillId="9" borderId="36" xfId="0" applyNumberFormat="1" applyFill="1" applyBorder="1" applyAlignment="1"/>
    <xf numFmtId="43" fontId="0" fillId="9" borderId="3" xfId="0" applyNumberFormat="1" applyFill="1" applyBorder="1" applyAlignment="1"/>
    <xf numFmtId="43" fontId="0" fillId="9" borderId="4" xfId="2" applyFont="1" applyFill="1" applyBorder="1" applyAlignment="1"/>
    <xf numFmtId="1" fontId="0" fillId="9" borderId="36" xfId="0" applyNumberFormat="1" applyFill="1" applyBorder="1"/>
    <xf numFmtId="43" fontId="0" fillId="9" borderId="3" xfId="0" applyNumberFormat="1" applyFill="1" applyBorder="1"/>
    <xf numFmtId="43" fontId="0" fillId="9" borderId="4" xfId="2" applyFont="1" applyFill="1" applyBorder="1"/>
    <xf numFmtId="1" fontId="0" fillId="9" borderId="39" xfId="0" applyNumberFormat="1" applyFill="1" applyBorder="1"/>
    <xf numFmtId="43" fontId="0" fillId="9" borderId="6" xfId="0" applyNumberFormat="1" applyFill="1" applyBorder="1"/>
    <xf numFmtId="43" fontId="0" fillId="9" borderId="7" xfId="2" applyFont="1" applyFill="1" applyBorder="1"/>
    <xf numFmtId="0" fontId="0" fillId="9" borderId="24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7" xfId="0" applyFill="1" applyBorder="1"/>
    <xf numFmtId="166" fontId="0" fillId="9" borderId="3" xfId="0" applyNumberFormat="1" applyFill="1" applyBorder="1"/>
    <xf numFmtId="166" fontId="0" fillId="9" borderId="3" xfId="0" applyNumberFormat="1" applyFill="1" applyBorder="1" applyAlignment="1"/>
    <xf numFmtId="166" fontId="0" fillId="9" borderId="6" xfId="0" applyNumberFormat="1" applyFill="1" applyBorder="1"/>
    <xf numFmtId="0" fontId="6" fillId="6" borderId="25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left"/>
    </xf>
    <xf numFmtId="0" fontId="3" fillId="7" borderId="26" xfId="0" applyFont="1" applyFill="1" applyBorder="1" applyAlignment="1">
      <alignment horizontal="left"/>
    </xf>
    <xf numFmtId="0" fontId="5" fillId="6" borderId="25" xfId="0" applyFont="1" applyFill="1" applyBorder="1" applyAlignment="1">
      <alignment horizontal="center"/>
    </xf>
    <xf numFmtId="0" fontId="5" fillId="6" borderId="2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9" xfId="0" applyBorder="1" applyAlignment="1">
      <alignment horizontal="center"/>
    </xf>
    <xf numFmtId="0" fontId="3" fillId="4" borderId="48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4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F3825"/>
      <color rgb="FF4B5D75"/>
      <color rgb="FFEEE4F8"/>
      <color rgb="FFE5D7F5"/>
      <color rgb="FF528857"/>
      <color rgb="FFF9F9F9"/>
      <color rgb="FFF3F3F3"/>
      <color rgb="FFF0F0F0"/>
      <color rgb="FF4C7C6F"/>
      <color rgb="FF436D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299821840526802"/>
          <c:y val="3.2294347352922345E-2"/>
          <c:w val="0.7331138672409554"/>
          <c:h val="0.87419499391844313"/>
        </c:manualLayout>
      </c:layout>
      <c:barChart>
        <c:barDir val="bar"/>
        <c:grouping val="stacked"/>
        <c:varyColors val="0"/>
        <c:ser>
          <c:idx val="1"/>
          <c:order val="1"/>
          <c:tx>
            <c:strRef>
              <c:f>Analysis!$B$292</c:f>
              <c:strCache>
                <c:ptCount val="1"/>
                <c:pt idx="0">
                  <c:v>Won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Analysis!$C$287:$J$288</c:f>
              <c:multiLvlStrCache>
                <c:ptCount val="8"/>
                <c:lvl>
                  <c:pt idx="0">
                    <c:v>New York  </c:v>
                  </c:pt>
                  <c:pt idx="1">
                    <c:v>Los Angeles  </c:v>
                  </c:pt>
                  <c:pt idx="2">
                    <c:v>Chicago  </c:v>
                  </c:pt>
                  <c:pt idx="3">
                    <c:v>Houston  </c:v>
                  </c:pt>
                  <c:pt idx="4">
                    <c:v>Phoenix  </c:v>
                  </c:pt>
                  <c:pt idx="5">
                    <c:v>Philadelphia  </c:v>
                  </c:pt>
                  <c:pt idx="6">
                    <c:v>San Antonio  </c:v>
                  </c:pt>
                  <c:pt idx="7">
                    <c:v>San Diego  </c:v>
                  </c:pt>
                </c:lvl>
                <c:lvl>
                  <c:pt idx="0">
                    <c:v>Location</c:v>
                  </c:pt>
                </c:lvl>
              </c:multiLvlStrCache>
            </c:multiLvlStrRef>
          </c:cat>
          <c:val>
            <c:numRef>
              <c:f>Analysis!$C$292:$J$292</c:f>
              <c:numCache>
                <c:formatCode>General</c:formatCode>
                <c:ptCount val="8"/>
                <c:pt idx="0">
                  <c:v>12</c:v>
                </c:pt>
                <c:pt idx="1">
                  <c:v>13</c:v>
                </c:pt>
                <c:pt idx="2">
                  <c:v>15</c:v>
                </c:pt>
                <c:pt idx="3">
                  <c:v>18</c:v>
                </c:pt>
                <c:pt idx="4">
                  <c:v>24</c:v>
                </c:pt>
                <c:pt idx="5">
                  <c:v>17</c:v>
                </c:pt>
                <c:pt idx="6">
                  <c:v>14</c:v>
                </c:pt>
                <c:pt idx="7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98-4223-80EA-D309F6028EE3}"/>
            </c:ext>
          </c:extLst>
        </c:ser>
        <c:ser>
          <c:idx val="2"/>
          <c:order val="2"/>
          <c:tx>
            <c:strRef>
              <c:f>Analysis!$B$294</c:f>
              <c:strCache>
                <c:ptCount val="1"/>
                <c:pt idx="0">
                  <c:v>Lost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Analysis!$C$287:$J$288</c:f>
              <c:multiLvlStrCache>
                <c:ptCount val="8"/>
                <c:lvl>
                  <c:pt idx="0">
                    <c:v>New York  </c:v>
                  </c:pt>
                  <c:pt idx="1">
                    <c:v>Los Angeles  </c:v>
                  </c:pt>
                  <c:pt idx="2">
                    <c:v>Chicago  </c:v>
                  </c:pt>
                  <c:pt idx="3">
                    <c:v>Houston  </c:v>
                  </c:pt>
                  <c:pt idx="4">
                    <c:v>Phoenix  </c:v>
                  </c:pt>
                  <c:pt idx="5">
                    <c:v>Philadelphia  </c:v>
                  </c:pt>
                  <c:pt idx="6">
                    <c:v>San Antonio  </c:v>
                  </c:pt>
                  <c:pt idx="7">
                    <c:v>San Diego  </c:v>
                  </c:pt>
                </c:lvl>
                <c:lvl>
                  <c:pt idx="0">
                    <c:v>Location</c:v>
                  </c:pt>
                </c:lvl>
              </c:multiLvlStrCache>
            </c:multiLvlStrRef>
          </c:cat>
          <c:val>
            <c:numRef>
              <c:f>Analysis!$C$294:$J$294</c:f>
              <c:numCache>
                <c:formatCode>General</c:formatCode>
                <c:ptCount val="8"/>
                <c:pt idx="0">
                  <c:v>17</c:v>
                </c:pt>
                <c:pt idx="1">
                  <c:v>17</c:v>
                </c:pt>
                <c:pt idx="2">
                  <c:v>20</c:v>
                </c:pt>
                <c:pt idx="3">
                  <c:v>16</c:v>
                </c:pt>
                <c:pt idx="4">
                  <c:v>22</c:v>
                </c:pt>
                <c:pt idx="5">
                  <c:v>29</c:v>
                </c:pt>
                <c:pt idx="6">
                  <c:v>17</c:v>
                </c:pt>
                <c:pt idx="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98-4223-80EA-D309F6028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overlap val="100"/>
        <c:axId val="1766865919"/>
        <c:axId val="109292399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Analysis!$B$289</c15:sqref>
                        </c15:formulaRef>
                      </c:ext>
                    </c:extLst>
                    <c:strCache>
                      <c:ptCount val="1"/>
                      <c:pt idx="0">
                        <c:v>Clients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Analysis!$C$287:$J$288</c15:sqref>
                        </c15:formulaRef>
                      </c:ext>
                    </c:extLst>
                    <c:multiLvlStrCache>
                      <c:ptCount val="8"/>
                      <c:lvl>
                        <c:pt idx="0">
                          <c:v>New York  </c:v>
                        </c:pt>
                        <c:pt idx="1">
                          <c:v>Los Angeles  </c:v>
                        </c:pt>
                        <c:pt idx="2">
                          <c:v>Chicago  </c:v>
                        </c:pt>
                        <c:pt idx="3">
                          <c:v>Houston  </c:v>
                        </c:pt>
                        <c:pt idx="4">
                          <c:v>Phoenix  </c:v>
                        </c:pt>
                        <c:pt idx="5">
                          <c:v>Philadelphia  </c:v>
                        </c:pt>
                        <c:pt idx="6">
                          <c:v>San Antonio  </c:v>
                        </c:pt>
                        <c:pt idx="7">
                          <c:v>San Diego  </c:v>
                        </c:pt>
                      </c:lvl>
                      <c:lvl>
                        <c:pt idx="0">
                          <c:v>Location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Analysis!$C$291:$J$291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50</c:v>
                      </c:pt>
                      <c:pt idx="1">
                        <c:v>61</c:v>
                      </c:pt>
                      <c:pt idx="2">
                        <c:v>56</c:v>
                      </c:pt>
                      <c:pt idx="3">
                        <c:v>56</c:v>
                      </c:pt>
                      <c:pt idx="4">
                        <c:v>87</c:v>
                      </c:pt>
                      <c:pt idx="5">
                        <c:v>76</c:v>
                      </c:pt>
                      <c:pt idx="6">
                        <c:v>60</c:v>
                      </c:pt>
                      <c:pt idx="7">
                        <c:v>55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098-4223-80EA-D309F6028EE3}"/>
                  </c:ext>
                </c:extLst>
              </c15:ser>
            </c15:filteredBarSeries>
          </c:ext>
        </c:extLst>
      </c:barChart>
      <c:catAx>
        <c:axId val="1766865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923999"/>
        <c:crosses val="autoZero"/>
        <c:auto val="1"/>
        <c:lblAlgn val="ctr"/>
        <c:lblOffset val="100"/>
        <c:noMultiLvlLbl val="0"/>
      </c:catAx>
      <c:valAx>
        <c:axId val="109292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6865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Analysis!$I$33</c:f>
              <c:strCache>
                <c:ptCount val="1"/>
                <c:pt idx="0">
                  <c:v>Closure TAT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75-479D-873E-11B40C61C0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75-479D-873E-11B40C61C00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75-479D-873E-11B40C61C00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275-479D-873E-11B40C61C00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275-479D-873E-11B40C61C000}"/>
              </c:ext>
            </c:extLst>
          </c:dPt>
          <c:dLbls>
            <c:dLbl>
              <c:idx val="0"/>
              <c:layout>
                <c:manualLayout>
                  <c:x val="0.1677953756617713"/>
                  <c:y val="-9.16329356450807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75-479D-873E-11B40C61C000}"/>
                </c:ext>
              </c:extLst>
            </c:dLbl>
            <c:dLbl>
              <c:idx val="1"/>
              <c:layout>
                <c:manualLayout>
                  <c:x val="5.5239511906417856E-2"/>
                  <c:y val="0.3440394790983059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75-479D-873E-11B40C61C000}"/>
                </c:ext>
              </c:extLst>
            </c:dLbl>
            <c:dLbl>
              <c:idx val="2"/>
              <c:layout>
                <c:manualLayout>
                  <c:x val="-0.30897412717990935"/>
                  <c:y val="8.686164294505167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275-479D-873E-11B40C61C000}"/>
                </c:ext>
              </c:extLst>
            </c:dLbl>
            <c:dLbl>
              <c:idx val="3"/>
              <c:layout>
                <c:manualLayout>
                  <c:x val="-0.10725798981147688"/>
                  <c:y val="-0.1931463896626612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275-479D-873E-11B40C61C000}"/>
                </c:ext>
              </c:extLst>
            </c:dLbl>
            <c:dLbl>
              <c:idx val="4"/>
              <c:layout>
                <c:manualLayout>
                  <c:x val="-0.15327761208611546"/>
                  <c:y val="-0.1288329408262514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275-479D-873E-11B40C61C000}"/>
                </c:ext>
              </c:extLst>
            </c:dLbl>
            <c:spPr>
              <a:noFill/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bg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Analysis!$H$34:$H$38</c:f>
              <c:strCache>
                <c:ptCount val="5"/>
                <c:pt idx="0">
                  <c:v>1-3 Months</c:v>
                </c:pt>
                <c:pt idx="1">
                  <c:v>3-6 Months</c:v>
                </c:pt>
                <c:pt idx="2">
                  <c:v>6-9 Months</c:v>
                </c:pt>
                <c:pt idx="3">
                  <c:v>9 Months - 1 Year</c:v>
                </c:pt>
                <c:pt idx="4">
                  <c:v>&gt; 1 Year</c:v>
                </c:pt>
              </c:strCache>
            </c:strRef>
          </c:cat>
          <c:val>
            <c:numRef>
              <c:f>Analysis!$I$34:$I$38</c:f>
              <c:numCache>
                <c:formatCode>General</c:formatCode>
                <c:ptCount val="5"/>
                <c:pt idx="0">
                  <c:v>69</c:v>
                </c:pt>
                <c:pt idx="1">
                  <c:v>102</c:v>
                </c:pt>
                <c:pt idx="2">
                  <c:v>128</c:v>
                </c:pt>
                <c:pt idx="3">
                  <c:v>110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275-479D-873E-11B40C61C0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6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Analysis!$J$33</c:f>
              <c:strCache>
                <c:ptCount val="1"/>
                <c:pt idx="0">
                  <c:v>In Progress TAT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218-435E-BA6C-5D91E1EDEF8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218-435E-BA6C-5D91E1EDEF8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218-435E-BA6C-5D91E1EDEF8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218-435E-BA6C-5D91E1EDEF8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rgbClr val="00206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218-435E-BA6C-5D91E1EDEF87}"/>
              </c:ext>
            </c:extLst>
          </c:dPt>
          <c:dLbls>
            <c:dLbl>
              <c:idx val="0"/>
              <c:layout>
                <c:manualLayout>
                  <c:x val="-0.37802099499142988"/>
                  <c:y val="-7.0153144992707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25090826521344234"/>
                      <c:h val="0.1647331976467013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218-435E-BA6C-5D91E1EDEF87}"/>
                </c:ext>
              </c:extLst>
            </c:dLbl>
            <c:dLbl>
              <c:idx val="1"/>
              <c:layout>
                <c:manualLayout>
                  <c:x val="0.11314904608313607"/>
                  <c:y val="-0.12443572780116305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218-435E-BA6C-5D91E1EDEF87}"/>
                </c:ext>
              </c:extLst>
            </c:dLbl>
            <c:dLbl>
              <c:idx val="2"/>
              <c:layout>
                <c:manualLayout>
                  <c:x val="0.15051933222243663"/>
                  <c:y val="-8.313837571389806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218-435E-BA6C-5D91E1EDEF87}"/>
                </c:ext>
              </c:extLst>
            </c:dLbl>
            <c:dLbl>
              <c:idx val="3"/>
              <c:layout>
                <c:manualLayout>
                  <c:x val="5.1348869197889772E-2"/>
                  <c:y val="0.350572109742965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218-435E-BA6C-5D91E1EDEF87}"/>
                </c:ext>
              </c:extLst>
            </c:dLbl>
            <c:dLbl>
              <c:idx val="4"/>
              <c:layout>
                <c:manualLayout>
                  <c:x val="-0.13560566509567776"/>
                  <c:y val="0.1996262761566418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218-435E-BA6C-5D91E1EDEF87}"/>
                </c:ext>
              </c:extLst>
            </c:dLbl>
            <c:spPr>
              <a:noFill/>
              <a:ln>
                <a:solidFill>
                  <a:schemeClr val="bg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bg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Analysis!$H$34:$H$38</c:f>
              <c:strCache>
                <c:ptCount val="5"/>
                <c:pt idx="0">
                  <c:v>1-3 Months</c:v>
                </c:pt>
                <c:pt idx="1">
                  <c:v>3-6 Months</c:v>
                </c:pt>
                <c:pt idx="2">
                  <c:v>6-9 Months</c:v>
                </c:pt>
                <c:pt idx="3">
                  <c:v>9 Months - 1 Year</c:v>
                </c:pt>
                <c:pt idx="4">
                  <c:v>&gt; 1 Year</c:v>
                </c:pt>
              </c:strCache>
            </c:strRef>
          </c:cat>
          <c:val>
            <c:numRef>
              <c:f>Analysis!$J$34:$J$38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218-435E-BA6C-5D91E1EDE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6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Analysis!$L$32</c:f>
              <c:strCache>
                <c:ptCount val="1"/>
                <c:pt idx="0">
                  <c:v>Civil</c:v>
                </c:pt>
              </c:strCache>
            </c:strRef>
          </c:tx>
          <c:spPr>
            <a:solidFill>
              <a:srgbClr val="EF382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Analysis!$L$34:$L$38</c:f>
              <c:strCache>
                <c:ptCount val="5"/>
                <c:pt idx="0">
                  <c:v>1-3 Months</c:v>
                </c:pt>
                <c:pt idx="1">
                  <c:v>3-6 Months</c:v>
                </c:pt>
                <c:pt idx="2">
                  <c:v>6-9 Months</c:v>
                </c:pt>
                <c:pt idx="3">
                  <c:v>9 Months - 1 Year</c:v>
                </c:pt>
                <c:pt idx="4">
                  <c:v>&gt; 1 Year</c:v>
                </c:pt>
              </c:strCache>
            </c:strRef>
          </c:cat>
          <c:val>
            <c:numRef>
              <c:f>Analysis!$M$34:$M$38</c:f>
              <c:numCache>
                <c:formatCode>General</c:formatCode>
                <c:ptCount val="5"/>
                <c:pt idx="0">
                  <c:v>38</c:v>
                </c:pt>
                <c:pt idx="1">
                  <c:v>49</c:v>
                </c:pt>
                <c:pt idx="2">
                  <c:v>60</c:v>
                </c:pt>
                <c:pt idx="3">
                  <c:v>55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9-4B81-B2E9-EA8499C2941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83502943"/>
        <c:axId val="1087084559"/>
        <c:axId val="0"/>
      </c:bar3DChart>
      <c:catAx>
        <c:axId val="1083502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084559"/>
        <c:crosses val="autoZero"/>
        <c:auto val="1"/>
        <c:lblAlgn val="ctr"/>
        <c:lblOffset val="100"/>
        <c:noMultiLvlLbl val="0"/>
      </c:catAx>
      <c:valAx>
        <c:axId val="10870845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502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Month wise Cases Logged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chemeClr val="accent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Analysis!$AL$35:$AL$46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Analysis!$AM$35:$AM$46</c:f>
              <c:numCache>
                <c:formatCode>General</c:formatCode>
                <c:ptCount val="12"/>
                <c:pt idx="0">
                  <c:v>13</c:v>
                </c:pt>
                <c:pt idx="1">
                  <c:v>10</c:v>
                </c:pt>
                <c:pt idx="2">
                  <c:v>16</c:v>
                </c:pt>
                <c:pt idx="3">
                  <c:v>6</c:v>
                </c:pt>
                <c:pt idx="4">
                  <c:v>8</c:v>
                </c:pt>
                <c:pt idx="5">
                  <c:v>13</c:v>
                </c:pt>
                <c:pt idx="6">
                  <c:v>11</c:v>
                </c:pt>
                <c:pt idx="7">
                  <c:v>10</c:v>
                </c:pt>
                <c:pt idx="8">
                  <c:v>12</c:v>
                </c:pt>
                <c:pt idx="9">
                  <c:v>8</c:v>
                </c:pt>
                <c:pt idx="10">
                  <c:v>4</c:v>
                </c:pt>
                <c:pt idx="11">
                  <c:v>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909-4FE3-9D52-55539606FC8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9053583"/>
        <c:axId val="252746687"/>
      </c:lineChart>
      <c:catAx>
        <c:axId val="419053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746687"/>
        <c:crosses val="autoZero"/>
        <c:auto val="1"/>
        <c:lblAlgn val="ctr"/>
        <c:lblOffset val="100"/>
        <c:noMultiLvlLbl val="0"/>
      </c:catAx>
      <c:valAx>
        <c:axId val="25274668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1905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Grade Wise Active Lawyers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solidFill>
                <a:schemeClr val="bg1"/>
              </a:solidFill>
            </a:ln>
          </c:spPr>
          <c:dPt>
            <c:idx val="0"/>
            <c:bubble3D val="0"/>
            <c:explosion val="8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6BD-4DE8-81F0-4E14D618F7F5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6BD-4DE8-81F0-4E14D618F7F5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6BD-4DE8-81F0-4E14D618F7F5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bg1"/>
                </a:solidFill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6BD-4DE8-81F0-4E14D618F7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Analysis!$J$127:$J$130</c:f>
              <c:strCache>
                <c:ptCount val="4"/>
                <c:pt idx="0">
                  <c:v>Grade A</c:v>
                </c:pt>
                <c:pt idx="1">
                  <c:v>Grade B</c:v>
                </c:pt>
                <c:pt idx="2">
                  <c:v>Grade C</c:v>
                </c:pt>
                <c:pt idx="3">
                  <c:v>Grade D</c:v>
                </c:pt>
              </c:strCache>
            </c:strRef>
          </c:cat>
          <c:val>
            <c:numRef>
              <c:f>Analysis!$K$127:$K$130</c:f>
              <c:numCache>
                <c:formatCode>General</c:formatCode>
                <c:ptCount val="4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6BD-4DE8-81F0-4E14D618F7F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1.0467447666602653E-2"/>
          <c:y val="9.880380283431274E-2"/>
          <c:w val="0.97906510466679475"/>
          <c:h val="0.89056460428349349"/>
        </c:manualLayout>
      </c:layout>
      <c:pie3DChart>
        <c:varyColors val="1"/>
        <c:ser>
          <c:idx val="0"/>
          <c:order val="0"/>
          <c:tx>
            <c:strRef>
              <c:f>Analysis!$L$248</c:f>
              <c:strCache>
                <c:ptCount val="1"/>
                <c:pt idx="0">
                  <c:v>Billable Hours</c:v>
                </c:pt>
              </c:strCache>
            </c:strRef>
          </c:tx>
          <c:explosion val="8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4B5-47F8-A2B9-75A06A15B314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4B5-47F8-A2B9-75A06A15B314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4B5-47F8-A2B9-75A06A15B314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D4B5-47F8-A2B9-75A06A15B314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9-D4B5-47F8-A2B9-75A06A15B314}"/>
              </c:ext>
            </c:extLst>
          </c:dPt>
          <c:dLbls>
            <c:dLbl>
              <c:idx val="0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B5-47F8-A2B9-75A06A15B314}"/>
                </c:ext>
              </c:extLst>
            </c:dLbl>
            <c:dLbl>
              <c:idx val="1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B5-47F8-A2B9-75A06A15B314}"/>
                </c:ext>
              </c:extLst>
            </c:dLbl>
            <c:dLbl>
              <c:idx val="2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4B5-47F8-A2B9-75A06A15B314}"/>
                </c:ext>
              </c:extLst>
            </c:dLbl>
            <c:dLbl>
              <c:idx val="3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4B5-47F8-A2B9-75A06A15B314}"/>
                </c:ext>
              </c:extLst>
            </c:dLbl>
            <c:dLbl>
              <c:idx val="4"/>
              <c:spPr>
                <a:solidFill>
                  <a:schemeClr val="tx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4B5-47F8-A2B9-75A06A15B314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Analysis!$K$249:$K$253</c:f>
              <c:strCache>
                <c:ptCount val="5"/>
                <c:pt idx="0">
                  <c:v>Blue Moon Innovations</c:v>
                </c:pt>
                <c:pt idx="1">
                  <c:v>Twilight Travels</c:v>
                </c:pt>
                <c:pt idx="2">
                  <c:v>ABC Corp</c:v>
                </c:pt>
                <c:pt idx="3">
                  <c:v>Golden Horizon Enterprises</c:v>
                </c:pt>
                <c:pt idx="4">
                  <c:v>Eclipse Eco-Tech</c:v>
                </c:pt>
              </c:strCache>
            </c:strRef>
          </c:cat>
          <c:val>
            <c:numRef>
              <c:f>Analysis!$L$249:$L$253</c:f>
              <c:numCache>
                <c:formatCode>General</c:formatCode>
                <c:ptCount val="5"/>
                <c:pt idx="0">
                  <c:v>4083.6</c:v>
                </c:pt>
                <c:pt idx="1">
                  <c:v>3981.3599999999992</c:v>
                </c:pt>
                <c:pt idx="2">
                  <c:v>3913.68</c:v>
                </c:pt>
                <c:pt idx="3">
                  <c:v>3755.5199999999995</c:v>
                </c:pt>
                <c:pt idx="4">
                  <c:v>3705.36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4B5-47F8-A2B9-75A06A15B31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Analysis!$E$248</c:f>
              <c:strCache>
                <c:ptCount val="1"/>
                <c:pt idx="0">
                  <c:v>Total Billed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Analysis!$B$249:$B$270</c:f>
              <c:strCache>
                <c:ptCount val="22"/>
                <c:pt idx="0">
                  <c:v>ABC Corp</c:v>
                </c:pt>
                <c:pt idx="1">
                  <c:v>XYZ Ltd</c:v>
                </c:pt>
                <c:pt idx="2">
                  <c:v>Tinkerbell's Treasures</c:v>
                </c:pt>
                <c:pt idx="3">
                  <c:v>Quantum Quirk Solutions</c:v>
                </c:pt>
                <c:pt idx="4">
                  <c:v>Blue Moon Innovations</c:v>
                </c:pt>
                <c:pt idx="5">
                  <c:v>Crimson Cove Ventures</c:v>
                </c:pt>
                <c:pt idx="6">
                  <c:v>Golden Horizon Enterprises</c:v>
                </c:pt>
                <c:pt idx="7">
                  <c:v>Zephyr Dynamics</c:v>
                </c:pt>
                <c:pt idx="8">
                  <c:v>Whimsy Works</c:v>
                </c:pt>
                <c:pt idx="9">
                  <c:v>Nova Nexus</c:v>
                </c:pt>
                <c:pt idx="10">
                  <c:v>Eclipse Eco-Tech</c:v>
                </c:pt>
                <c:pt idx="11">
                  <c:v>Twilight Travels</c:v>
                </c:pt>
                <c:pt idx="12">
                  <c:v>Azure Heights</c:v>
                </c:pt>
                <c:pt idx="13">
                  <c:v>Radiant Realms</c:v>
                </c:pt>
                <c:pt idx="14">
                  <c:v>Mosaic Machines</c:v>
                </c:pt>
                <c:pt idx="15">
                  <c:v>Starlit Strategies</c:v>
                </c:pt>
                <c:pt idx="16">
                  <c:v>Nimbus Networks</c:v>
                </c:pt>
                <c:pt idx="17">
                  <c:v>Cascade Creations</c:v>
                </c:pt>
                <c:pt idx="18">
                  <c:v>Velvet Valley Ventures</c:v>
                </c:pt>
                <c:pt idx="19">
                  <c:v>Harmony Harvest</c:v>
                </c:pt>
                <c:pt idx="20">
                  <c:v>Phoenix Foundations</c:v>
                </c:pt>
                <c:pt idx="21">
                  <c:v>Luna Luxuries</c:v>
                </c:pt>
              </c:strCache>
            </c:strRef>
          </c:cat>
          <c:val>
            <c:numRef>
              <c:f>Analysis!$E$249:$E$270</c:f>
              <c:numCache>
                <c:formatCode>_(* #,##0.00_);_(* \(#,##0.00\);_(* "-"??_);_(@_)</c:formatCode>
                <c:ptCount val="22"/>
                <c:pt idx="0">
                  <c:v>464876.4</c:v>
                </c:pt>
                <c:pt idx="1">
                  <c:v>317317.2</c:v>
                </c:pt>
                <c:pt idx="2">
                  <c:v>386671.19999999995</c:v>
                </c:pt>
                <c:pt idx="3">
                  <c:v>268622.40000000002</c:v>
                </c:pt>
                <c:pt idx="4">
                  <c:v>435067.19999999995</c:v>
                </c:pt>
                <c:pt idx="5">
                  <c:v>310651.2</c:v>
                </c:pt>
                <c:pt idx="6">
                  <c:v>347107.2</c:v>
                </c:pt>
                <c:pt idx="7">
                  <c:v>358108.8</c:v>
                </c:pt>
                <c:pt idx="8">
                  <c:v>263762.40000000002</c:v>
                </c:pt>
                <c:pt idx="9">
                  <c:v>372763.19999999995</c:v>
                </c:pt>
                <c:pt idx="10">
                  <c:v>377910</c:v>
                </c:pt>
                <c:pt idx="11">
                  <c:v>476805.6</c:v>
                </c:pt>
                <c:pt idx="12">
                  <c:v>346320</c:v>
                </c:pt>
                <c:pt idx="13">
                  <c:v>334574.40000000002</c:v>
                </c:pt>
                <c:pt idx="14">
                  <c:v>219999.6</c:v>
                </c:pt>
                <c:pt idx="15">
                  <c:v>202548</c:v>
                </c:pt>
                <c:pt idx="16">
                  <c:v>143184</c:v>
                </c:pt>
                <c:pt idx="17">
                  <c:v>176838</c:v>
                </c:pt>
                <c:pt idx="18">
                  <c:v>109584</c:v>
                </c:pt>
                <c:pt idx="19">
                  <c:v>195924</c:v>
                </c:pt>
                <c:pt idx="20">
                  <c:v>370200</c:v>
                </c:pt>
                <c:pt idx="21">
                  <c:v>156864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3D-46C3-A02B-0911D1A5D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3465584"/>
        <c:axId val="101493584"/>
      </c:barChart>
      <c:catAx>
        <c:axId val="139346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93584"/>
        <c:crosses val="autoZero"/>
        <c:auto val="1"/>
        <c:lblAlgn val="ctr"/>
        <c:lblOffset val="100"/>
        <c:noMultiLvlLbl val="0"/>
      </c:catAx>
      <c:valAx>
        <c:axId val="101493584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46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Analysis!$R$304</c:f>
              <c:strCache>
                <c:ptCount val="1"/>
                <c:pt idx="0">
                  <c:v>Amount Billed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Analysis!$Q$305:$Q$309</c:f>
              <c:numCache>
                <c:formatCode>General</c:formatCode>
                <c:ptCount val="5"/>
                <c:pt idx="0">
                  <c:v>2023</c:v>
                </c:pt>
                <c:pt idx="1">
                  <c:v>2022</c:v>
                </c:pt>
                <c:pt idx="2">
                  <c:v>2021</c:v>
                </c:pt>
                <c:pt idx="3">
                  <c:v>2020</c:v>
                </c:pt>
                <c:pt idx="4">
                  <c:v>2019</c:v>
                </c:pt>
              </c:numCache>
            </c:numRef>
          </c:cat>
          <c:val>
            <c:numRef>
              <c:f>Analysis!$R$305:$R$309</c:f>
              <c:numCache>
                <c:formatCode>_(* #,##0.00_);_(* \(#,##0.00\);_(* "-"??_);_(@_)</c:formatCode>
                <c:ptCount val="5"/>
                <c:pt idx="0">
                  <c:v>194976</c:v>
                </c:pt>
                <c:pt idx="1">
                  <c:v>1108200</c:v>
                </c:pt>
                <c:pt idx="2">
                  <c:v>1137775.2000000004</c:v>
                </c:pt>
                <c:pt idx="3">
                  <c:v>1134938.3999999999</c:v>
                </c:pt>
                <c:pt idx="4">
                  <c:v>1012580.3999999999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1-429C-81F8-C4DEBA6E6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1435839"/>
        <c:axId val="1426517071"/>
      </c:barChart>
      <c:catAx>
        <c:axId val="211143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517071"/>
        <c:crosses val="autoZero"/>
        <c:auto val="1"/>
        <c:lblAlgn val="ctr"/>
        <c:lblOffset val="100"/>
        <c:noMultiLvlLbl val="0"/>
      </c:catAx>
      <c:valAx>
        <c:axId val="1426517071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35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Analysis!$H$332</c:f>
              <c:strCache>
                <c:ptCount val="1"/>
                <c:pt idx="0">
                  <c:v>Billed 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Analysis!$F$333:$F$340</c:f>
              <c:strCache>
                <c:ptCount val="8"/>
                <c:pt idx="0">
                  <c:v>New York  </c:v>
                </c:pt>
                <c:pt idx="1">
                  <c:v>Los Angeles  </c:v>
                </c:pt>
                <c:pt idx="2">
                  <c:v>Chicago  </c:v>
                </c:pt>
                <c:pt idx="3">
                  <c:v>Houston  </c:v>
                </c:pt>
                <c:pt idx="4">
                  <c:v>Phoenix  </c:v>
                </c:pt>
                <c:pt idx="5">
                  <c:v>Philadelphia  </c:v>
                </c:pt>
                <c:pt idx="6">
                  <c:v>San Antonio  </c:v>
                </c:pt>
                <c:pt idx="7">
                  <c:v>San Diego  </c:v>
                </c:pt>
              </c:strCache>
            </c:strRef>
          </c:cat>
          <c:val>
            <c:numRef>
              <c:f>Analysis!$H$333:$H$340</c:f>
              <c:numCache>
                <c:formatCode>_(* #,##0.00_);_(* \(#,##0.00\);_(* "-"??_);_(@_)</c:formatCode>
                <c:ptCount val="8"/>
                <c:pt idx="0">
                  <c:v>811196.4</c:v>
                </c:pt>
                <c:pt idx="1">
                  <c:v>828729.59999999986</c:v>
                </c:pt>
                <c:pt idx="2">
                  <c:v>716254.79999999993</c:v>
                </c:pt>
                <c:pt idx="3">
                  <c:v>667094.4</c:v>
                </c:pt>
                <c:pt idx="4">
                  <c:v>1212213.5999999999</c:v>
                </c:pt>
                <c:pt idx="5">
                  <c:v>840278.4</c:v>
                </c:pt>
                <c:pt idx="6">
                  <c:v>725017.2</c:v>
                </c:pt>
                <c:pt idx="7">
                  <c:v>834914.4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2F-4456-ABF0-8E012AF78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2111430639"/>
        <c:axId val="1759024495"/>
      </c:barChart>
      <c:catAx>
        <c:axId val="2111430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024495"/>
        <c:crosses val="autoZero"/>
        <c:auto val="1"/>
        <c:lblAlgn val="ctr"/>
        <c:lblOffset val="100"/>
        <c:noMultiLvlLbl val="0"/>
      </c:catAx>
      <c:valAx>
        <c:axId val="1759024495"/>
        <c:scaling>
          <c:orientation val="minMax"/>
        </c:scaling>
        <c:delete val="0"/>
        <c:axPos val="b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14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Analysis!$C$322</c:f>
              <c:strCache>
                <c:ptCount val="1"/>
                <c:pt idx="0">
                  <c:v>Billable 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Analysis!$B$323:$B$327</c:f>
              <c:strCache>
                <c:ptCount val="5"/>
                <c:pt idx="0">
                  <c:v>Blue Moon Innovations</c:v>
                </c:pt>
                <c:pt idx="1">
                  <c:v>Twilight Travels</c:v>
                </c:pt>
                <c:pt idx="2">
                  <c:v>ABC Corp</c:v>
                </c:pt>
                <c:pt idx="3">
                  <c:v>Golden Horizon Enterprises</c:v>
                </c:pt>
                <c:pt idx="4">
                  <c:v>Eclipse Eco-Tech</c:v>
                </c:pt>
              </c:strCache>
            </c:strRef>
          </c:cat>
          <c:val>
            <c:numRef>
              <c:f>Analysis!$C$323:$C$327</c:f>
              <c:numCache>
                <c:formatCode>0</c:formatCode>
                <c:ptCount val="5"/>
                <c:pt idx="0">
                  <c:v>4083.6</c:v>
                </c:pt>
                <c:pt idx="1">
                  <c:v>3981.3599999999992</c:v>
                </c:pt>
                <c:pt idx="2">
                  <c:v>3913.68</c:v>
                </c:pt>
                <c:pt idx="3">
                  <c:v>3755.5199999999995</c:v>
                </c:pt>
                <c:pt idx="4">
                  <c:v>3705.36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E-46D7-90F5-ED6827443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9681088"/>
        <c:axId val="938780864"/>
      </c:barChart>
      <c:catAx>
        <c:axId val="110968108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780864"/>
        <c:crosses val="max"/>
        <c:auto val="1"/>
        <c:lblAlgn val="ctr"/>
        <c:lblOffset val="100"/>
        <c:noMultiLvlLbl val="0"/>
      </c:catAx>
      <c:valAx>
        <c:axId val="93878086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8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Analysis!$C$322</c:f>
              <c:strCache>
                <c:ptCount val="1"/>
                <c:pt idx="0">
                  <c:v>Billable Hours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Analysis!$B$331:$B$335</c:f>
              <c:strCache>
                <c:ptCount val="5"/>
                <c:pt idx="0">
                  <c:v>Velvet Valley Ventures</c:v>
                </c:pt>
                <c:pt idx="1">
                  <c:v>Nimbus Networks</c:v>
                </c:pt>
                <c:pt idx="2">
                  <c:v>Starlit Strategies</c:v>
                </c:pt>
                <c:pt idx="3">
                  <c:v>Harmony Harvest</c:v>
                </c:pt>
                <c:pt idx="4">
                  <c:v>Cascade Creations</c:v>
                </c:pt>
              </c:strCache>
            </c:strRef>
          </c:cat>
          <c:val>
            <c:numRef>
              <c:f>Analysis!$C$331:$C$335</c:f>
              <c:numCache>
                <c:formatCode>0</c:formatCode>
                <c:ptCount val="5"/>
                <c:pt idx="0">
                  <c:v>753.12</c:v>
                </c:pt>
                <c:pt idx="1">
                  <c:v>1362.72</c:v>
                </c:pt>
                <c:pt idx="2">
                  <c:v>1662.4799999999998</c:v>
                </c:pt>
                <c:pt idx="3">
                  <c:v>1683.12</c:v>
                </c:pt>
                <c:pt idx="4">
                  <c:v>1707.6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C7-45C1-9357-432501373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09681088"/>
        <c:axId val="938780864"/>
      </c:barChart>
      <c:catAx>
        <c:axId val="110968108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780864"/>
        <c:crosses val="max"/>
        <c:auto val="1"/>
        <c:lblAlgn val="ctr"/>
        <c:lblOffset val="100"/>
        <c:noMultiLvlLbl val="0"/>
      </c:catAx>
      <c:valAx>
        <c:axId val="93878086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68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50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20" dropStyle="combo" dx="22" fmlaLink="Analysis!$M$32" fmlaRange="Analysis!$B$17:$B$27" sel="1" val="0"/>
</file>

<file path=xl/ctrlProps/ctrlProp2.xml><?xml version="1.0" encoding="utf-8"?>
<formControlPr xmlns="http://schemas.microsoft.com/office/spreadsheetml/2009/9/main" objectType="Drop" dropStyle="combo" dx="22" fmlaLink="Analysis!$N$288" fmlaRange="Analysis!$B$276:$B$283" noThreeD="1" sel="2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hyperlink" Target="#'Lawyers Dashboard'!A1"/><Relationship Id="rId18" Type="http://schemas.openxmlformats.org/officeDocument/2006/relationships/image" Target="../media/image15.emf"/><Relationship Id="rId26" Type="http://schemas.openxmlformats.org/officeDocument/2006/relationships/image" Target="../media/image19.png"/><Relationship Id="rId3" Type="http://schemas.openxmlformats.org/officeDocument/2006/relationships/image" Target="../media/image3.png"/><Relationship Id="rId21" Type="http://schemas.openxmlformats.org/officeDocument/2006/relationships/chart" Target="../charts/chart2.xml"/><Relationship Id="rId7" Type="http://schemas.openxmlformats.org/officeDocument/2006/relationships/image" Target="../media/image7.png"/><Relationship Id="rId12" Type="http://schemas.openxmlformats.org/officeDocument/2006/relationships/image" Target="../media/image12.emf"/><Relationship Id="rId17" Type="http://schemas.openxmlformats.org/officeDocument/2006/relationships/image" Target="../media/image14.emf"/><Relationship Id="rId25" Type="http://schemas.openxmlformats.org/officeDocument/2006/relationships/image" Target="../media/image18.emf"/><Relationship Id="rId2" Type="http://schemas.openxmlformats.org/officeDocument/2006/relationships/image" Target="../media/image2.svg"/><Relationship Id="rId16" Type="http://schemas.openxmlformats.org/officeDocument/2006/relationships/image" Target="../media/image13.emf"/><Relationship Id="rId20" Type="http://schemas.openxmlformats.org/officeDocument/2006/relationships/image" Target="../media/image16.emf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emf"/><Relationship Id="rId24" Type="http://schemas.openxmlformats.org/officeDocument/2006/relationships/chart" Target="../charts/chart4.xml"/><Relationship Id="rId5" Type="http://schemas.openxmlformats.org/officeDocument/2006/relationships/image" Target="../media/image5.png"/><Relationship Id="rId15" Type="http://schemas.openxmlformats.org/officeDocument/2006/relationships/hyperlink" Target="#'Billing Dashboard'!A1"/><Relationship Id="rId23" Type="http://schemas.openxmlformats.org/officeDocument/2006/relationships/image" Target="../media/image17.emf"/><Relationship Id="rId28" Type="http://schemas.openxmlformats.org/officeDocument/2006/relationships/chart" Target="../charts/chart5.xml"/><Relationship Id="rId10" Type="http://schemas.openxmlformats.org/officeDocument/2006/relationships/image" Target="../media/image10.svg"/><Relationship Id="rId19" Type="http://schemas.openxmlformats.org/officeDocument/2006/relationships/chart" Target="../charts/chart1.xml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hyperlink" Target="#'Clients Dashboard'!A1"/><Relationship Id="rId22" Type="http://schemas.openxmlformats.org/officeDocument/2006/relationships/chart" Target="../charts/chart3.xml"/><Relationship Id="rId27" Type="http://schemas.openxmlformats.org/officeDocument/2006/relationships/image" Target="../media/image20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'Billing Dashboard'!A1"/><Relationship Id="rId13" Type="http://schemas.openxmlformats.org/officeDocument/2006/relationships/chart" Target="../charts/chart6.xml"/><Relationship Id="rId18" Type="http://schemas.openxmlformats.org/officeDocument/2006/relationships/image" Target="../media/image20.svg"/><Relationship Id="rId3" Type="http://schemas.openxmlformats.org/officeDocument/2006/relationships/image" Target="../media/image7.png"/><Relationship Id="rId21" Type="http://schemas.openxmlformats.org/officeDocument/2006/relationships/image" Target="../media/image37.svg"/><Relationship Id="rId7" Type="http://schemas.openxmlformats.org/officeDocument/2006/relationships/hyperlink" Target="#'Clients Dashboard'!A1"/><Relationship Id="rId12" Type="http://schemas.openxmlformats.org/officeDocument/2006/relationships/image" Target="../media/image31.emf"/><Relationship Id="rId17" Type="http://schemas.openxmlformats.org/officeDocument/2006/relationships/image" Target="../media/image19.png"/><Relationship Id="rId2" Type="http://schemas.openxmlformats.org/officeDocument/2006/relationships/image" Target="../media/image6.svg"/><Relationship Id="rId16" Type="http://schemas.openxmlformats.org/officeDocument/2006/relationships/image" Target="../media/image34.png"/><Relationship Id="rId20" Type="http://schemas.openxmlformats.org/officeDocument/2006/relationships/image" Target="../media/image36.png"/><Relationship Id="rId1" Type="http://schemas.openxmlformats.org/officeDocument/2006/relationships/image" Target="../media/image5.png"/><Relationship Id="rId6" Type="http://schemas.openxmlformats.org/officeDocument/2006/relationships/image" Target="../media/image10.svg"/><Relationship Id="rId11" Type="http://schemas.openxmlformats.org/officeDocument/2006/relationships/image" Target="../media/image30.emf"/><Relationship Id="rId5" Type="http://schemas.openxmlformats.org/officeDocument/2006/relationships/image" Target="../media/image9.png"/><Relationship Id="rId15" Type="http://schemas.openxmlformats.org/officeDocument/2006/relationships/image" Target="../media/image33.png"/><Relationship Id="rId23" Type="http://schemas.openxmlformats.org/officeDocument/2006/relationships/image" Target="../media/image39.svg"/><Relationship Id="rId10" Type="http://schemas.openxmlformats.org/officeDocument/2006/relationships/image" Target="../media/image29.emf"/><Relationship Id="rId19" Type="http://schemas.openxmlformats.org/officeDocument/2006/relationships/image" Target="../media/image35.emf"/><Relationship Id="rId4" Type="http://schemas.openxmlformats.org/officeDocument/2006/relationships/image" Target="../media/image8.svg"/><Relationship Id="rId9" Type="http://schemas.openxmlformats.org/officeDocument/2006/relationships/hyperlink" Target="#'Case Dashboard'!A1"/><Relationship Id="rId14" Type="http://schemas.openxmlformats.org/officeDocument/2006/relationships/image" Target="../media/image32.png"/><Relationship Id="rId22" Type="http://schemas.openxmlformats.org/officeDocument/2006/relationships/image" Target="../media/image38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4.emf"/><Relationship Id="rId13" Type="http://schemas.openxmlformats.org/officeDocument/2006/relationships/chart" Target="../charts/chart7.xml"/><Relationship Id="rId18" Type="http://schemas.openxmlformats.org/officeDocument/2006/relationships/image" Target="../media/image50.svg"/><Relationship Id="rId3" Type="http://schemas.openxmlformats.org/officeDocument/2006/relationships/image" Target="../media/image9.png"/><Relationship Id="rId21" Type="http://schemas.openxmlformats.org/officeDocument/2006/relationships/image" Target="../media/image53.png"/><Relationship Id="rId7" Type="http://schemas.openxmlformats.org/officeDocument/2006/relationships/hyperlink" Target="#'Lawyers Dashboard'!A1"/><Relationship Id="rId12" Type="http://schemas.openxmlformats.org/officeDocument/2006/relationships/image" Target="../media/image48.emf"/><Relationship Id="rId17" Type="http://schemas.openxmlformats.org/officeDocument/2006/relationships/image" Target="../media/image49.png"/><Relationship Id="rId2" Type="http://schemas.openxmlformats.org/officeDocument/2006/relationships/image" Target="../media/image8.svg"/><Relationship Id="rId16" Type="http://schemas.openxmlformats.org/officeDocument/2006/relationships/image" Target="../media/image20.svg"/><Relationship Id="rId20" Type="http://schemas.openxmlformats.org/officeDocument/2006/relationships/image" Target="../media/image52.svg"/><Relationship Id="rId1" Type="http://schemas.openxmlformats.org/officeDocument/2006/relationships/image" Target="../media/image7.png"/><Relationship Id="rId6" Type="http://schemas.openxmlformats.org/officeDocument/2006/relationships/hyperlink" Target="#'Case Dashboard'!A1"/><Relationship Id="rId11" Type="http://schemas.openxmlformats.org/officeDocument/2006/relationships/image" Target="../media/image47.emf"/><Relationship Id="rId5" Type="http://schemas.openxmlformats.org/officeDocument/2006/relationships/hyperlink" Target="#'Billing Dashboard'!A1"/><Relationship Id="rId15" Type="http://schemas.openxmlformats.org/officeDocument/2006/relationships/image" Target="../media/image19.png"/><Relationship Id="rId10" Type="http://schemas.openxmlformats.org/officeDocument/2006/relationships/image" Target="../media/image46.emf"/><Relationship Id="rId19" Type="http://schemas.openxmlformats.org/officeDocument/2006/relationships/image" Target="../media/image51.png"/><Relationship Id="rId4" Type="http://schemas.openxmlformats.org/officeDocument/2006/relationships/image" Target="../media/image10.svg"/><Relationship Id="rId9" Type="http://schemas.openxmlformats.org/officeDocument/2006/relationships/image" Target="../media/image45.emf"/><Relationship Id="rId14" Type="http://schemas.openxmlformats.org/officeDocument/2006/relationships/chart" Target="../charts/chart8.xml"/><Relationship Id="rId22" Type="http://schemas.openxmlformats.org/officeDocument/2006/relationships/image" Target="../media/image5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60.emf"/><Relationship Id="rId13" Type="http://schemas.openxmlformats.org/officeDocument/2006/relationships/chart" Target="../charts/chart10.xml"/><Relationship Id="rId18" Type="http://schemas.openxmlformats.org/officeDocument/2006/relationships/chart" Target="../charts/chart12.xml"/><Relationship Id="rId26" Type="http://schemas.openxmlformats.org/officeDocument/2006/relationships/image" Target="../media/image70.svg"/><Relationship Id="rId3" Type="http://schemas.openxmlformats.org/officeDocument/2006/relationships/image" Target="../media/image9.png"/><Relationship Id="rId21" Type="http://schemas.openxmlformats.org/officeDocument/2006/relationships/image" Target="../media/image53.png"/><Relationship Id="rId7" Type="http://schemas.openxmlformats.org/officeDocument/2006/relationships/hyperlink" Target="#'Clients Dashboard'!A1"/><Relationship Id="rId12" Type="http://schemas.openxmlformats.org/officeDocument/2006/relationships/image" Target="../media/image63.emf"/><Relationship Id="rId17" Type="http://schemas.openxmlformats.org/officeDocument/2006/relationships/chart" Target="../charts/chart11.xml"/><Relationship Id="rId25" Type="http://schemas.openxmlformats.org/officeDocument/2006/relationships/image" Target="../media/image69.png"/><Relationship Id="rId2" Type="http://schemas.openxmlformats.org/officeDocument/2006/relationships/image" Target="../media/image8.svg"/><Relationship Id="rId16" Type="http://schemas.openxmlformats.org/officeDocument/2006/relationships/image" Target="../media/image66.emf"/><Relationship Id="rId20" Type="http://schemas.openxmlformats.org/officeDocument/2006/relationships/image" Target="../media/image20.svg"/><Relationship Id="rId1" Type="http://schemas.openxmlformats.org/officeDocument/2006/relationships/image" Target="../media/image7.png"/><Relationship Id="rId6" Type="http://schemas.openxmlformats.org/officeDocument/2006/relationships/hyperlink" Target="#'Lawyers Dashboard'!A1"/><Relationship Id="rId11" Type="http://schemas.openxmlformats.org/officeDocument/2006/relationships/chart" Target="../charts/chart9.xml"/><Relationship Id="rId24" Type="http://schemas.openxmlformats.org/officeDocument/2006/relationships/image" Target="../media/image68.svg"/><Relationship Id="rId5" Type="http://schemas.openxmlformats.org/officeDocument/2006/relationships/hyperlink" Target="#'Case Dashboard'!A1"/><Relationship Id="rId15" Type="http://schemas.openxmlformats.org/officeDocument/2006/relationships/image" Target="../media/image65.emf"/><Relationship Id="rId23" Type="http://schemas.openxmlformats.org/officeDocument/2006/relationships/image" Target="../media/image67.png"/><Relationship Id="rId10" Type="http://schemas.openxmlformats.org/officeDocument/2006/relationships/image" Target="../media/image62.emf"/><Relationship Id="rId19" Type="http://schemas.openxmlformats.org/officeDocument/2006/relationships/image" Target="../media/image19.png"/><Relationship Id="rId4" Type="http://schemas.openxmlformats.org/officeDocument/2006/relationships/image" Target="../media/image10.svg"/><Relationship Id="rId9" Type="http://schemas.openxmlformats.org/officeDocument/2006/relationships/image" Target="../media/image61.emf"/><Relationship Id="rId14" Type="http://schemas.openxmlformats.org/officeDocument/2006/relationships/image" Target="../media/image64.emf"/><Relationship Id="rId22" Type="http://schemas.openxmlformats.org/officeDocument/2006/relationships/image" Target="../media/image54.sv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8.emf"/><Relationship Id="rId3" Type="http://schemas.openxmlformats.org/officeDocument/2006/relationships/image" Target="../media/image23.emf"/><Relationship Id="rId7" Type="http://schemas.openxmlformats.org/officeDocument/2006/relationships/image" Target="../media/image27.emf"/><Relationship Id="rId2" Type="http://schemas.openxmlformats.org/officeDocument/2006/relationships/image" Target="../media/image22.emf"/><Relationship Id="rId1" Type="http://schemas.openxmlformats.org/officeDocument/2006/relationships/image" Target="../media/image21.emf"/><Relationship Id="rId6" Type="http://schemas.openxmlformats.org/officeDocument/2006/relationships/image" Target="../media/image26.emf"/><Relationship Id="rId5" Type="http://schemas.openxmlformats.org/officeDocument/2006/relationships/image" Target="../media/image25.emf"/><Relationship Id="rId4" Type="http://schemas.openxmlformats.org/officeDocument/2006/relationships/image" Target="../media/image2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2.emf"/><Relationship Id="rId2" Type="http://schemas.openxmlformats.org/officeDocument/2006/relationships/image" Target="../media/image41.emf"/><Relationship Id="rId1" Type="http://schemas.openxmlformats.org/officeDocument/2006/relationships/image" Target="../media/image40.emf"/><Relationship Id="rId4" Type="http://schemas.openxmlformats.org/officeDocument/2006/relationships/image" Target="../media/image43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7.emf"/><Relationship Id="rId2" Type="http://schemas.openxmlformats.org/officeDocument/2006/relationships/image" Target="../media/image56.emf"/><Relationship Id="rId1" Type="http://schemas.openxmlformats.org/officeDocument/2006/relationships/image" Target="../media/image55.emf"/><Relationship Id="rId5" Type="http://schemas.openxmlformats.org/officeDocument/2006/relationships/image" Target="../media/image59.emf"/><Relationship Id="rId4" Type="http://schemas.openxmlformats.org/officeDocument/2006/relationships/image" Target="../media/image58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73.emf"/><Relationship Id="rId7" Type="http://schemas.openxmlformats.org/officeDocument/2006/relationships/image" Target="../media/image77.emf"/><Relationship Id="rId2" Type="http://schemas.openxmlformats.org/officeDocument/2006/relationships/image" Target="../media/image72.emf"/><Relationship Id="rId1" Type="http://schemas.openxmlformats.org/officeDocument/2006/relationships/image" Target="../media/image71.emf"/><Relationship Id="rId6" Type="http://schemas.openxmlformats.org/officeDocument/2006/relationships/image" Target="../media/image76.emf"/><Relationship Id="rId5" Type="http://schemas.openxmlformats.org/officeDocument/2006/relationships/image" Target="../media/image75.emf"/><Relationship Id="rId4" Type="http://schemas.openxmlformats.org/officeDocument/2006/relationships/image" Target="../media/image7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299357</xdr:colOff>
      <xdr:row>12</xdr:row>
      <xdr:rowOff>27215</xdr:rowOff>
    </xdr:from>
    <xdr:to>
      <xdr:col>27</xdr:col>
      <xdr:colOff>124868</xdr:colOff>
      <xdr:row>31</xdr:row>
      <xdr:rowOff>110218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1933464" y="2245179"/>
          <a:ext cx="4288654" cy="3702503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205644</xdr:colOff>
      <xdr:row>12</xdr:row>
      <xdr:rowOff>27215</xdr:rowOff>
    </xdr:from>
    <xdr:to>
      <xdr:col>19</xdr:col>
      <xdr:colOff>207930</xdr:colOff>
      <xdr:row>31</xdr:row>
      <xdr:rowOff>110218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553501" y="2245179"/>
          <a:ext cx="4288536" cy="3702503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556083</xdr:colOff>
      <xdr:row>92</xdr:row>
      <xdr:rowOff>95250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0" y="0"/>
          <a:ext cx="3005369" cy="17566821"/>
          <a:chOff x="0" y="-6421"/>
          <a:chExt cx="3005369" cy="18131135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0" y="-6421"/>
            <a:ext cx="2265594" cy="18131135"/>
          </a:xfrm>
          <a:prstGeom prst="rect">
            <a:avLst/>
          </a:prstGeom>
          <a:solidFill>
            <a:schemeClr val="tx1">
              <a:lumMod val="95000"/>
              <a:lumOff val="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Top Corners Rounded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 rot="16200000">
            <a:off x="1266344" y="3050391"/>
            <a:ext cx="438912" cy="1161952"/>
          </a:xfrm>
          <a:prstGeom prst="round2Same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5" name="Plaqu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944665" y="3088821"/>
            <a:ext cx="1060704" cy="1088136"/>
          </a:xfrm>
          <a:prstGeom prst="plaque">
            <a:avLst>
              <a:gd name="adj" fmla="val 32397"/>
            </a:avLst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1036451" y="3464482"/>
            <a:ext cx="957029" cy="318304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US" sz="1600" b="1"/>
              <a:t>Cases</a:t>
            </a:r>
            <a:endParaRPr lang="en-US" sz="2400" b="1"/>
          </a:p>
        </xdr:txBody>
      </xdr:sp>
    </xdr:grpSp>
    <xdr:clientData/>
  </xdr:twoCellAnchor>
  <xdr:twoCellAnchor>
    <xdr:from>
      <xdr:col>16</xdr:col>
      <xdr:colOff>75275</xdr:colOff>
      <xdr:row>3</xdr:row>
      <xdr:rowOff>136071</xdr:rowOff>
    </xdr:from>
    <xdr:to>
      <xdr:col>21</xdr:col>
      <xdr:colOff>277986</xdr:colOff>
      <xdr:row>9</xdr:row>
      <xdr:rowOff>48018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/>
      </xdr:nvGrpSpPr>
      <xdr:grpSpPr>
        <a:xfrm>
          <a:off x="9872418" y="707571"/>
          <a:ext cx="2937747" cy="1054947"/>
          <a:chOff x="9341031" y="707571"/>
          <a:chExt cx="2921665" cy="1054947"/>
        </a:xfrm>
      </xdr:grpSpPr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GrpSpPr/>
        </xdr:nvGrpSpPr>
        <xdr:grpSpPr>
          <a:xfrm>
            <a:off x="9341031" y="707571"/>
            <a:ext cx="2921665" cy="1054947"/>
            <a:chOff x="9676190" y="786190"/>
            <a:chExt cx="2914792" cy="1091233"/>
          </a:xfrm>
        </xdr:grpSpPr>
        <xdr:sp macro="" textlink="">
          <xdr:nvSpPr>
            <xdr:cNvPr id="33" name="Rectangle: Top Corners Rounded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10688128" y="-25430"/>
              <a:ext cx="1091233" cy="2714474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4" name="Rectangle: Top Corners Rounded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16200000">
              <a:off x="9224973" y="1237407"/>
              <a:ext cx="1091233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4">
                <a:lumMod val="75000"/>
              </a:schemeClr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50" name="Graphic 49" descr="Contract RTL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9500732" y="930747"/>
            <a:ext cx="607871" cy="608595"/>
          </a:xfrm>
          <a:prstGeom prst="rect">
            <a:avLst/>
          </a:prstGeom>
        </xdr:spPr>
      </xdr:pic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 txBox="1"/>
        </xdr:nvSpPr>
        <xdr:spPr>
          <a:xfrm>
            <a:off x="10523433" y="753834"/>
            <a:ext cx="1212273" cy="3129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baseline="0">
                <a:solidFill>
                  <a:schemeClr val="accent4">
                    <a:lumMod val="75000"/>
                  </a:schemeClr>
                </a:solidFill>
              </a:rPr>
              <a:t>Cases Open</a:t>
            </a:r>
            <a:endParaRPr lang="en-US" sz="1600" b="1">
              <a:solidFill>
                <a:schemeClr val="accent4">
                  <a:lumMod val="75000"/>
                </a:schemeClr>
              </a:solidFill>
            </a:endParaRPr>
          </a:p>
        </xdr:txBody>
      </xdr: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CxnSpPr/>
        </xdr:nvCxnSpPr>
        <xdr:spPr>
          <a:xfrm>
            <a:off x="10309762" y="944336"/>
            <a:ext cx="0" cy="557893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Analysis!$D$11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0604845" y="1118251"/>
            <a:ext cx="1052187" cy="47669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6D552FB9-3494-4034-97BD-C1C740B3D09F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22</a:t>
            </a:fld>
            <a:endParaRPr lang="en-US" sz="2400" b="1">
              <a:latin typeface="+mj-lt"/>
            </a:endParaRPr>
          </a:p>
        </xdr:txBody>
      </xdr:sp>
    </xdr:grpSp>
    <xdr:clientData/>
  </xdr:twoCellAnchor>
  <xdr:twoCellAnchor>
    <xdr:from>
      <xdr:col>22</xdr:col>
      <xdr:colOff>379939</xdr:colOff>
      <xdr:row>3</xdr:row>
      <xdr:rowOff>100692</xdr:rowOff>
    </xdr:from>
    <xdr:to>
      <xdr:col>28</xdr:col>
      <xdr:colOff>24424</xdr:colOff>
      <xdr:row>9</xdr:row>
      <xdr:rowOff>48018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GrpSpPr/>
      </xdr:nvGrpSpPr>
      <xdr:grpSpPr>
        <a:xfrm>
          <a:off x="13524439" y="672192"/>
          <a:ext cx="3209556" cy="1090326"/>
          <a:chOff x="12786404" y="672192"/>
          <a:chExt cx="3177451" cy="1090326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12786404" y="707571"/>
            <a:ext cx="3177451" cy="1054947"/>
            <a:chOff x="12987262" y="786190"/>
            <a:chExt cx="2910256" cy="1091233"/>
          </a:xfrm>
        </xdr:grpSpPr>
        <xdr:sp macro="" textlink="">
          <xdr:nvSpPr>
            <xdr:cNvPr id="35" name="Rectangle: Top Corners Rounded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/>
          </xdr:nvSpPr>
          <xdr:spPr>
            <a:xfrm rot="5400000">
              <a:off x="13996932" y="-23162"/>
              <a:ext cx="1091233" cy="2709938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6" name="Rectangle: Top Corners Rounded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/>
          </xdr:nvSpPr>
          <xdr:spPr>
            <a:xfrm rot="16200000">
              <a:off x="12536045" y="1237407"/>
              <a:ext cx="1091233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6">
                <a:lumMod val="75000"/>
              </a:schemeClr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52" name="Graphic 51" descr="Monthly calendar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12963281" y="922266"/>
            <a:ext cx="607871" cy="625557"/>
          </a:xfrm>
          <a:prstGeom prst="rect">
            <a:avLst/>
          </a:prstGeom>
        </xdr:spPr>
      </xdr:pic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 txBox="1"/>
        </xdr:nvSpPr>
        <xdr:spPr>
          <a:xfrm>
            <a:off x="14337381" y="672192"/>
            <a:ext cx="1293916" cy="59327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 b="1">
                <a:solidFill>
                  <a:schemeClr val="accent6">
                    <a:lumMod val="75000"/>
                  </a:schemeClr>
                </a:solidFill>
              </a:rPr>
              <a:t>Avg</a:t>
            </a:r>
            <a:r>
              <a:rPr lang="en-US" sz="1600" b="1" baseline="0">
                <a:solidFill>
                  <a:schemeClr val="accent6">
                    <a:lumMod val="75000"/>
                  </a:schemeClr>
                </a:solidFill>
              </a:rPr>
              <a:t> TAT </a:t>
            </a:r>
          </a:p>
          <a:p>
            <a:pPr algn="ctr"/>
            <a:r>
              <a:rPr lang="en-US" sz="1200" b="1" baseline="0">
                <a:solidFill>
                  <a:schemeClr val="accent6">
                    <a:lumMod val="75000"/>
                  </a:schemeClr>
                </a:solidFill>
              </a:rPr>
              <a:t>(Closed Cases)</a:t>
            </a:r>
            <a:endParaRPr lang="en-US" sz="1200" b="1">
              <a:solidFill>
                <a:schemeClr val="accent6">
                  <a:lumMod val="75000"/>
                </a:schemeClr>
              </a:solidFill>
            </a:endParaRPr>
          </a:p>
        </xdr:txBody>
      </xdr: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>
            <a:off x="13811993" y="933451"/>
            <a:ext cx="0" cy="557893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Analysis!$D$5">
        <xdr:nvSpPr>
          <xdr:cNvPr id="20" name="Rectangle: Rounded Corners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4205172" y="1091840"/>
            <a:ext cx="1602654" cy="543927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387C8032-B0B0-4CC0-824A-7E01CC7D4CF1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253.8 Days</a:t>
            </a:fld>
            <a:endParaRPr lang="en-US" sz="2400" b="1">
              <a:latin typeface="+mj-lt"/>
            </a:endParaRPr>
          </a:p>
        </xdr:txBody>
      </xdr:sp>
    </xdr:grpSp>
    <xdr:clientData/>
  </xdr:twoCellAnchor>
  <xdr:twoCellAnchor>
    <xdr:from>
      <xdr:col>29</xdr:col>
      <xdr:colOff>132059</xdr:colOff>
      <xdr:row>3</xdr:row>
      <xdr:rowOff>100692</xdr:rowOff>
    </xdr:from>
    <xdr:to>
      <xdr:col>34</xdr:col>
      <xdr:colOff>18505</xdr:colOff>
      <xdr:row>9</xdr:row>
      <xdr:rowOff>12639</xdr:rowOff>
    </xdr:to>
    <xdr:grpSp>
      <xdr:nvGrpSpPr>
        <xdr:cNvPr id="90" name="Group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17453952" y="672192"/>
          <a:ext cx="2948053" cy="1054947"/>
          <a:chOff x="16480422" y="707571"/>
          <a:chExt cx="2917128" cy="1054947"/>
        </a:xfrm>
      </xdr:grpSpPr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GrpSpPr/>
        </xdr:nvGrpSpPr>
        <xdr:grpSpPr>
          <a:xfrm>
            <a:off x="16480422" y="707571"/>
            <a:ext cx="2917128" cy="1054947"/>
            <a:chOff x="12987262" y="786190"/>
            <a:chExt cx="2910256" cy="1091233"/>
          </a:xfrm>
        </xdr:grpSpPr>
        <xdr:sp macro="" textlink="">
          <xdr:nvSpPr>
            <xdr:cNvPr id="43" name="Rectangle: Top Corners Rounded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5400000">
              <a:off x="13996932" y="-23162"/>
              <a:ext cx="1091233" cy="2709938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4" name="Rectangle: Top Corners Rounded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16200000">
              <a:off x="12536045" y="1237407"/>
              <a:ext cx="1091233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2">
                <a:lumMod val="50000"/>
              </a:schemeClr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54" name="Graphic 53" descr="Hourglass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6621110" y="982948"/>
            <a:ext cx="503007" cy="504193"/>
          </a:xfrm>
          <a:prstGeom prst="rect">
            <a:avLst/>
          </a:prstGeom>
        </xdr:spPr>
      </xdr:pic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 txBox="1"/>
        </xdr:nvSpPr>
        <xdr:spPr>
          <a:xfrm>
            <a:off x="17434461" y="753834"/>
            <a:ext cx="1716396" cy="3320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600" b="1">
                <a:solidFill>
                  <a:schemeClr val="accent2">
                    <a:lumMod val="50000"/>
                  </a:schemeClr>
                </a:solidFill>
              </a:rPr>
              <a:t>Approx Hrs /</a:t>
            </a:r>
            <a:r>
              <a:rPr lang="en-US" sz="1600" b="1" baseline="0">
                <a:solidFill>
                  <a:schemeClr val="accent2">
                    <a:lumMod val="50000"/>
                  </a:schemeClr>
                </a:solidFill>
              </a:rPr>
              <a:t> Case</a:t>
            </a:r>
            <a:endParaRPr lang="en-US" sz="1600" b="1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>
            <a:off x="17309276" y="922566"/>
            <a:ext cx="0" cy="557893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Analysis!$D$4">
        <xdr:nvSpPr>
          <xdr:cNvPr id="19" name="Rectangle: Rounded Corners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7685465" y="1118252"/>
            <a:ext cx="1276306" cy="476694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7634228C-D374-42E6-B781-AE9EE48D119D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121.9 hrs</a:t>
            </a:fld>
            <a:endParaRPr lang="en-US" sz="2400" b="1">
              <a:latin typeface="+mj-lt"/>
            </a:endParaRPr>
          </a:p>
        </xdr:txBody>
      </xdr:sp>
    </xdr:grpSp>
    <xdr:clientData/>
  </xdr:twoCellAnchor>
  <xdr:twoCellAnchor>
    <xdr:from>
      <xdr:col>12</xdr:col>
      <xdr:colOff>126532</xdr:colOff>
      <xdr:row>11</xdr:row>
      <xdr:rowOff>192016</xdr:rowOff>
    </xdr:from>
    <xdr:to>
      <xdr:col>16</xdr:col>
      <xdr:colOff>420133</xdr:colOff>
      <xdr:row>14</xdr:row>
      <xdr:rowOff>18146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7474389" y="2165052"/>
          <a:ext cx="2742887" cy="45205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  <a:latin typeface="+mj-lt"/>
            </a:rPr>
            <a:t>YTD Analysis for Case Type</a:t>
          </a:r>
        </a:p>
      </xdr:txBody>
    </xdr:sp>
    <xdr:clientData/>
  </xdr:twoCellAnchor>
  <xdr:twoCellAnchor>
    <xdr:from>
      <xdr:col>19</xdr:col>
      <xdr:colOff>320830</xdr:colOff>
      <xdr:row>11</xdr:row>
      <xdr:rowOff>188993</xdr:rowOff>
    </xdr:from>
    <xdr:to>
      <xdr:col>25</xdr:col>
      <xdr:colOff>144472</xdr:colOff>
      <xdr:row>14</xdr:row>
      <xdr:rowOff>22926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1954937" y="2162029"/>
          <a:ext cx="3062142" cy="45986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  <a:latin typeface="+mj-lt"/>
              <a:ea typeface="+mn-ea"/>
              <a:cs typeface="+mn-cs"/>
            </a:rPr>
            <a:t>MTD</a:t>
          </a:r>
          <a:r>
            <a:rPr lang="en-US" sz="1600" b="1">
              <a:solidFill>
                <a:schemeClr val="bg1"/>
              </a:solidFill>
              <a:latin typeface="+mj-lt"/>
            </a:rPr>
            <a:t> </a:t>
          </a:r>
          <a:r>
            <a:rPr lang="en-US" sz="1800" b="1">
              <a:solidFill>
                <a:schemeClr val="bg1"/>
              </a:solidFill>
              <a:latin typeface="+mj-lt"/>
              <a:ea typeface="+mn-ea"/>
              <a:cs typeface="+mn-cs"/>
            </a:rPr>
            <a:t>Analysis</a:t>
          </a:r>
          <a:r>
            <a:rPr lang="en-US" sz="1600" b="1">
              <a:solidFill>
                <a:schemeClr val="bg1"/>
              </a:solidFill>
              <a:latin typeface="+mj-lt"/>
            </a:rPr>
            <a:t> for Case Type</a:t>
          </a:r>
        </a:p>
      </xdr:txBody>
    </xdr:sp>
    <xdr:clientData/>
  </xdr:twoCellAnchor>
  <xdr:twoCellAnchor>
    <xdr:from>
      <xdr:col>3</xdr:col>
      <xdr:colOff>451757</xdr:colOff>
      <xdr:row>0</xdr:row>
      <xdr:rowOff>21775</xdr:rowOff>
    </xdr:from>
    <xdr:to>
      <xdr:col>5</xdr:col>
      <xdr:colOff>190500</xdr:colOff>
      <xdr:row>37</xdr:row>
      <xdr:rowOff>13607</xdr:rowOff>
    </xdr:to>
    <xdr:sp macro="" textlink="">
      <xdr:nvSpPr>
        <xdr:cNvPr id="6" name="Rectangle: Top Corners Rounded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rot="5400000">
          <a:off x="-810984" y="3121480"/>
          <a:ext cx="7162796" cy="963386"/>
        </a:xfrm>
        <a:prstGeom prst="round2SameRect">
          <a:avLst>
            <a:gd name="adj1" fmla="val 4670"/>
            <a:gd name="adj2" fmla="val 679"/>
          </a:avLst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83848</xdr:colOff>
      <xdr:row>3</xdr:row>
      <xdr:rowOff>136071</xdr:rowOff>
    </xdr:from>
    <xdr:to>
      <xdr:col>14</xdr:col>
      <xdr:colOff>579455</xdr:colOff>
      <xdr:row>9</xdr:row>
      <xdr:rowOff>48018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6207062" y="707571"/>
          <a:ext cx="2944893" cy="1054947"/>
          <a:chOff x="5902942" y="707571"/>
          <a:chExt cx="2920152" cy="1054947"/>
        </a:xfrm>
      </xdr:grpSpPr>
      <xdr:grpSp>
        <xdr:nvGrpSpPr>
          <xdr:cNvPr id="38" name="Group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GrpSpPr/>
        </xdr:nvGrpSpPr>
        <xdr:grpSpPr>
          <a:xfrm>
            <a:off x="5902942" y="707571"/>
            <a:ext cx="2920152" cy="1054947"/>
            <a:chOff x="6047619" y="786190"/>
            <a:chExt cx="2913280" cy="1091233"/>
          </a:xfrm>
        </xdr:grpSpPr>
        <xdr:sp macro="" textlink="">
          <xdr:nvSpPr>
            <xdr:cNvPr id="31" name="Rectangle: Top Corners Rounded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5400000">
              <a:off x="7058801" y="-24674"/>
              <a:ext cx="1091233" cy="2712962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" name="Rectangle: Top Corners Rounded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6200000">
              <a:off x="5596402" y="1237407"/>
              <a:ext cx="1091233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1">
                <a:lumMod val="50000"/>
              </a:schemeClr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48" name="Graphic 47" descr="Checklist RTL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6038183" y="933292"/>
            <a:ext cx="614389" cy="603504"/>
          </a:xfrm>
          <a:prstGeom prst="rect">
            <a:avLst/>
          </a:prstGeom>
        </xdr:spPr>
      </xdr:pic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 txBox="1"/>
        </xdr:nvSpPr>
        <xdr:spPr>
          <a:xfrm>
            <a:off x="7211785" y="753834"/>
            <a:ext cx="1300018" cy="326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baseline="0">
                <a:solidFill>
                  <a:schemeClr val="accent1">
                    <a:lumMod val="50000"/>
                  </a:schemeClr>
                </a:solidFill>
              </a:rPr>
              <a:t>Cases Closed</a:t>
            </a:r>
            <a:endParaRPr lang="en-US" sz="1600" b="1">
              <a:solidFill>
                <a:schemeClr val="accent1">
                  <a:lumMod val="50000"/>
                </a:schemeClr>
              </a:solidFill>
            </a:endParaRPr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CxnSpPr/>
        </xdr:nvCxnSpPr>
        <xdr:spPr>
          <a:xfrm>
            <a:off x="6860722" y="928007"/>
            <a:ext cx="0" cy="557893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Analysis!$D$10">
        <xdr:nvSpPr>
          <xdr:cNvPr id="21" name="Rectangle: Rounded Corners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7273480" y="1118251"/>
            <a:ext cx="1052189" cy="47669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5D8E8183-C2E7-41AF-B9CE-F11C6CE4610A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442</a:t>
            </a:fld>
            <a:endParaRPr lang="en-US" sz="2400" b="1">
              <a:latin typeface="+mj-lt"/>
            </a:endParaRPr>
          </a:p>
        </xdr:txBody>
      </xdr:sp>
    </xdr:grpSp>
    <xdr:clientData/>
  </xdr:twoCellAnchor>
  <xdr:twoCellAnchor>
    <xdr:from>
      <xdr:col>4</xdr:col>
      <xdr:colOff>99143</xdr:colOff>
      <xdr:row>3</xdr:row>
      <xdr:rowOff>130024</xdr:rowOff>
    </xdr:from>
    <xdr:to>
      <xdr:col>8</xdr:col>
      <xdr:colOff>588028</xdr:colOff>
      <xdr:row>9</xdr:row>
      <xdr:rowOff>48018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GrpSpPr/>
      </xdr:nvGrpSpPr>
      <xdr:grpSpPr>
        <a:xfrm>
          <a:off x="2548429" y="701524"/>
          <a:ext cx="2938170" cy="1060994"/>
          <a:chOff x="2523688" y="701524"/>
          <a:chExt cx="2913431" cy="1060994"/>
        </a:xfrm>
      </xdr:grpSpPr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GrpSpPr/>
        </xdr:nvGrpSpPr>
        <xdr:grpSpPr>
          <a:xfrm>
            <a:off x="2523688" y="701524"/>
            <a:ext cx="2913431" cy="1060994"/>
            <a:chOff x="2460729" y="725714"/>
            <a:chExt cx="2913280" cy="1097280"/>
          </a:xfrm>
        </xdr:grpSpPr>
        <xdr:sp macro="" textlink="">
          <xdr:nvSpPr>
            <xdr:cNvPr id="3" name="Rectangle: Top Corners Rounded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/>
          </xdr:nvSpPr>
          <xdr:spPr>
            <a:xfrm rot="5400000">
              <a:off x="3468888" y="-82127"/>
              <a:ext cx="1097280" cy="2712962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0" name="Rectangle: Top Corners Rounded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 rot="16200000">
              <a:off x="2006489" y="1179954"/>
              <a:ext cx="1097280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46" name="Graphic 45" descr="Clipboard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2670716" y="928108"/>
            <a:ext cx="603546" cy="607451"/>
          </a:xfrm>
          <a:prstGeom prst="rect">
            <a:avLst/>
          </a:prstGeom>
        </xdr:spPr>
      </xdr:pic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 txBox="1"/>
        </xdr:nvSpPr>
        <xdr:spPr>
          <a:xfrm>
            <a:off x="3843958" y="747599"/>
            <a:ext cx="1212274" cy="3129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>
                <a:solidFill>
                  <a:schemeClr val="accent2"/>
                </a:solidFill>
              </a:rPr>
              <a:t>Total</a:t>
            </a:r>
            <a:r>
              <a:rPr lang="en-US" sz="1600" b="1" baseline="0">
                <a:solidFill>
                  <a:schemeClr val="accent2"/>
                </a:solidFill>
              </a:rPr>
              <a:t> Cases</a:t>
            </a:r>
            <a:endParaRPr lang="en-US" sz="1600" b="1">
              <a:solidFill>
                <a:schemeClr val="accent2"/>
              </a:solidFill>
            </a:endParaRPr>
          </a:p>
        </xdr:txBody>
      </xdr:sp>
      <xdr:sp macro="" textlink="Analysis!$D$2">
        <xdr:nvSpPr>
          <xdr:cNvPr id="18" name="Rectangle: Rounded Corners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3867953" y="1118063"/>
            <a:ext cx="1052190" cy="470648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18C43C83-A66E-4258-8A09-D57E26D52A4D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501</a:t>
            </a:fld>
            <a:endParaRPr lang="en-US" sz="2400" b="1">
              <a:latin typeface="+mj-lt"/>
            </a:endParaRPr>
          </a:p>
        </xdr:txBody>
      </xdr: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CxnSpPr/>
        </xdr:nvCxnSpPr>
        <xdr:spPr>
          <a:xfrm>
            <a:off x="3509966" y="932658"/>
            <a:ext cx="0" cy="557893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529168</xdr:colOff>
      <xdr:row>12</xdr:row>
      <xdr:rowOff>27215</xdr:rowOff>
    </xdr:from>
    <xdr:to>
      <xdr:col>12</xdr:col>
      <xdr:colOff>95251</xdr:colOff>
      <xdr:row>31</xdr:row>
      <xdr:rowOff>110218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2354793" y="2196798"/>
          <a:ext cx="5042958" cy="3601962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495150</xdr:colOff>
      <xdr:row>11</xdr:row>
      <xdr:rowOff>193225</xdr:rowOff>
    </xdr:from>
    <xdr:to>
      <xdr:col>10</xdr:col>
      <xdr:colOff>192769</xdr:colOff>
      <xdr:row>14</xdr:row>
      <xdr:rowOff>19355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2320775" y="2111454"/>
          <a:ext cx="3957411" cy="44790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Case Analysis based</a:t>
          </a:r>
          <a:r>
            <a:rPr lang="en-US" sz="1800" b="1" baseline="0">
              <a:solidFill>
                <a:schemeClr val="bg1"/>
              </a:solidFill>
              <a:latin typeface="+mj-lt"/>
            </a:rPr>
            <a:t> on</a:t>
          </a:r>
          <a:r>
            <a:rPr lang="en-US" sz="1800" b="1">
              <a:solidFill>
                <a:schemeClr val="bg1"/>
              </a:solidFill>
              <a:latin typeface="+mj-lt"/>
            </a:rPr>
            <a:t> Case Type</a:t>
          </a:r>
        </a:p>
      </xdr:txBody>
    </xdr:sp>
    <xdr:clientData/>
  </xdr:twoCellAnchor>
  <xdr:twoCellAnchor>
    <xdr:from>
      <xdr:col>3</xdr:col>
      <xdr:colOff>529168</xdr:colOff>
      <xdr:row>32</xdr:row>
      <xdr:rowOff>0</xdr:rowOff>
    </xdr:from>
    <xdr:to>
      <xdr:col>34</xdr:col>
      <xdr:colOff>517478</xdr:colOff>
      <xdr:row>53</xdr:row>
      <xdr:rowOff>9898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2354793" y="5913438"/>
          <a:ext cx="18442998" cy="3899273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542397</xdr:colOff>
      <xdr:row>32</xdr:row>
      <xdr:rowOff>40821</xdr:rowOff>
    </xdr:from>
    <xdr:to>
      <xdr:col>11</xdr:col>
      <xdr:colOff>410106</xdr:colOff>
      <xdr:row>34</xdr:row>
      <xdr:rowOff>1786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368022" y="5954259"/>
          <a:ext cx="4736042" cy="33138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TAT Analysis </a:t>
          </a:r>
          <a:r>
            <a:rPr lang="en-US" sz="1800" b="1" baseline="0">
              <a:solidFill>
                <a:schemeClr val="bg1"/>
              </a:solidFill>
              <a:latin typeface="+mj-lt"/>
            </a:rPr>
            <a:t>on</a:t>
          </a:r>
          <a:r>
            <a:rPr lang="en-US" sz="1800" b="1">
              <a:solidFill>
                <a:schemeClr val="bg1"/>
              </a:solidFill>
              <a:latin typeface="+mj-lt"/>
            </a:rPr>
            <a:t> Case Type for Closure Cases</a:t>
          </a:r>
        </a:p>
      </xdr:txBody>
    </xdr:sp>
    <xdr:clientData/>
  </xdr:twoCellAnchor>
  <xdr:twoCellAnchor>
    <xdr:from>
      <xdr:col>11</xdr:col>
      <xdr:colOff>407414</xdr:colOff>
      <xdr:row>36</xdr:row>
      <xdr:rowOff>66457</xdr:rowOff>
    </xdr:from>
    <xdr:to>
      <xdr:col>11</xdr:col>
      <xdr:colOff>407414</xdr:colOff>
      <xdr:row>48</xdr:row>
      <xdr:rowOff>10428</xdr:rowOff>
    </xdr:to>
    <xdr:cxnSp macro="">
      <xdr:nvCxnSpPr>
        <xdr:cNvPr id="101" name="Straight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>
          <a:off x="7142950" y="7046921"/>
          <a:ext cx="0" cy="2229971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13229</xdr:colOff>
          <xdr:row>34</xdr:row>
          <xdr:rowOff>176892</xdr:rowOff>
        </xdr:from>
        <xdr:to>
          <xdr:col>11</xdr:col>
          <xdr:colOff>208054</xdr:colOff>
          <xdr:row>51</xdr:row>
          <xdr:rowOff>122461</xdr:rowOff>
        </xdr:to>
        <xdr:pic>
          <xdr:nvPicPr>
            <xdr:cNvPr id="108" name="Picture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R$16:$T$30" spid="_x0000_s90646"/>
                </a:ext>
              </a:extLst>
            </xdr:cNvPicPr>
          </xdr:nvPicPr>
          <xdr:blipFill rotWithShape="1">
            <a:blip xmlns:r="http://schemas.openxmlformats.org/officeDocument/2006/relationships" r:embed="rId11"/>
            <a:srcRect b="18564"/>
            <a:stretch>
              <a:fillRect/>
            </a:stretch>
          </xdr:blipFill>
          <xdr:spPr bwMode="auto">
            <a:xfrm>
              <a:off x="2447396" y="6460746"/>
              <a:ext cx="4454616" cy="309411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542396</xdr:colOff>
      <xdr:row>53</xdr:row>
      <xdr:rowOff>139828</xdr:rowOff>
    </xdr:from>
    <xdr:to>
      <xdr:col>34</xdr:col>
      <xdr:colOff>520479</xdr:colOff>
      <xdr:row>71</xdr:row>
      <xdr:rowOff>176891</xdr:rowOff>
    </xdr:to>
    <xdr:sp macro="" textlink="">
      <xdr:nvSpPr>
        <xdr:cNvPr id="109" name="Rectangle: Rounded Corners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2368021" y="9942641"/>
          <a:ext cx="18432771" cy="3370813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92604</xdr:colOff>
          <xdr:row>55</xdr:row>
          <xdr:rowOff>177307</xdr:rowOff>
        </xdr:from>
        <xdr:to>
          <xdr:col>21</xdr:col>
          <xdr:colOff>238780</xdr:colOff>
          <xdr:row>71</xdr:row>
          <xdr:rowOff>13607</xdr:rowOff>
        </xdr:to>
        <xdr:pic>
          <xdr:nvPicPr>
            <xdr:cNvPr id="110" name="Picture 109">
              <a:extLst>
                <a:ext uri="{FF2B5EF4-FFF2-40B4-BE49-F238E27FC236}">
                  <a16:creationId xmlns:a16="http://schemas.microsoft.com/office/drawing/2014/main" id="{00000000-0008-0000-0000-00006E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AC$16:$AI$30" spid="_x0000_s90647"/>
                </a:ext>
              </a:extLst>
            </xdr:cNvPicPr>
          </xdr:nvPicPr>
          <xdr:blipFill rotWithShape="1">
            <a:blip xmlns:r="http://schemas.openxmlformats.org/officeDocument/2006/relationships" r:embed="rId12"/>
            <a:srcRect b="18730"/>
            <a:stretch>
              <a:fillRect/>
            </a:stretch>
          </xdr:blipFill>
          <xdr:spPr bwMode="auto">
            <a:xfrm>
              <a:off x="2526771" y="10350536"/>
              <a:ext cx="10173884" cy="279963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582084</xdr:colOff>
      <xdr:row>53</xdr:row>
      <xdr:rowOff>139828</xdr:rowOff>
    </xdr:from>
    <xdr:to>
      <xdr:col>11</xdr:col>
      <xdr:colOff>571507</xdr:colOff>
      <xdr:row>56</xdr:row>
      <xdr:rowOff>4649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2407709" y="9942641"/>
          <a:ext cx="4857756" cy="42044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Case wise Billing Amount</a:t>
          </a:r>
        </a:p>
      </xdr:txBody>
    </xdr:sp>
    <xdr:clientData/>
  </xdr:twoCellAnchor>
  <xdr:twoCellAnchor>
    <xdr:from>
      <xdr:col>22</xdr:col>
      <xdr:colOff>483671</xdr:colOff>
      <xdr:row>58</xdr:row>
      <xdr:rowOff>74266</xdr:rowOff>
    </xdr:from>
    <xdr:to>
      <xdr:col>22</xdr:col>
      <xdr:colOff>483671</xdr:colOff>
      <xdr:row>70</xdr:row>
      <xdr:rowOff>18237</xdr:rowOff>
    </xdr:to>
    <xdr:cxnSp macro="">
      <xdr:nvCxnSpPr>
        <xdr:cNvPr id="120" name="Straight Connector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>
          <a:off x="13628171" y="11082445"/>
          <a:ext cx="0" cy="2229971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100853</xdr:colOff>
      <xdr:row>22</xdr:row>
      <xdr:rowOff>47936</xdr:rowOff>
    </xdr:from>
    <xdr:to>
      <xdr:col>3</xdr:col>
      <xdr:colOff>369794</xdr:colOff>
      <xdr:row>23</xdr:row>
      <xdr:rowOff>154703</xdr:rowOff>
    </xdr:to>
    <xdr:sp macro="" textlink="">
      <xdr:nvSpPr>
        <xdr:cNvPr id="7" name="TextBox 6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317936" y="4069603"/>
          <a:ext cx="877483" cy="29197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</a:rPr>
            <a:t>Lawyers</a:t>
          </a:r>
        </a:p>
      </xdr:txBody>
    </xdr:sp>
    <xdr:clientData/>
  </xdr:twoCellAnchor>
  <xdr:twoCellAnchor>
    <xdr:from>
      <xdr:col>2</xdr:col>
      <xdr:colOff>123265</xdr:colOff>
      <xdr:row>25</xdr:row>
      <xdr:rowOff>100852</xdr:rowOff>
    </xdr:from>
    <xdr:to>
      <xdr:col>3</xdr:col>
      <xdr:colOff>392206</xdr:colOff>
      <xdr:row>27</xdr:row>
      <xdr:rowOff>22411</xdr:rowOff>
    </xdr:to>
    <xdr:sp macro="" textlink="">
      <xdr:nvSpPr>
        <xdr:cNvPr id="86" name="TextBox 85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/>
      </xdr:nvSpPr>
      <xdr:spPr>
        <a:xfrm>
          <a:off x="1333500" y="4796117"/>
          <a:ext cx="874059" cy="302559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</a:rPr>
            <a:t>Clients</a:t>
          </a:r>
        </a:p>
      </xdr:txBody>
    </xdr:sp>
    <xdr:clientData/>
  </xdr:twoCellAnchor>
  <xdr:twoCellAnchor>
    <xdr:from>
      <xdr:col>2</xdr:col>
      <xdr:colOff>112060</xdr:colOff>
      <xdr:row>28</xdr:row>
      <xdr:rowOff>156882</xdr:rowOff>
    </xdr:from>
    <xdr:to>
      <xdr:col>3</xdr:col>
      <xdr:colOff>381001</xdr:colOff>
      <xdr:row>30</xdr:row>
      <xdr:rowOff>78441</xdr:rowOff>
    </xdr:to>
    <xdr:sp macro="" textlink="">
      <xdr:nvSpPr>
        <xdr:cNvPr id="91" name="TextBox 9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1322295" y="5423647"/>
          <a:ext cx="874059" cy="302559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</a:rPr>
            <a:t>Billing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595313</xdr:colOff>
          <xdr:row>14</xdr:row>
          <xdr:rowOff>119061</xdr:rowOff>
        </xdr:from>
        <xdr:to>
          <xdr:col>12</xdr:col>
          <xdr:colOff>13607</xdr:colOff>
          <xdr:row>30</xdr:row>
          <xdr:rowOff>108856</xdr:rowOff>
        </xdr:to>
        <xdr:pic>
          <xdr:nvPicPr>
            <xdr:cNvPr id="94" name="Picture 93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AL$16:$AS$30" spid="_x0000_s90648"/>
                </a:ext>
              </a:extLst>
            </xdr:cNvPicPr>
          </xdr:nvPicPr>
          <xdr:blipFill rotWithShape="1">
            <a:blip xmlns:r="http://schemas.openxmlformats.org/officeDocument/2006/relationships" r:embed="rId16"/>
            <a:srcRect b="18311"/>
            <a:stretch>
              <a:fillRect/>
            </a:stretch>
          </xdr:blipFill>
          <xdr:spPr bwMode="auto">
            <a:xfrm>
              <a:off x="2420938" y="2659061"/>
              <a:ext cx="4895169" cy="295312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392956</xdr:colOff>
          <xdr:row>14</xdr:row>
          <xdr:rowOff>119062</xdr:rowOff>
        </xdr:from>
        <xdr:to>
          <xdr:col>27</xdr:col>
          <xdr:colOff>31269</xdr:colOff>
          <xdr:row>30</xdr:row>
          <xdr:rowOff>54429</xdr:rowOff>
        </xdr:to>
        <xdr:pic>
          <xdr:nvPicPr>
            <xdr:cNvPr id="99" name="Picture 98">
              <a:extLst>
                <a:ext uri="{FF2B5EF4-FFF2-40B4-BE49-F238E27FC236}">
                  <a16:creationId xmlns:a16="http://schemas.microsoft.com/office/drawing/2014/main" id="{00000000-0008-0000-0000-00006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AW$16:$BA$30" spid="_x0000_s90649"/>
                </a:ext>
              </a:extLst>
            </xdr:cNvPicPr>
          </xdr:nvPicPr>
          <xdr:blipFill rotWithShape="1">
            <a:blip xmlns:r="http://schemas.openxmlformats.org/officeDocument/2006/relationships" r:embed="rId17"/>
            <a:srcRect b="17910"/>
            <a:stretch>
              <a:fillRect/>
            </a:stretch>
          </xdr:blipFill>
          <xdr:spPr bwMode="auto">
            <a:xfrm>
              <a:off x="12027063" y="2718026"/>
              <a:ext cx="4101456" cy="298336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268511</xdr:colOff>
          <xdr:row>14</xdr:row>
          <xdr:rowOff>119062</xdr:rowOff>
        </xdr:from>
        <xdr:to>
          <xdr:col>19</xdr:col>
          <xdr:colOff>145063</xdr:colOff>
          <xdr:row>30</xdr:row>
          <xdr:rowOff>81643</xdr:rowOff>
        </xdr:to>
        <xdr:pic>
          <xdr:nvPicPr>
            <xdr:cNvPr id="100" name="Picture 99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BC$16:$BG$30" spid="_x0000_s90650"/>
                </a:ext>
              </a:extLst>
            </xdr:cNvPicPr>
          </xdr:nvPicPr>
          <xdr:blipFill rotWithShape="1">
            <a:blip xmlns:r="http://schemas.openxmlformats.org/officeDocument/2006/relationships" r:embed="rId18"/>
            <a:srcRect b="17910"/>
            <a:stretch>
              <a:fillRect/>
            </a:stretch>
          </xdr:blipFill>
          <xdr:spPr bwMode="auto">
            <a:xfrm>
              <a:off x="7616368" y="2718026"/>
              <a:ext cx="4162802" cy="301058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3</xdr:col>
      <xdr:colOff>555626</xdr:colOff>
      <xdr:row>72</xdr:row>
      <xdr:rowOff>122509</xdr:rowOff>
    </xdr:from>
    <xdr:to>
      <xdr:col>34</xdr:col>
      <xdr:colOff>520480</xdr:colOff>
      <xdr:row>92</xdr:row>
      <xdr:rowOff>122472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2381251" y="13444280"/>
          <a:ext cx="18419542" cy="3704130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267195</xdr:colOff>
      <xdr:row>72</xdr:row>
      <xdr:rowOff>81687</xdr:rowOff>
    </xdr:from>
    <xdr:to>
      <xdr:col>34</xdr:col>
      <xdr:colOff>122470</xdr:colOff>
      <xdr:row>74</xdr:row>
      <xdr:rowOff>131717</xdr:rowOff>
    </xdr:to>
    <xdr:sp macro="" textlink="">
      <xdr:nvSpPr>
        <xdr:cNvPr id="122" name="Rectangle: Rounded Corners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15752124" y="14301151"/>
          <a:ext cx="4753846" cy="43103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Location wise Win / Loss</a:t>
          </a:r>
        </a:p>
      </xdr:txBody>
    </xdr:sp>
    <xdr:clientData/>
  </xdr:twoCellAnchor>
  <xdr:twoCellAnchor>
    <xdr:from>
      <xdr:col>26</xdr:col>
      <xdr:colOff>394607</xdr:colOff>
      <xdr:row>74</xdr:row>
      <xdr:rowOff>163330</xdr:rowOff>
    </xdr:from>
    <xdr:to>
      <xdr:col>34</xdr:col>
      <xdr:colOff>308017</xdr:colOff>
      <xdr:row>91</xdr:row>
      <xdr:rowOff>49030</xdr:rowOff>
    </xdr:to>
    <xdr:graphicFrame macro="">
      <xdr:nvGraphicFramePr>
        <xdr:cNvPr id="96" name="Chart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291041</xdr:colOff>
          <xdr:row>75</xdr:row>
          <xdr:rowOff>81652</xdr:rowOff>
        </xdr:from>
        <xdr:to>
          <xdr:col>25</xdr:col>
          <xdr:colOff>471325</xdr:colOff>
          <xdr:row>90</xdr:row>
          <xdr:rowOff>163286</xdr:rowOff>
        </xdr:to>
        <xdr:pic>
          <xdr:nvPicPr>
            <xdr:cNvPr id="105" name="Picture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B$287:$J$298" spid="_x0000_s90651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2725208" y="13959048"/>
              <a:ext cx="12549555" cy="285975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120238</xdr:colOff>
      <xdr:row>72</xdr:row>
      <xdr:rowOff>111624</xdr:rowOff>
    </xdr:from>
    <xdr:to>
      <xdr:col>11</xdr:col>
      <xdr:colOff>587834</xdr:colOff>
      <xdr:row>74</xdr:row>
      <xdr:rowOff>161654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2569524" y="14331088"/>
          <a:ext cx="4753846" cy="43103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Location wise Case Analysis</a:t>
          </a:r>
        </a:p>
      </xdr:txBody>
    </xdr:sp>
    <xdr:clientData/>
  </xdr:twoCellAnchor>
  <xdr:twoCellAnchor>
    <xdr:from>
      <xdr:col>26</xdr:col>
      <xdr:colOff>267194</xdr:colOff>
      <xdr:row>76</xdr:row>
      <xdr:rowOff>176937</xdr:rowOff>
    </xdr:from>
    <xdr:to>
      <xdr:col>26</xdr:col>
      <xdr:colOff>267194</xdr:colOff>
      <xdr:row>88</xdr:row>
      <xdr:rowOff>120908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>
          <a:off x="15752123" y="15158401"/>
          <a:ext cx="0" cy="2229971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598714</xdr:colOff>
      <xdr:row>32</xdr:row>
      <xdr:rowOff>40821</xdr:rowOff>
    </xdr:from>
    <xdr:to>
      <xdr:col>34</xdr:col>
      <xdr:colOff>421821</xdr:colOff>
      <xdr:row>52</xdr:row>
      <xdr:rowOff>40822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334250" y="6259285"/>
          <a:ext cx="13471071" cy="3810001"/>
        </a:xfrm>
        <a:prstGeom prst="roundRect">
          <a:avLst>
            <a:gd name="adj" fmla="val 1802"/>
          </a:avLst>
        </a:prstGeom>
        <a:noFill/>
        <a:ln>
          <a:solidFill>
            <a:schemeClr val="bg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466300</xdr:colOff>
      <xdr:row>34</xdr:row>
      <xdr:rowOff>121067</xdr:rowOff>
    </xdr:from>
    <xdr:to>
      <xdr:col>28</xdr:col>
      <xdr:colOff>258536</xdr:colOff>
      <xdr:row>51</xdr:row>
      <xdr:rowOff>134313</xdr:rowOff>
    </xdr:to>
    <xdr:graphicFrame macro="">
      <xdr:nvGraphicFramePr>
        <xdr:cNvPr id="81" name="Chart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29</xdr:col>
      <xdr:colOff>53283</xdr:colOff>
      <xdr:row>34</xdr:row>
      <xdr:rowOff>144761</xdr:rowOff>
    </xdr:from>
    <xdr:to>
      <xdr:col>34</xdr:col>
      <xdr:colOff>347524</xdr:colOff>
      <xdr:row>51</xdr:row>
      <xdr:rowOff>134313</xdr:rowOff>
    </xdr:to>
    <xdr:graphicFrame macro="">
      <xdr:nvGraphicFramePr>
        <xdr:cNvPr id="95" name="Chart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28</xdr:col>
      <xdr:colOff>493514</xdr:colOff>
      <xdr:row>36</xdr:row>
      <xdr:rowOff>66457</xdr:rowOff>
    </xdr:from>
    <xdr:to>
      <xdr:col>28</xdr:col>
      <xdr:colOff>493514</xdr:colOff>
      <xdr:row>48</xdr:row>
      <xdr:rowOff>10428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>
          <a:off x="17203085" y="7046921"/>
          <a:ext cx="0" cy="2229971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58085</xdr:colOff>
      <xdr:row>32</xdr:row>
      <xdr:rowOff>0</xdr:rowOff>
    </xdr:from>
    <xdr:to>
      <xdr:col>24</xdr:col>
      <xdr:colOff>503464</xdr:colOff>
      <xdr:row>34</xdr:row>
      <xdr:rowOff>65423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3202585" y="6215303"/>
          <a:ext cx="1561165" cy="44958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Closure TAT</a:t>
          </a:r>
        </a:p>
      </xdr:txBody>
    </xdr:sp>
    <xdr:clientData/>
  </xdr:twoCellAnchor>
  <xdr:twoCellAnchor>
    <xdr:from>
      <xdr:col>28</xdr:col>
      <xdr:colOff>508722</xdr:colOff>
      <xdr:row>32</xdr:row>
      <xdr:rowOff>0</xdr:rowOff>
    </xdr:from>
    <xdr:to>
      <xdr:col>32</xdr:col>
      <xdr:colOff>13607</xdr:colOff>
      <xdr:row>34</xdr:row>
      <xdr:rowOff>64623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17218293" y="6214503"/>
          <a:ext cx="1954171" cy="44958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In Progress TAT</a:t>
          </a:r>
        </a:p>
      </xdr:txBody>
    </xdr:sp>
    <xdr:clientData/>
  </xdr:twoCellAnchor>
  <xdr:twoCellAnchor>
    <xdr:from>
      <xdr:col>22</xdr:col>
      <xdr:colOff>32472</xdr:colOff>
      <xdr:row>36</xdr:row>
      <xdr:rowOff>66457</xdr:rowOff>
    </xdr:from>
    <xdr:to>
      <xdr:col>22</xdr:col>
      <xdr:colOff>32472</xdr:colOff>
      <xdr:row>48</xdr:row>
      <xdr:rowOff>10428</xdr:rowOff>
    </xdr:to>
    <xdr:cxnSp macro="">
      <xdr:nvCxnSpPr>
        <xdr:cNvPr id="115" name="Straight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>
          <a:off x="13176972" y="7046921"/>
          <a:ext cx="0" cy="2229971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522329</xdr:colOff>
      <xdr:row>32</xdr:row>
      <xdr:rowOff>0</xdr:rowOff>
    </xdr:from>
    <xdr:to>
      <xdr:col>17</xdr:col>
      <xdr:colOff>326572</xdr:colOff>
      <xdr:row>34</xdr:row>
      <xdr:rowOff>37409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7257865" y="6187289"/>
          <a:ext cx="3478171" cy="44958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Case Type</a:t>
          </a:r>
          <a:r>
            <a:rPr lang="en-US" sz="1800" b="1" baseline="0">
              <a:solidFill>
                <a:schemeClr val="bg1"/>
              </a:solidFill>
              <a:latin typeface="+mj-lt"/>
            </a:rPr>
            <a:t> wise </a:t>
          </a:r>
          <a:r>
            <a:rPr lang="en-US" sz="1800" b="1">
              <a:solidFill>
                <a:schemeClr val="bg1"/>
              </a:solidFill>
              <a:latin typeface="+mj-lt"/>
            </a:rPr>
            <a:t>Closure 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104775</xdr:colOff>
          <xdr:row>33</xdr:row>
          <xdr:rowOff>171450</xdr:rowOff>
        </xdr:from>
        <xdr:to>
          <xdr:col>14</xdr:col>
          <xdr:colOff>381000</xdr:colOff>
          <xdr:row>35</xdr:row>
          <xdr:rowOff>85725</xdr:rowOff>
        </xdr:to>
        <xdr:sp macro="" textlink="">
          <xdr:nvSpPr>
            <xdr:cNvPr id="50513" name="Drop Down 1361" hidden="1">
              <a:extLst>
                <a:ext uri="{63B3BB69-23CF-44E3-9099-C40C66FF867C}">
                  <a14:compatExt spid="_x0000_s50513"/>
                </a:ext>
                <a:ext uri="{FF2B5EF4-FFF2-40B4-BE49-F238E27FC236}">
                  <a16:creationId xmlns:a16="http://schemas.microsoft.com/office/drawing/2014/main" id="{00000000-0008-0000-0000-000051C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133348</xdr:colOff>
          <xdr:row>33</xdr:row>
          <xdr:rowOff>186418</xdr:rowOff>
        </xdr:from>
        <xdr:to>
          <xdr:col>19</xdr:col>
          <xdr:colOff>574219</xdr:colOff>
          <xdr:row>40</xdr:row>
          <xdr:rowOff>136072</xdr:rowOff>
        </xdr:to>
        <xdr:pic>
          <xdr:nvPicPr>
            <xdr:cNvPr id="118" name="Picture 117">
              <a:extLst>
                <a:ext uri="{FF2B5EF4-FFF2-40B4-BE49-F238E27FC236}">
                  <a16:creationId xmlns:a16="http://schemas.microsoft.com/office/drawing/2014/main" id="{00000000-0008-0000-0000-00007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L$33:$M$38" spid="_x0000_s90652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9318169" y="6595382"/>
              <a:ext cx="2890157" cy="128315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chemeClr val="bg1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12</xdr:col>
      <xdr:colOff>557892</xdr:colOff>
      <xdr:row>41</xdr:row>
      <xdr:rowOff>91291</xdr:rowOff>
    </xdr:from>
    <xdr:to>
      <xdr:col>22</xdr:col>
      <xdr:colOff>0</xdr:colOff>
      <xdr:row>52</xdr:row>
      <xdr:rowOff>1</xdr:rowOff>
    </xdr:to>
    <xdr:graphicFrame macro="">
      <xdr:nvGraphicFramePr>
        <xdr:cNvPr id="119" name="Chart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206825</xdr:colOff>
          <xdr:row>55</xdr:row>
          <xdr:rowOff>150094</xdr:rowOff>
        </xdr:from>
        <xdr:to>
          <xdr:col>34</xdr:col>
          <xdr:colOff>204104</xdr:colOff>
          <xdr:row>70</xdr:row>
          <xdr:rowOff>172954</xdr:rowOff>
        </xdr:to>
        <xdr:pic>
          <xdr:nvPicPr>
            <xdr:cNvPr id="129" name="Picture 128">
              <a:extLst>
                <a:ext uri="{FF2B5EF4-FFF2-40B4-BE49-F238E27FC236}">
                  <a16:creationId xmlns:a16="http://schemas.microsoft.com/office/drawing/2014/main" id="{00000000-0008-0000-0000-000081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AD$63:$AG$78" spid="_x0000_s90653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14467111" y="10586773"/>
              <a:ext cx="6120493" cy="288036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22</xdr:col>
      <xdr:colOff>552942</xdr:colOff>
      <xdr:row>53</xdr:row>
      <xdr:rowOff>139828</xdr:rowOff>
    </xdr:from>
    <xdr:to>
      <xdr:col>30</xdr:col>
      <xdr:colOff>517074</xdr:colOff>
      <xdr:row>55</xdr:row>
      <xdr:rowOff>189858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13697442" y="10195507"/>
          <a:ext cx="4753846" cy="43103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Top 15 High Valued Cases</a:t>
          </a:r>
        </a:p>
      </xdr:txBody>
    </xdr:sp>
    <xdr:clientData/>
  </xdr:twoCellAnchor>
  <xdr:twoCellAnchor>
    <xdr:from>
      <xdr:col>0</xdr:col>
      <xdr:colOff>244928</xdr:colOff>
      <xdr:row>2</xdr:row>
      <xdr:rowOff>13608</xdr:rowOff>
    </xdr:from>
    <xdr:to>
      <xdr:col>3</xdr:col>
      <xdr:colOff>204107</xdr:colOff>
      <xdr:row>9</xdr:row>
      <xdr:rowOff>169718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244928" y="394608"/>
          <a:ext cx="1796143" cy="1489610"/>
          <a:chOff x="244928" y="394608"/>
          <a:chExt cx="1796143" cy="1489610"/>
        </a:xfrm>
      </xdr:grpSpPr>
      <xdr:pic>
        <xdr:nvPicPr>
          <xdr:cNvPr id="98" name="Graphic 97" descr="Scales of justice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7"/>
              </a:ext>
            </a:extLst>
          </a:blip>
          <a:stretch>
            <a:fillRect/>
          </a:stretch>
        </xdr:blipFill>
        <xdr:spPr>
          <a:xfrm>
            <a:off x="745190" y="708366"/>
            <a:ext cx="795618" cy="807138"/>
          </a:xfrm>
          <a:prstGeom prst="rect">
            <a:avLst/>
          </a:prstGeom>
        </xdr:spPr>
      </xdr:pic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244928" y="394608"/>
            <a:ext cx="1796143" cy="1380492"/>
          </a:xfrm>
          <a:prstGeom prst="rect">
            <a:avLst/>
          </a:prstGeom>
          <a:noFill/>
        </xdr:spPr>
        <xdr:txBody>
          <a:bodyPr wrap="none" lIns="91440" tIns="45720" rIns="91440" bIns="45720">
            <a:prstTxWarp prst="textArchUp">
              <a:avLst>
                <a:gd name="adj" fmla="val 10432309"/>
              </a:avLst>
            </a:prstTxWarp>
            <a:spAutoFit/>
          </a:bodyPr>
          <a:lstStyle/>
          <a:p>
            <a:pPr algn="ctr"/>
            <a:r>
              <a:rPr lang="en-US" sz="2800" b="1" cap="none" spc="50">
                <a:ln w="0">
                  <a:solidFill>
                    <a:schemeClr val="bg1"/>
                  </a:solidFill>
                </a:ln>
                <a:solidFill>
                  <a:schemeClr val="bg1"/>
                </a:solidFill>
                <a:effectLst>
                  <a:innerShdw blurRad="63500" dist="50800" dir="13500000">
                    <a:schemeClr val="bg1">
                      <a:alpha val="50000"/>
                    </a:schemeClr>
                  </a:innerShdw>
                </a:effectLst>
              </a:rPr>
              <a:t>Law</a:t>
            </a:r>
            <a:r>
              <a:rPr lang="en-US" sz="2800" b="1" cap="none" spc="50" baseline="0">
                <a:ln w="0">
                  <a:solidFill>
                    <a:schemeClr val="bg1"/>
                  </a:solidFill>
                </a:ln>
                <a:solidFill>
                  <a:schemeClr val="bg1"/>
                </a:solidFill>
                <a:effectLst>
                  <a:innerShdw blurRad="63500" dist="50800" dir="13500000">
                    <a:schemeClr val="bg1">
                      <a:alpha val="50000"/>
                    </a:schemeClr>
                  </a:innerShdw>
                </a:effectLst>
              </a:rPr>
              <a:t> Firm</a:t>
            </a:r>
            <a:endParaRPr lang="en-US" sz="6000" b="1" cap="none" spc="50">
              <a:ln w="0">
                <a:solidFill>
                  <a:schemeClr val="bg1"/>
                </a:solidFill>
              </a:ln>
              <a:solidFill>
                <a:schemeClr val="bg1"/>
              </a:solidFill>
              <a:effectLst>
                <a:innerShdw blurRad="63500" dist="50800" dir="13500000">
                  <a:schemeClr val="bg1">
                    <a:alpha val="50000"/>
                  </a:schemeClr>
                </a:innerShdw>
              </a:effectLst>
            </a:endParaRP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244928" y="503474"/>
            <a:ext cx="1796143" cy="1380744"/>
          </a:xfrm>
          <a:prstGeom prst="rect">
            <a:avLst/>
          </a:prstGeom>
          <a:noFill/>
        </xdr:spPr>
        <xdr:txBody>
          <a:bodyPr wrap="none" lIns="91440" tIns="45720" rIns="91440" bIns="45720">
            <a:prstTxWarp prst="textArchDown">
              <a:avLst/>
            </a:prstTxWarp>
            <a:spAutoFit/>
          </a:bodyPr>
          <a:lstStyle/>
          <a:p>
            <a:pPr algn="ctr"/>
            <a:r>
              <a:rPr lang="en-US" sz="1800" b="1" cap="none" spc="50" baseline="0">
                <a:ln w="0">
                  <a:solidFill>
                    <a:schemeClr val="bg1"/>
                  </a:solidFill>
                </a:ln>
                <a:solidFill>
                  <a:schemeClr val="bg1"/>
                </a:solidFill>
                <a:effectLst>
                  <a:innerShdw blurRad="63500" dist="50800" dir="13500000">
                    <a:schemeClr val="bg1">
                      <a:alpha val="50000"/>
                    </a:schemeClr>
                  </a:innerShdw>
                </a:effectLst>
              </a:rPr>
              <a:t>Dashboard</a:t>
            </a:r>
            <a:endParaRPr lang="en-US" sz="4400" b="1" cap="none" spc="50">
              <a:ln w="0">
                <a:solidFill>
                  <a:schemeClr val="bg1"/>
                </a:solidFill>
              </a:ln>
              <a:solidFill>
                <a:schemeClr val="bg1"/>
              </a:solidFill>
              <a:effectLst>
                <a:innerShdw blurRad="63500" dist="50800" dir="13500000">
                  <a:schemeClr val="bg1">
                    <a:alpha val="50000"/>
                  </a:schemeClr>
                </a:innerShdw>
              </a:effectLst>
            </a:endParaRPr>
          </a:p>
        </xdr:txBody>
      </xdr:sp>
    </xdr:grpSp>
    <xdr:clientData/>
  </xdr:twoCellAnchor>
  <xdr:twoCellAnchor>
    <xdr:from>
      <xdr:col>27</xdr:col>
      <xdr:colOff>185208</xdr:colOff>
      <xdr:row>12</xdr:row>
      <xdr:rowOff>15725</xdr:rowOff>
    </xdr:from>
    <xdr:to>
      <xdr:col>34</xdr:col>
      <xdr:colOff>518427</xdr:colOff>
      <xdr:row>31</xdr:row>
      <xdr:rowOff>98728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16282458" y="2233689"/>
          <a:ext cx="4619469" cy="3702503"/>
          <a:chOff x="16396058" y="2233689"/>
          <a:chExt cx="4505869" cy="3702503"/>
        </a:xfrm>
      </xdr:grpSpPr>
      <xdr:sp macro="" textlink="">
        <xdr:nvSpPr>
          <xdr:cNvPr id="78" name="Rectangle: Rounded Corners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6396058" y="2233689"/>
            <a:ext cx="4505869" cy="3702503"/>
          </a:xfrm>
          <a:prstGeom prst="roundRect">
            <a:avLst>
              <a:gd name="adj" fmla="val 1953"/>
            </a:avLst>
          </a:prstGeom>
          <a:solidFill>
            <a:schemeClr val="accent1">
              <a:lumMod val="50000"/>
            </a:schemeClr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06" name="Chart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GraphicFramePr>
            <a:graphicFrameLocks/>
          </xdr:cNvGraphicFramePr>
        </xdr:nvGraphicFramePr>
        <xdr:xfrm>
          <a:off x="16491309" y="2326821"/>
          <a:ext cx="4314013" cy="35378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8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176882</xdr:colOff>
      <xdr:row>12</xdr:row>
      <xdr:rowOff>27215</xdr:rowOff>
    </xdr:from>
    <xdr:to>
      <xdr:col>28</xdr:col>
      <xdr:colOff>544277</xdr:colOff>
      <xdr:row>34</xdr:row>
      <xdr:rowOff>54429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709061" y="2245179"/>
          <a:ext cx="4544787" cy="4218214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598707</xdr:colOff>
      <xdr:row>12</xdr:row>
      <xdr:rowOff>27215</xdr:rowOff>
    </xdr:from>
    <xdr:to>
      <xdr:col>21</xdr:col>
      <xdr:colOff>81633</xdr:colOff>
      <xdr:row>34</xdr:row>
      <xdr:rowOff>54429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8558886" y="2245179"/>
          <a:ext cx="4054926" cy="4218214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428621</xdr:colOff>
      <xdr:row>77</xdr:row>
      <xdr:rowOff>136073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2254246" cy="14344198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317298</xdr:colOff>
      <xdr:row>20</xdr:row>
      <xdr:rowOff>67461</xdr:rowOff>
    </xdr:from>
    <xdr:to>
      <xdr:col>4</xdr:col>
      <xdr:colOff>559059</xdr:colOff>
      <xdr:row>26</xdr:row>
      <xdr:rowOff>7846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GrpSpPr/>
      </xdr:nvGrpSpPr>
      <xdr:grpSpPr>
        <a:xfrm>
          <a:off x="929619" y="3809425"/>
          <a:ext cx="2078726" cy="1083385"/>
          <a:chOff x="925820" y="3718711"/>
          <a:chExt cx="2067406" cy="1051635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GrpSpPr/>
        </xdr:nvGrpSpPr>
        <xdr:grpSpPr>
          <a:xfrm>
            <a:off x="925820" y="3718711"/>
            <a:ext cx="2067406" cy="1051635"/>
            <a:chOff x="925820" y="3718711"/>
            <a:chExt cx="2067406" cy="1051635"/>
          </a:xfrm>
        </xdr:grpSpPr>
        <xdr:sp macro="" textlink="">
          <xdr:nvSpPr>
            <xdr:cNvPr id="6" name="Rectangle: Top Corners Rounded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 rot="16200000">
              <a:off x="1291349" y="3664728"/>
              <a:ext cx="425444" cy="1156502"/>
            </a:xfrm>
            <a:prstGeom prst="round2Same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  <xdr:sp macro="" textlink="">
          <xdr:nvSpPr>
            <xdr:cNvPr id="7" name="Plaque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>
            <a:xfrm>
              <a:off x="1936927" y="3718711"/>
              <a:ext cx="1056299" cy="1051635"/>
            </a:xfrm>
            <a:prstGeom prst="plaque">
              <a:avLst>
                <a:gd name="adj" fmla="val 32397"/>
              </a:avLst>
            </a:prstGeom>
            <a:solidFill>
              <a:schemeClr val="tx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 txBox="1"/>
        </xdr:nvSpPr>
        <xdr:spPr>
          <a:xfrm>
            <a:off x="1003362" y="4137189"/>
            <a:ext cx="954744" cy="24318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US" sz="1600" b="1"/>
              <a:t>Lawyers</a:t>
            </a:r>
            <a:endParaRPr lang="en-US" sz="2400" b="1"/>
          </a:p>
        </xdr:txBody>
      </xdr:sp>
    </xdr:grpSp>
    <xdr:clientData/>
  </xdr:twoCellAnchor>
  <xdr:twoCellAnchor>
    <xdr:from>
      <xdr:col>29</xdr:col>
      <xdr:colOff>132059</xdr:colOff>
      <xdr:row>3</xdr:row>
      <xdr:rowOff>136071</xdr:rowOff>
    </xdr:from>
    <xdr:to>
      <xdr:col>34</xdr:col>
      <xdr:colOff>18505</xdr:colOff>
      <xdr:row>9</xdr:row>
      <xdr:rowOff>48018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17453952" y="707571"/>
          <a:ext cx="2948053" cy="1054947"/>
          <a:chOff x="16480422" y="707571"/>
          <a:chExt cx="2917128" cy="1054947"/>
        </a:xfrm>
      </xdr:grpSpPr>
      <xdr:grpSp>
        <xdr:nvGrpSpPr>
          <xdr:cNvPr id="26" name="Group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GrpSpPr/>
        </xdr:nvGrpSpPr>
        <xdr:grpSpPr>
          <a:xfrm>
            <a:off x="16480422" y="707571"/>
            <a:ext cx="2917128" cy="1054947"/>
            <a:chOff x="12987262" y="786190"/>
            <a:chExt cx="2910256" cy="1091233"/>
          </a:xfrm>
        </xdr:grpSpPr>
        <xdr:sp macro="" textlink="">
          <xdr:nvSpPr>
            <xdr:cNvPr id="31" name="Rectangle: Top Corners Rounded 30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/>
          </xdr:nvSpPr>
          <xdr:spPr>
            <a:xfrm rot="5400000">
              <a:off x="13996932" y="-23162"/>
              <a:ext cx="1091233" cy="2709938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2" name="Rectangle: Top Corners Rounded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/>
          </xdr:nvSpPr>
          <xdr:spPr>
            <a:xfrm rot="16200000">
              <a:off x="12536045" y="1237407"/>
              <a:ext cx="1091233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2">
                <a:lumMod val="50000"/>
              </a:schemeClr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27" name="Graphic 26" descr="Hourglass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6621110" y="982948"/>
            <a:ext cx="503007" cy="504193"/>
          </a:xfrm>
          <a:prstGeom prst="rect">
            <a:avLst/>
          </a:prstGeom>
        </xdr:spPr>
      </xdr:pic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 txBox="1"/>
        </xdr:nvSpPr>
        <xdr:spPr>
          <a:xfrm>
            <a:off x="17434461" y="753834"/>
            <a:ext cx="1716396" cy="33201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600" b="1">
                <a:solidFill>
                  <a:schemeClr val="accent2">
                    <a:lumMod val="50000"/>
                  </a:schemeClr>
                </a:solidFill>
              </a:rPr>
              <a:t>Approx Hrs /</a:t>
            </a:r>
            <a:r>
              <a:rPr lang="en-US" sz="1600" b="1" baseline="0">
                <a:solidFill>
                  <a:schemeClr val="accent2">
                    <a:lumMod val="50000"/>
                  </a:schemeClr>
                </a:solidFill>
              </a:rPr>
              <a:t> Case</a:t>
            </a:r>
            <a:endParaRPr lang="en-US" sz="1600" b="1">
              <a:solidFill>
                <a:schemeClr val="accent2">
                  <a:lumMod val="50000"/>
                </a:schemeClr>
              </a:solidFill>
            </a:endParaRPr>
          </a:p>
        </xdr:txBody>
      </xdr: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/>
        </xdr:nvCxnSpPr>
        <xdr:spPr>
          <a:xfrm>
            <a:off x="17309276" y="922566"/>
            <a:ext cx="0" cy="557893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Analysis!$D$4">
        <xdr:nvSpPr>
          <xdr:cNvPr id="30" name="Rectangle: Rounded Corners 29">
            <a:extLst>
              <a:ext uri="{FF2B5EF4-FFF2-40B4-BE49-F238E27FC236}">
                <a16:creationId xmlns:a16="http://schemas.microsoft.com/office/drawing/2014/main" id="{00000000-0008-0000-0100-00001E000000}"/>
              </a:ext>
            </a:extLst>
          </xdr:cNvPr>
          <xdr:cNvSpPr/>
        </xdr:nvSpPr>
        <xdr:spPr>
          <a:xfrm>
            <a:off x="17685465" y="1118252"/>
            <a:ext cx="1276306" cy="476694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7634228C-D374-42E6-B781-AE9EE48D119D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121.9 hrs</a:t>
            </a:fld>
            <a:endParaRPr lang="en-US" sz="2400" b="1">
              <a:latin typeface="+mj-lt"/>
            </a:endParaRPr>
          </a:p>
        </xdr:txBody>
      </xdr:sp>
    </xdr:grpSp>
    <xdr:clientData/>
  </xdr:twoCellAnchor>
  <xdr:twoCellAnchor>
    <xdr:from>
      <xdr:col>13</xdr:col>
      <xdr:colOff>534735</xdr:colOff>
      <xdr:row>11</xdr:row>
      <xdr:rowOff>192016</xdr:rowOff>
    </xdr:from>
    <xdr:to>
      <xdr:col>17</xdr:col>
      <xdr:colOff>13595</xdr:colOff>
      <xdr:row>14</xdr:row>
      <xdr:rowOff>18146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8494914" y="2165052"/>
          <a:ext cx="1928145" cy="45205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  <a:latin typeface="+mj-lt"/>
            </a:rPr>
            <a:t>YTD Performance</a:t>
          </a:r>
        </a:p>
      </xdr:txBody>
    </xdr:sp>
    <xdr:clientData/>
  </xdr:twoCellAnchor>
  <xdr:twoCellAnchor>
    <xdr:from>
      <xdr:col>20</xdr:col>
      <xdr:colOff>225567</xdr:colOff>
      <xdr:row>11</xdr:row>
      <xdr:rowOff>188992</xdr:rowOff>
    </xdr:from>
    <xdr:to>
      <xdr:col>24</xdr:col>
      <xdr:colOff>507537</xdr:colOff>
      <xdr:row>14</xdr:row>
      <xdr:rowOff>22925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12471996" y="2162028"/>
          <a:ext cx="2295827" cy="45986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  <a:latin typeface="+mj-lt"/>
              <a:ea typeface="+mn-ea"/>
              <a:cs typeface="+mn-cs"/>
            </a:rPr>
            <a:t>MTD</a:t>
          </a:r>
          <a:r>
            <a:rPr lang="en-US" sz="1600" b="1">
              <a:solidFill>
                <a:schemeClr val="bg1"/>
              </a:solidFill>
              <a:latin typeface="+mj-lt"/>
            </a:rPr>
            <a:t> </a:t>
          </a:r>
          <a:r>
            <a:rPr lang="en-US" sz="1800" b="1">
              <a:solidFill>
                <a:schemeClr val="bg1"/>
              </a:solidFill>
              <a:latin typeface="+mj-lt"/>
              <a:ea typeface="+mn-ea"/>
              <a:cs typeface="+mn-cs"/>
            </a:rPr>
            <a:t>Performance</a:t>
          </a:r>
          <a:endParaRPr lang="en-US" sz="1600" b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3</xdr:col>
      <xdr:colOff>451757</xdr:colOff>
      <xdr:row>0</xdr:row>
      <xdr:rowOff>21775</xdr:rowOff>
    </xdr:from>
    <xdr:to>
      <xdr:col>5</xdr:col>
      <xdr:colOff>190500</xdr:colOff>
      <xdr:row>28</xdr:row>
      <xdr:rowOff>107497</xdr:rowOff>
    </xdr:to>
    <xdr:sp macro="" textlink="">
      <xdr:nvSpPr>
        <xdr:cNvPr id="39" name="Rectangle: Top Corners Rounded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 rot="5400000">
          <a:off x="83005" y="2219327"/>
          <a:ext cx="5353047" cy="957943"/>
        </a:xfrm>
        <a:prstGeom prst="round2SameRect">
          <a:avLst>
            <a:gd name="adj1" fmla="val 4670"/>
            <a:gd name="adj2" fmla="val 679"/>
          </a:avLst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83848</xdr:colOff>
      <xdr:row>3</xdr:row>
      <xdr:rowOff>136071</xdr:rowOff>
    </xdr:from>
    <xdr:to>
      <xdr:col>14</xdr:col>
      <xdr:colOff>579455</xdr:colOff>
      <xdr:row>9</xdr:row>
      <xdr:rowOff>48018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GrpSpPr/>
      </xdr:nvGrpSpPr>
      <xdr:grpSpPr>
        <a:xfrm>
          <a:off x="6207062" y="707571"/>
          <a:ext cx="2944893" cy="1054947"/>
          <a:chOff x="5902942" y="707571"/>
          <a:chExt cx="2920152" cy="1054947"/>
        </a:xfrm>
      </xdr:grpSpPr>
      <xdr:grpSp>
        <xdr:nvGrpSpPr>
          <xdr:cNvPr id="41" name="Group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GrpSpPr/>
        </xdr:nvGrpSpPr>
        <xdr:grpSpPr>
          <a:xfrm>
            <a:off x="5902942" y="707571"/>
            <a:ext cx="2920152" cy="1054947"/>
            <a:chOff x="6047619" y="786190"/>
            <a:chExt cx="2913280" cy="1091233"/>
          </a:xfrm>
        </xdr:grpSpPr>
        <xdr:sp macro="" textlink="">
          <xdr:nvSpPr>
            <xdr:cNvPr id="46" name="Rectangle: Top Corners Rounded 45">
              <a:extLst>
                <a:ext uri="{FF2B5EF4-FFF2-40B4-BE49-F238E27FC236}">
                  <a16:creationId xmlns:a16="http://schemas.microsoft.com/office/drawing/2014/main" id="{00000000-0008-0000-0100-00002E000000}"/>
                </a:ext>
              </a:extLst>
            </xdr:cNvPr>
            <xdr:cNvSpPr/>
          </xdr:nvSpPr>
          <xdr:spPr>
            <a:xfrm rot="5400000">
              <a:off x="7058801" y="-24674"/>
              <a:ext cx="1091233" cy="2712962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7" name="Rectangle: Top Corners Rounded 46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SpPr/>
          </xdr:nvSpPr>
          <xdr:spPr>
            <a:xfrm rot="16200000">
              <a:off x="5596402" y="1237407"/>
              <a:ext cx="1091233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1">
                <a:lumMod val="50000"/>
              </a:schemeClr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42" name="Graphic 41" descr="Checklist RTL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6038183" y="933292"/>
            <a:ext cx="614389" cy="603504"/>
          </a:xfrm>
          <a:prstGeom prst="rect">
            <a:avLst/>
          </a:prstGeom>
        </xdr:spPr>
      </xdr:pic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 txBox="1"/>
        </xdr:nvSpPr>
        <xdr:spPr>
          <a:xfrm>
            <a:off x="6993676" y="753834"/>
            <a:ext cx="1727081" cy="326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baseline="0">
                <a:solidFill>
                  <a:schemeClr val="accent1">
                    <a:lumMod val="50000"/>
                  </a:schemeClr>
                </a:solidFill>
              </a:rPr>
              <a:t>Cases In Progress</a:t>
            </a:r>
            <a:endParaRPr lang="en-US" sz="1600" b="1">
              <a:solidFill>
                <a:schemeClr val="accent1">
                  <a:lumMod val="50000"/>
                </a:schemeClr>
              </a:solidFill>
            </a:endParaRPr>
          </a:p>
        </xdr:txBody>
      </xdr: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CxnSpPr/>
        </xdr:nvCxnSpPr>
        <xdr:spPr>
          <a:xfrm>
            <a:off x="6860722" y="928007"/>
            <a:ext cx="0" cy="557893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Analysis!$E$100">
        <xdr:nvSpPr>
          <xdr:cNvPr id="45" name="Rectangle: Rounded Corners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7273480" y="1118251"/>
            <a:ext cx="1052189" cy="47669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8803353B-C470-4611-A84A-235708A97D17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22</a:t>
            </a:fld>
            <a:endParaRPr lang="en-US" sz="2400" b="1">
              <a:latin typeface="+mj-lt"/>
            </a:endParaRPr>
          </a:p>
        </xdr:txBody>
      </xdr:sp>
    </xdr:grpSp>
    <xdr:clientData/>
  </xdr:twoCellAnchor>
  <xdr:twoCellAnchor>
    <xdr:from>
      <xdr:col>4</xdr:col>
      <xdr:colOff>99143</xdr:colOff>
      <xdr:row>3</xdr:row>
      <xdr:rowOff>130024</xdr:rowOff>
    </xdr:from>
    <xdr:to>
      <xdr:col>8</xdr:col>
      <xdr:colOff>588028</xdr:colOff>
      <xdr:row>9</xdr:row>
      <xdr:rowOff>48018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GrpSpPr/>
      </xdr:nvGrpSpPr>
      <xdr:grpSpPr>
        <a:xfrm>
          <a:off x="2548429" y="701524"/>
          <a:ext cx="2938170" cy="1060994"/>
          <a:chOff x="2523688" y="701524"/>
          <a:chExt cx="2913431" cy="1060994"/>
        </a:xfrm>
      </xdr:grpSpPr>
      <xdr:grpSp>
        <xdr:nvGrpSpPr>
          <xdr:cNvPr id="49" name="Group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GrpSpPr/>
        </xdr:nvGrpSpPr>
        <xdr:grpSpPr>
          <a:xfrm>
            <a:off x="2523688" y="701524"/>
            <a:ext cx="2913431" cy="1060994"/>
            <a:chOff x="2460729" y="725714"/>
            <a:chExt cx="2913280" cy="1097280"/>
          </a:xfrm>
        </xdr:grpSpPr>
        <xdr:sp macro="" textlink="">
          <xdr:nvSpPr>
            <xdr:cNvPr id="54" name="Rectangle: Top Corners Rounded 53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/>
          </xdr:nvSpPr>
          <xdr:spPr>
            <a:xfrm rot="5400000">
              <a:off x="3468888" y="-82127"/>
              <a:ext cx="1097280" cy="2712962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5" name="Rectangle: Top Corners Rounded 54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/>
          </xdr:nvSpPr>
          <xdr:spPr>
            <a:xfrm rot="16200000">
              <a:off x="2006489" y="1179954"/>
              <a:ext cx="1097280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50" name="Graphic 49" descr="Clipboard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670716" y="928108"/>
            <a:ext cx="603546" cy="607451"/>
          </a:xfrm>
          <a:prstGeom prst="rect">
            <a:avLst/>
          </a:prstGeom>
        </xdr:spPr>
      </xdr:pic>
      <xdr:sp macro="" textlink="">
        <xdr:nvSpPr>
          <xdr:cNvPr id="51" name="TextBox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SpPr txBox="1"/>
        </xdr:nvSpPr>
        <xdr:spPr>
          <a:xfrm>
            <a:off x="3761144" y="733992"/>
            <a:ext cx="1376044" cy="3001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>
                <a:solidFill>
                  <a:schemeClr val="accent2"/>
                </a:solidFill>
              </a:rPr>
              <a:t>Lawyer Count</a:t>
            </a:r>
          </a:p>
        </xdr:txBody>
      </xdr:sp>
      <xdr:sp macro="" textlink="Analysis!$E$98">
        <xdr:nvSpPr>
          <xdr:cNvPr id="52" name="Rectangle: Rounded Corners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SpPr/>
        </xdr:nvSpPr>
        <xdr:spPr>
          <a:xfrm>
            <a:off x="3867953" y="1118063"/>
            <a:ext cx="1052190" cy="470648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1CA0DDCA-F741-495A-A8E6-12CC0B34BC1B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22</a:t>
            </a:fld>
            <a:endParaRPr lang="en-US" sz="2400" b="1">
              <a:latin typeface="+mj-lt"/>
            </a:endParaRPr>
          </a:p>
        </xdr:txBody>
      </xdr: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CxnSpPr/>
        </xdr:nvCxnSpPr>
        <xdr:spPr>
          <a:xfrm>
            <a:off x="3509966" y="932658"/>
            <a:ext cx="0" cy="557893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502708</xdr:colOff>
      <xdr:row>12</xdr:row>
      <xdr:rowOff>27215</xdr:rowOff>
    </xdr:from>
    <xdr:to>
      <xdr:col>13</xdr:col>
      <xdr:colOff>517070</xdr:colOff>
      <xdr:row>34</xdr:row>
      <xdr:rowOff>54429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2328333" y="2196798"/>
          <a:ext cx="6099779" cy="4101798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574524</xdr:colOff>
      <xdr:row>11</xdr:row>
      <xdr:rowOff>193225</xdr:rowOff>
    </xdr:from>
    <xdr:to>
      <xdr:col>10</xdr:col>
      <xdr:colOff>272143</xdr:colOff>
      <xdr:row>14</xdr:row>
      <xdr:rowOff>19355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2403324" y="2164900"/>
          <a:ext cx="3964819" cy="45478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Won/Lost Analysis based</a:t>
          </a:r>
          <a:r>
            <a:rPr lang="en-US" sz="1800" b="1" baseline="0">
              <a:solidFill>
                <a:schemeClr val="bg1"/>
              </a:solidFill>
              <a:latin typeface="+mj-lt"/>
            </a:rPr>
            <a:t> on</a:t>
          </a:r>
          <a:r>
            <a:rPr lang="en-US" sz="1800" b="1">
              <a:solidFill>
                <a:schemeClr val="bg1"/>
              </a:solidFill>
              <a:latin typeface="+mj-lt"/>
            </a:rPr>
            <a:t> Lawyers</a:t>
          </a:r>
        </a:p>
      </xdr:txBody>
    </xdr:sp>
    <xdr:clientData/>
  </xdr:twoCellAnchor>
  <xdr:twoCellAnchor>
    <xdr:from>
      <xdr:col>3</xdr:col>
      <xdr:colOff>515939</xdr:colOff>
      <xdr:row>34</xdr:row>
      <xdr:rowOff>172932</xdr:rowOff>
    </xdr:from>
    <xdr:to>
      <xdr:col>34</xdr:col>
      <xdr:colOff>549089</xdr:colOff>
      <xdr:row>56</xdr:row>
      <xdr:rowOff>9897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2341564" y="6417099"/>
          <a:ext cx="18487838" cy="3911548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0</xdr:colOff>
      <xdr:row>34</xdr:row>
      <xdr:rowOff>69274</xdr:rowOff>
    </xdr:from>
    <xdr:to>
      <xdr:col>12</xdr:col>
      <xdr:colOff>81643</xdr:colOff>
      <xdr:row>36</xdr:row>
      <xdr:rowOff>137858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2438400" y="6098599"/>
          <a:ext cx="4958443" cy="44958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TAT Analysis </a:t>
          </a:r>
          <a:r>
            <a:rPr lang="en-US" sz="1800" b="1" baseline="0">
              <a:solidFill>
                <a:schemeClr val="bg1"/>
              </a:solidFill>
              <a:latin typeface="+mj-lt"/>
            </a:rPr>
            <a:t>on</a:t>
          </a:r>
          <a:r>
            <a:rPr lang="en-US" sz="1800" b="1">
              <a:solidFill>
                <a:schemeClr val="bg1"/>
              </a:solidFill>
              <a:latin typeface="+mj-lt"/>
            </a:rPr>
            <a:t> Case Type for Closure Cases</a:t>
          </a:r>
        </a:p>
      </xdr:txBody>
    </xdr:sp>
    <xdr:clientData/>
  </xdr:twoCellAnchor>
  <xdr:twoCellAnchor>
    <xdr:from>
      <xdr:col>11</xdr:col>
      <xdr:colOff>434632</xdr:colOff>
      <xdr:row>39</xdr:row>
      <xdr:rowOff>1</xdr:rowOff>
    </xdr:from>
    <xdr:to>
      <xdr:col>11</xdr:col>
      <xdr:colOff>434632</xdr:colOff>
      <xdr:row>50</xdr:row>
      <xdr:rowOff>134472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/>
      </xdr:nvCxnSpPr>
      <xdr:spPr>
        <a:xfrm>
          <a:off x="7170168" y="6980465"/>
          <a:ext cx="0" cy="2229971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415636</xdr:colOff>
      <xdr:row>83</xdr:row>
      <xdr:rowOff>155864</xdr:rowOff>
    </xdr:from>
    <xdr:to>
      <xdr:col>21</xdr:col>
      <xdr:colOff>415636</xdr:colOff>
      <xdr:row>95</xdr:row>
      <xdr:rowOff>99835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CxnSpPr/>
      </xdr:nvCxnSpPr>
      <xdr:spPr>
        <a:xfrm>
          <a:off x="12893386" y="15519689"/>
          <a:ext cx="0" cy="2229971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25</xdr:row>
      <xdr:rowOff>100852</xdr:rowOff>
    </xdr:from>
    <xdr:to>
      <xdr:col>3</xdr:col>
      <xdr:colOff>392206</xdr:colOff>
      <xdr:row>27</xdr:row>
      <xdr:rowOff>22411</xdr:rowOff>
    </xdr:to>
    <xdr:sp macro="" textlink="">
      <xdr:nvSpPr>
        <xdr:cNvPr id="79" name="TextBox 7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1342465" y="4796677"/>
          <a:ext cx="878541" cy="302559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</a:rPr>
            <a:t>Clients</a:t>
          </a:r>
        </a:p>
      </xdr:txBody>
    </xdr:sp>
    <xdr:clientData/>
  </xdr:twoCellAnchor>
  <xdr:twoCellAnchor>
    <xdr:from>
      <xdr:col>2</xdr:col>
      <xdr:colOff>112060</xdr:colOff>
      <xdr:row>28</xdr:row>
      <xdr:rowOff>156882</xdr:rowOff>
    </xdr:from>
    <xdr:to>
      <xdr:col>3</xdr:col>
      <xdr:colOff>381001</xdr:colOff>
      <xdr:row>30</xdr:row>
      <xdr:rowOff>78441</xdr:rowOff>
    </xdr:to>
    <xdr:sp macro="" textlink="">
      <xdr:nvSpPr>
        <xdr:cNvPr id="80" name="TextBox 7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331260" y="5424207"/>
          <a:ext cx="878541" cy="302559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</a:rPr>
            <a:t>Billing</a:t>
          </a:r>
        </a:p>
      </xdr:txBody>
    </xdr:sp>
    <xdr:clientData/>
  </xdr:twoCellAnchor>
  <xdr:twoCellAnchor>
    <xdr:from>
      <xdr:col>2</xdr:col>
      <xdr:colOff>100854</xdr:colOff>
      <xdr:row>18</xdr:row>
      <xdr:rowOff>78441</xdr:rowOff>
    </xdr:from>
    <xdr:to>
      <xdr:col>3</xdr:col>
      <xdr:colOff>369795</xdr:colOff>
      <xdr:row>20</xdr:row>
      <xdr:rowOff>0</xdr:rowOff>
    </xdr:to>
    <xdr:sp macro="" textlink="">
      <xdr:nvSpPr>
        <xdr:cNvPr id="82" name="TextBox 8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1311089" y="3440206"/>
          <a:ext cx="874059" cy="302559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</a:rPr>
            <a:t>Cases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555625</xdr:colOff>
          <xdr:row>14</xdr:row>
          <xdr:rowOff>11329</xdr:rowOff>
        </xdr:from>
        <xdr:to>
          <xdr:col>13</xdr:col>
          <xdr:colOff>489857</xdr:colOff>
          <xdr:row>33</xdr:row>
          <xdr:rowOff>108858</xdr:rowOff>
        </xdr:to>
        <xdr:pic>
          <xdr:nvPicPr>
            <xdr:cNvPr id="81" name="Picture 80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F$160:$K$182" spid="_x0000_s70085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2381250" y="2551329"/>
              <a:ext cx="6019649" cy="361648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204108</xdr:colOff>
          <xdr:row>14</xdr:row>
          <xdr:rowOff>27925</xdr:rowOff>
        </xdr:from>
        <xdr:to>
          <xdr:col>28</xdr:col>
          <xdr:colOff>517072</xdr:colOff>
          <xdr:row>33</xdr:row>
          <xdr:rowOff>108858</xdr:rowOff>
        </xdr:to>
        <xdr:pic>
          <xdr:nvPicPr>
            <xdr:cNvPr id="84" name="Picture 83">
              <a:extLst>
                <a:ext uri="{FF2B5EF4-FFF2-40B4-BE49-F238E27FC236}">
                  <a16:creationId xmlns:a16="http://schemas.microsoft.com/office/drawing/2014/main" id="{00000000-0008-0000-0100-00005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F$135:$I$157" spid="_x0000_s70086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2736287" y="2626889"/>
              <a:ext cx="4490356" cy="3700433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26458</xdr:colOff>
          <xdr:row>37</xdr:row>
          <xdr:rowOff>28576</xdr:rowOff>
        </xdr:from>
        <xdr:to>
          <xdr:col>11</xdr:col>
          <xdr:colOff>95249</xdr:colOff>
          <xdr:row>55</xdr:row>
          <xdr:rowOff>0</xdr:rowOff>
        </xdr:to>
        <xdr:pic>
          <xdr:nvPicPr>
            <xdr:cNvPr id="86" name="Picture 85">
              <a:extLst>
                <a:ext uri="{FF2B5EF4-FFF2-40B4-BE49-F238E27FC236}">
                  <a16:creationId xmlns:a16="http://schemas.microsoft.com/office/drawing/2014/main" id="{00000000-0008-0000-0100-00005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B$126:$D$148" spid="_x0000_s70087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2460625" y="6828368"/>
              <a:ext cx="4328582" cy="330517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13</xdr:col>
      <xdr:colOff>388972</xdr:colOff>
      <xdr:row>35</xdr:row>
      <xdr:rowOff>160687</xdr:rowOff>
    </xdr:from>
    <xdr:to>
      <xdr:col>18</xdr:col>
      <xdr:colOff>217708</xdr:colOff>
      <xdr:row>55</xdr:row>
      <xdr:rowOff>13607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GrpSpPr/>
      </xdr:nvGrpSpPr>
      <xdr:grpSpPr>
        <a:xfrm>
          <a:off x="8349151" y="6760151"/>
          <a:ext cx="2890343" cy="3662920"/>
          <a:chOff x="7764050" y="6379151"/>
          <a:chExt cx="2890343" cy="3662920"/>
        </a:xfrm>
      </xdr:grpSpPr>
      <xdr:sp macro="" textlink="">
        <xdr:nvSpPr>
          <xdr:cNvPr id="87" name="Rectangle: Rounded Corners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/>
        </xdr:nvSpPr>
        <xdr:spPr>
          <a:xfrm>
            <a:off x="7764050" y="6379151"/>
            <a:ext cx="2890343" cy="3662920"/>
          </a:xfrm>
          <a:prstGeom prst="roundRect">
            <a:avLst>
              <a:gd name="adj" fmla="val 10446"/>
            </a:avLst>
          </a:prstGeom>
          <a:noFill/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7828097" y="8033719"/>
            <a:ext cx="1197429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solidFill>
                  <a:schemeClr val="bg1"/>
                </a:solidFill>
              </a:rPr>
              <a:t>Grade A</a:t>
            </a:r>
          </a:p>
        </xdr:txBody>
      </xdr: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 txBox="1"/>
        </xdr:nvSpPr>
        <xdr:spPr>
          <a:xfrm>
            <a:off x="9239250" y="6474400"/>
            <a:ext cx="1265463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Active Lawyer</a:t>
            </a:r>
          </a:p>
        </xdr:txBody>
      </xdr:sp>
      <xdr:sp macro="" textlink="Analysis!$K$127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SpPr txBox="1"/>
        </xdr:nvSpPr>
        <xdr:spPr>
          <a:xfrm>
            <a:off x="9239250" y="6776479"/>
            <a:ext cx="1213757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078686A-45B1-42EC-8FFA-6BCC59271EE4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2</a:t>
            </a:fld>
            <a:endParaRPr lang="en-US" sz="2000" b="1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90" name="TextBox 8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 txBox="1"/>
        </xdr:nvSpPr>
        <xdr:spPr>
          <a:xfrm>
            <a:off x="9252857" y="7350699"/>
            <a:ext cx="1202873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Total</a:t>
            </a:r>
            <a:r>
              <a:rPr lang="en-US" sz="1400" b="1" baseline="0">
                <a:solidFill>
                  <a:schemeClr val="bg1"/>
                </a:solidFill>
              </a:rPr>
              <a:t> Cases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E$109">
        <xdr:nvSpPr>
          <xdr:cNvPr id="91" name="TextBox 90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 txBox="1"/>
        </xdr:nvSpPr>
        <xdr:spPr>
          <a:xfrm>
            <a:off x="9252858" y="7652779"/>
            <a:ext cx="1205594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A62601B-9B8A-49FA-8F16-35761002910A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59</a:t>
            </a:fld>
            <a:endParaRPr lang="en-US" sz="2000" b="1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92" name="TextBox 9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 txBox="1"/>
        </xdr:nvSpPr>
        <xdr:spPr>
          <a:xfrm>
            <a:off x="9266464" y="8237884"/>
            <a:ext cx="1191987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Won Cases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C$118">
        <xdr:nvSpPr>
          <xdr:cNvPr id="93" name="TextBox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 txBox="1"/>
        </xdr:nvSpPr>
        <xdr:spPr>
          <a:xfrm>
            <a:off x="9266465" y="8539964"/>
            <a:ext cx="1194710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045E9DA8-3C2C-4D48-907E-11DD57EE34B0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18</a:t>
            </a:fld>
            <a:endParaRPr lang="en-US" sz="2000" b="1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94" name="TextBox 93">
            <a:extLst>
              <a:ext uri="{FF2B5EF4-FFF2-40B4-BE49-F238E27FC236}">
                <a16:creationId xmlns:a16="http://schemas.microsoft.com/office/drawing/2014/main" id="{00000000-0008-0000-0100-00005E000000}"/>
              </a:ext>
            </a:extLst>
          </xdr:cNvPr>
          <xdr:cNvSpPr txBox="1"/>
        </xdr:nvSpPr>
        <xdr:spPr>
          <a:xfrm>
            <a:off x="9280071" y="9138677"/>
            <a:ext cx="1181101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Lost Cases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E$118">
        <xdr:nvSpPr>
          <xdr:cNvPr id="95" name="TextBox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SpPr txBox="1"/>
        </xdr:nvSpPr>
        <xdr:spPr>
          <a:xfrm>
            <a:off x="9293679" y="9454364"/>
            <a:ext cx="1170215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DDE3D20-CD65-428F-AF23-E0BC6CA0E630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17</a:t>
            </a:fld>
            <a:endParaRPr lang="en-US" sz="2000" b="1">
              <a:solidFill>
                <a:schemeClr val="bg1"/>
              </a:solidFill>
              <a:latin typeface="+mn-lt"/>
            </a:endParaRPr>
          </a:p>
        </xdr:txBody>
      </xdr:sp>
      <xdr:cxnSp macro="">
        <xdr:nvCxnSpPr>
          <xdr:cNvPr id="99" name="Connector: Elbow 98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CxnSpPr/>
        </xdr:nvCxnSpPr>
        <xdr:spPr>
          <a:xfrm rot="5400000" flipH="1" flipV="1">
            <a:off x="8402412" y="7409089"/>
            <a:ext cx="1496786" cy="149681"/>
          </a:xfrm>
          <a:prstGeom prst="bentConnector3">
            <a:avLst>
              <a:gd name="adj1" fmla="val 100000"/>
            </a:avLst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CxnSpPr/>
        </xdr:nvCxnSpPr>
        <xdr:spPr>
          <a:xfrm>
            <a:off x="9075347" y="7592785"/>
            <a:ext cx="190500" cy="2842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Connector: Elbow 103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CxnSpPr>
            <a:endCxn id="95" idx="1"/>
          </xdr:cNvCxnSpPr>
        </xdr:nvCxnSpPr>
        <xdr:spPr>
          <a:xfrm rot="16200000" flipH="1">
            <a:off x="8478550" y="8816127"/>
            <a:ext cx="1412543" cy="217715"/>
          </a:xfrm>
          <a:prstGeom prst="bentConnector2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" name="Straight Arrow Connector 106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CxnSpPr/>
        </xdr:nvCxnSpPr>
        <xdr:spPr>
          <a:xfrm>
            <a:off x="9076825" y="8439142"/>
            <a:ext cx="190500" cy="2842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18</xdr:col>
      <xdr:colOff>486944</xdr:colOff>
      <xdr:row>35</xdr:row>
      <xdr:rowOff>160687</xdr:rowOff>
    </xdr:from>
    <xdr:to>
      <xdr:col>24</xdr:col>
      <xdr:colOff>138787</xdr:colOff>
      <xdr:row>55</xdr:row>
      <xdr:rowOff>13607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GrpSpPr/>
      </xdr:nvGrpSpPr>
      <xdr:grpSpPr>
        <a:xfrm>
          <a:off x="11508730" y="6760151"/>
          <a:ext cx="2890343" cy="3662920"/>
          <a:chOff x="10923629" y="6379151"/>
          <a:chExt cx="2890343" cy="3662920"/>
        </a:xfrm>
      </xdr:grpSpPr>
      <xdr:sp macro="" textlink="">
        <xdr:nvSpPr>
          <xdr:cNvPr id="110" name="Rectangle: Rounded Corners 109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SpPr/>
        </xdr:nvSpPr>
        <xdr:spPr>
          <a:xfrm>
            <a:off x="10923629" y="6379151"/>
            <a:ext cx="2890343" cy="3662920"/>
          </a:xfrm>
          <a:prstGeom prst="roundRect">
            <a:avLst>
              <a:gd name="adj" fmla="val 10446"/>
            </a:avLst>
          </a:prstGeom>
          <a:noFill/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" name="TextBox 110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 txBox="1"/>
        </xdr:nvSpPr>
        <xdr:spPr>
          <a:xfrm>
            <a:off x="10987676" y="8033719"/>
            <a:ext cx="1197429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solidFill>
                  <a:schemeClr val="bg1"/>
                </a:solidFill>
              </a:rPr>
              <a:t>Grade B</a:t>
            </a:r>
          </a:p>
        </xdr:txBody>
      </xdr:sp>
      <xdr:sp macro="" textlink="">
        <xdr:nvSpPr>
          <xdr:cNvPr id="112" name="TextBox 111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SpPr txBox="1"/>
        </xdr:nvSpPr>
        <xdr:spPr>
          <a:xfrm>
            <a:off x="12398829" y="6474400"/>
            <a:ext cx="1265463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Active Lawyer</a:t>
            </a:r>
          </a:p>
        </xdr:txBody>
      </xdr:sp>
      <xdr:sp macro="" textlink="Analysis!$K$128">
        <xdr:nvSpPr>
          <xdr:cNvPr id="113" name="TextBox 112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SpPr txBox="1"/>
        </xdr:nvSpPr>
        <xdr:spPr>
          <a:xfrm>
            <a:off x="12398829" y="6776479"/>
            <a:ext cx="1213757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5AED76D-1B42-4376-ABA9-2AA4E3D95FF8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5</a:t>
            </a:fld>
            <a:endParaRPr lang="en-US" sz="1600" b="1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114" name="TextBox 113">
            <a:extLst>
              <a:ext uri="{FF2B5EF4-FFF2-40B4-BE49-F238E27FC236}">
                <a16:creationId xmlns:a16="http://schemas.microsoft.com/office/drawing/2014/main" id="{00000000-0008-0000-0100-000072000000}"/>
              </a:ext>
            </a:extLst>
          </xdr:cNvPr>
          <xdr:cNvSpPr txBox="1"/>
        </xdr:nvSpPr>
        <xdr:spPr>
          <a:xfrm>
            <a:off x="12412436" y="7350699"/>
            <a:ext cx="1202873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Total</a:t>
            </a:r>
            <a:r>
              <a:rPr lang="en-US" sz="1400" b="1" baseline="0">
                <a:solidFill>
                  <a:schemeClr val="bg1"/>
                </a:solidFill>
              </a:rPr>
              <a:t> Cases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E$110">
        <xdr:nvSpPr>
          <xdr:cNvPr id="115" name="TextBox 114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 txBox="1"/>
        </xdr:nvSpPr>
        <xdr:spPr>
          <a:xfrm>
            <a:off x="12412437" y="7652779"/>
            <a:ext cx="1205594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C7A29D8-1172-4B72-8DF7-C02512DFE595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138</a:t>
            </a:fld>
            <a:endParaRPr lang="en-US" sz="1600" b="1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116" name="TextBox 115">
            <a:extLst>
              <a:ext uri="{FF2B5EF4-FFF2-40B4-BE49-F238E27FC236}">
                <a16:creationId xmlns:a16="http://schemas.microsoft.com/office/drawing/2014/main" id="{00000000-0008-0000-0100-000074000000}"/>
              </a:ext>
            </a:extLst>
          </xdr:cNvPr>
          <xdr:cNvSpPr txBox="1"/>
        </xdr:nvSpPr>
        <xdr:spPr>
          <a:xfrm>
            <a:off x="12426043" y="8237884"/>
            <a:ext cx="1191987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Won Cases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C$119">
        <xdr:nvSpPr>
          <xdr:cNvPr id="117" name="TextBox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SpPr txBox="1"/>
        </xdr:nvSpPr>
        <xdr:spPr>
          <a:xfrm>
            <a:off x="12426044" y="8539964"/>
            <a:ext cx="1194710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7A12380-ED4F-48E9-976A-85701BEAB700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44</a:t>
            </a:fld>
            <a:endParaRPr lang="en-US" sz="1600" b="1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118" name="TextBox 117">
            <a:extLst>
              <a:ext uri="{FF2B5EF4-FFF2-40B4-BE49-F238E27FC236}">
                <a16:creationId xmlns:a16="http://schemas.microsoft.com/office/drawing/2014/main" id="{00000000-0008-0000-0100-000076000000}"/>
              </a:ext>
            </a:extLst>
          </xdr:cNvPr>
          <xdr:cNvSpPr txBox="1"/>
        </xdr:nvSpPr>
        <xdr:spPr>
          <a:xfrm>
            <a:off x="12439650" y="9138677"/>
            <a:ext cx="1181101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Lost Cases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E$119">
        <xdr:nvSpPr>
          <xdr:cNvPr id="119" name="TextBox 118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 txBox="1"/>
        </xdr:nvSpPr>
        <xdr:spPr>
          <a:xfrm>
            <a:off x="12453258" y="9454364"/>
            <a:ext cx="1170215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E9471BDB-0FD3-4742-97AE-E6F2DAF3CBF3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48</a:t>
            </a:fld>
            <a:endParaRPr lang="en-US" sz="1600" b="1">
              <a:solidFill>
                <a:schemeClr val="bg1"/>
              </a:solidFill>
              <a:latin typeface="+mn-lt"/>
            </a:endParaRPr>
          </a:p>
        </xdr:txBody>
      </xdr:sp>
      <xdr:cxnSp macro="">
        <xdr:nvCxnSpPr>
          <xdr:cNvPr id="120" name="Connector: Elbow 119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CxnSpPr/>
        </xdr:nvCxnSpPr>
        <xdr:spPr>
          <a:xfrm rot="5400000" flipH="1" flipV="1">
            <a:off x="11561991" y="7409089"/>
            <a:ext cx="1496786" cy="149681"/>
          </a:xfrm>
          <a:prstGeom prst="bentConnector3">
            <a:avLst>
              <a:gd name="adj1" fmla="val 100000"/>
            </a:avLst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1" name="Straight Arrow Connector 120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CxnSpPr/>
        </xdr:nvCxnSpPr>
        <xdr:spPr>
          <a:xfrm>
            <a:off x="12234926" y="7592785"/>
            <a:ext cx="190500" cy="2842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2" name="Connector: Elbow 121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CxnSpPr>
            <a:endCxn id="119" idx="1"/>
          </xdr:cNvCxnSpPr>
        </xdr:nvCxnSpPr>
        <xdr:spPr>
          <a:xfrm rot="16200000" flipH="1">
            <a:off x="11638129" y="8816127"/>
            <a:ext cx="1412543" cy="217715"/>
          </a:xfrm>
          <a:prstGeom prst="bentConnector2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3" name="Straight Arrow Connector 122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CxnSpPr/>
        </xdr:nvCxnSpPr>
        <xdr:spPr>
          <a:xfrm>
            <a:off x="12236404" y="8439142"/>
            <a:ext cx="190500" cy="2842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357676</xdr:colOff>
      <xdr:row>35</xdr:row>
      <xdr:rowOff>160687</xdr:rowOff>
    </xdr:from>
    <xdr:to>
      <xdr:col>29</xdr:col>
      <xdr:colOff>195937</xdr:colOff>
      <xdr:row>55</xdr:row>
      <xdr:rowOff>13607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/>
      </xdr:nvGrpSpPr>
      <xdr:grpSpPr>
        <a:xfrm>
          <a:off x="14617962" y="6760151"/>
          <a:ext cx="2899868" cy="3662920"/>
          <a:chOff x="14042386" y="6379151"/>
          <a:chExt cx="2890343" cy="3662920"/>
        </a:xfrm>
      </xdr:grpSpPr>
      <xdr:sp macro="" textlink="">
        <xdr:nvSpPr>
          <xdr:cNvPr id="125" name="Rectangle: Rounded Corners 124">
            <a:extLst>
              <a:ext uri="{FF2B5EF4-FFF2-40B4-BE49-F238E27FC236}">
                <a16:creationId xmlns:a16="http://schemas.microsoft.com/office/drawing/2014/main" id="{00000000-0008-0000-0100-00007D000000}"/>
              </a:ext>
            </a:extLst>
          </xdr:cNvPr>
          <xdr:cNvSpPr/>
        </xdr:nvSpPr>
        <xdr:spPr>
          <a:xfrm>
            <a:off x="14042386" y="6379151"/>
            <a:ext cx="2890343" cy="3662920"/>
          </a:xfrm>
          <a:prstGeom prst="roundRect">
            <a:avLst>
              <a:gd name="adj" fmla="val 10446"/>
            </a:avLst>
          </a:prstGeom>
          <a:noFill/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" name="TextBox 125">
            <a:extLst>
              <a:ext uri="{FF2B5EF4-FFF2-40B4-BE49-F238E27FC236}">
                <a16:creationId xmlns:a16="http://schemas.microsoft.com/office/drawing/2014/main" id="{00000000-0008-0000-0100-00007E000000}"/>
              </a:ext>
            </a:extLst>
          </xdr:cNvPr>
          <xdr:cNvSpPr txBox="1"/>
        </xdr:nvSpPr>
        <xdr:spPr>
          <a:xfrm>
            <a:off x="14106433" y="8033719"/>
            <a:ext cx="1197429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solidFill>
                  <a:schemeClr val="bg1"/>
                </a:solidFill>
              </a:rPr>
              <a:t>Grade C</a:t>
            </a:r>
          </a:p>
        </xdr:txBody>
      </xdr:sp>
      <xdr:sp macro="" textlink="">
        <xdr:nvSpPr>
          <xdr:cNvPr id="127" name="TextBox 126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 txBox="1"/>
        </xdr:nvSpPr>
        <xdr:spPr>
          <a:xfrm>
            <a:off x="15517586" y="6474400"/>
            <a:ext cx="1265463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Active Lawyer</a:t>
            </a:r>
          </a:p>
        </xdr:txBody>
      </xdr:sp>
      <xdr:sp macro="" textlink="Analysis!$K$129">
        <xdr:nvSpPr>
          <xdr:cNvPr id="128" name="TextBox 127">
            <a:extLst>
              <a:ext uri="{FF2B5EF4-FFF2-40B4-BE49-F238E27FC236}">
                <a16:creationId xmlns:a16="http://schemas.microsoft.com/office/drawing/2014/main" id="{00000000-0008-0000-0100-000080000000}"/>
              </a:ext>
            </a:extLst>
          </xdr:cNvPr>
          <xdr:cNvSpPr txBox="1"/>
        </xdr:nvSpPr>
        <xdr:spPr>
          <a:xfrm>
            <a:off x="15517586" y="6776479"/>
            <a:ext cx="1213757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3316443-7F37-4742-86E1-0662BF9A1A41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3</a:t>
            </a:fld>
            <a:endParaRPr lang="en-US" sz="1600" b="1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129" name="TextBox 128">
            <a:extLst>
              <a:ext uri="{FF2B5EF4-FFF2-40B4-BE49-F238E27FC236}">
                <a16:creationId xmlns:a16="http://schemas.microsoft.com/office/drawing/2014/main" id="{00000000-0008-0000-0100-000081000000}"/>
              </a:ext>
            </a:extLst>
          </xdr:cNvPr>
          <xdr:cNvSpPr txBox="1"/>
        </xdr:nvSpPr>
        <xdr:spPr>
          <a:xfrm>
            <a:off x="15531193" y="7350699"/>
            <a:ext cx="1202873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Total</a:t>
            </a:r>
            <a:r>
              <a:rPr lang="en-US" sz="1400" b="1" baseline="0">
                <a:solidFill>
                  <a:schemeClr val="bg1"/>
                </a:solidFill>
              </a:rPr>
              <a:t> Cases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E$111">
        <xdr:nvSpPr>
          <xdr:cNvPr id="130" name="TextBox 129">
            <a:extLst>
              <a:ext uri="{FF2B5EF4-FFF2-40B4-BE49-F238E27FC236}">
                <a16:creationId xmlns:a16="http://schemas.microsoft.com/office/drawing/2014/main" id="{00000000-0008-0000-0100-000082000000}"/>
              </a:ext>
            </a:extLst>
          </xdr:cNvPr>
          <xdr:cNvSpPr txBox="1"/>
        </xdr:nvSpPr>
        <xdr:spPr>
          <a:xfrm>
            <a:off x="15531194" y="7652779"/>
            <a:ext cx="1205594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9DD0CEDB-F28E-4F64-99C3-25E4916403EE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90</a:t>
            </a:fld>
            <a:endParaRPr lang="en-US" sz="1600" b="1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131" name="TextBox 130">
            <a:extLst>
              <a:ext uri="{FF2B5EF4-FFF2-40B4-BE49-F238E27FC236}">
                <a16:creationId xmlns:a16="http://schemas.microsoft.com/office/drawing/2014/main" id="{00000000-0008-0000-0100-000083000000}"/>
              </a:ext>
            </a:extLst>
          </xdr:cNvPr>
          <xdr:cNvSpPr txBox="1"/>
        </xdr:nvSpPr>
        <xdr:spPr>
          <a:xfrm>
            <a:off x="15544800" y="8237884"/>
            <a:ext cx="1191987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Won Cases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C$120">
        <xdr:nvSpPr>
          <xdr:cNvPr id="132" name="TextBox 131">
            <a:extLst>
              <a:ext uri="{FF2B5EF4-FFF2-40B4-BE49-F238E27FC236}">
                <a16:creationId xmlns:a16="http://schemas.microsoft.com/office/drawing/2014/main" id="{00000000-0008-0000-0100-000084000000}"/>
              </a:ext>
            </a:extLst>
          </xdr:cNvPr>
          <xdr:cNvSpPr txBox="1"/>
        </xdr:nvSpPr>
        <xdr:spPr>
          <a:xfrm>
            <a:off x="15544801" y="8539964"/>
            <a:ext cx="1194710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A05A7B53-4FC8-4DC7-9AAB-E63D198A7BE3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18</a:t>
            </a:fld>
            <a:endParaRPr lang="en-US" sz="1600" b="1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133" name="TextBox 132">
            <a:extLst>
              <a:ext uri="{FF2B5EF4-FFF2-40B4-BE49-F238E27FC236}">
                <a16:creationId xmlns:a16="http://schemas.microsoft.com/office/drawing/2014/main" id="{00000000-0008-0000-0100-000085000000}"/>
              </a:ext>
            </a:extLst>
          </xdr:cNvPr>
          <xdr:cNvSpPr txBox="1"/>
        </xdr:nvSpPr>
        <xdr:spPr>
          <a:xfrm>
            <a:off x="15558407" y="9138677"/>
            <a:ext cx="1181101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Lost Cases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E$120">
        <xdr:nvSpPr>
          <xdr:cNvPr id="134" name="TextBox 133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SpPr txBox="1"/>
        </xdr:nvSpPr>
        <xdr:spPr>
          <a:xfrm>
            <a:off x="15572015" y="9454364"/>
            <a:ext cx="1170215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38CFCD0-057B-4C3C-82D8-F9F3AB8D1228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38</a:t>
            </a:fld>
            <a:endParaRPr lang="en-US" sz="1600" b="1">
              <a:solidFill>
                <a:schemeClr val="bg1"/>
              </a:solidFill>
              <a:latin typeface="+mn-lt"/>
            </a:endParaRPr>
          </a:p>
        </xdr:txBody>
      </xdr:sp>
      <xdr:cxnSp macro="">
        <xdr:nvCxnSpPr>
          <xdr:cNvPr id="135" name="Connector: Elbow 134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CxnSpPr/>
        </xdr:nvCxnSpPr>
        <xdr:spPr>
          <a:xfrm rot="5400000" flipH="1" flipV="1">
            <a:off x="14680748" y="7409089"/>
            <a:ext cx="1496786" cy="149681"/>
          </a:xfrm>
          <a:prstGeom prst="bentConnector3">
            <a:avLst>
              <a:gd name="adj1" fmla="val 100000"/>
            </a:avLst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Straight Arrow Connector 135">
            <a:extLst>
              <a:ext uri="{FF2B5EF4-FFF2-40B4-BE49-F238E27FC236}">
                <a16:creationId xmlns:a16="http://schemas.microsoft.com/office/drawing/2014/main" id="{00000000-0008-0000-0100-000088000000}"/>
              </a:ext>
            </a:extLst>
          </xdr:cNvPr>
          <xdr:cNvCxnSpPr/>
        </xdr:nvCxnSpPr>
        <xdr:spPr>
          <a:xfrm>
            <a:off x="15353683" y="7592785"/>
            <a:ext cx="190500" cy="2842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Connector: Elbow 136">
            <a:extLst>
              <a:ext uri="{FF2B5EF4-FFF2-40B4-BE49-F238E27FC236}">
                <a16:creationId xmlns:a16="http://schemas.microsoft.com/office/drawing/2014/main" id="{00000000-0008-0000-0100-000089000000}"/>
              </a:ext>
            </a:extLst>
          </xdr:cNvPr>
          <xdr:cNvCxnSpPr>
            <a:endCxn id="134" idx="1"/>
          </xdr:cNvCxnSpPr>
        </xdr:nvCxnSpPr>
        <xdr:spPr>
          <a:xfrm rot="16200000" flipH="1">
            <a:off x="14756886" y="8816127"/>
            <a:ext cx="1412543" cy="217715"/>
          </a:xfrm>
          <a:prstGeom prst="bentConnector2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Arrow Connector 137">
            <a:extLst>
              <a:ext uri="{FF2B5EF4-FFF2-40B4-BE49-F238E27FC236}">
                <a16:creationId xmlns:a16="http://schemas.microsoft.com/office/drawing/2014/main" id="{00000000-0008-0000-0100-00008A000000}"/>
              </a:ext>
            </a:extLst>
          </xdr:cNvPr>
          <xdr:cNvCxnSpPr/>
        </xdr:nvCxnSpPr>
        <xdr:spPr>
          <a:xfrm>
            <a:off x="15355161" y="8439142"/>
            <a:ext cx="190500" cy="2842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437958</xdr:colOff>
      <xdr:row>35</xdr:row>
      <xdr:rowOff>160687</xdr:rowOff>
    </xdr:from>
    <xdr:to>
      <xdr:col>34</xdr:col>
      <xdr:colOff>266694</xdr:colOff>
      <xdr:row>55</xdr:row>
      <xdr:rowOff>13607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GrpSpPr/>
      </xdr:nvGrpSpPr>
      <xdr:grpSpPr>
        <a:xfrm>
          <a:off x="17759851" y="6760151"/>
          <a:ext cx="2890343" cy="3662920"/>
          <a:chOff x="17174750" y="6379151"/>
          <a:chExt cx="2890343" cy="3662920"/>
        </a:xfrm>
      </xdr:grpSpPr>
      <xdr:sp macro="" textlink="">
        <xdr:nvSpPr>
          <xdr:cNvPr id="140" name="Rectangle: Rounded Corners 139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SpPr/>
        </xdr:nvSpPr>
        <xdr:spPr>
          <a:xfrm>
            <a:off x="17174750" y="6379151"/>
            <a:ext cx="2890343" cy="3662920"/>
          </a:xfrm>
          <a:prstGeom prst="roundRect">
            <a:avLst>
              <a:gd name="adj" fmla="val 10446"/>
            </a:avLst>
          </a:prstGeom>
          <a:noFill/>
          <a:ln>
            <a:solidFill>
              <a:schemeClr val="bg1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" name="TextBox 140">
            <a:extLst>
              <a:ext uri="{FF2B5EF4-FFF2-40B4-BE49-F238E27FC236}">
                <a16:creationId xmlns:a16="http://schemas.microsoft.com/office/drawing/2014/main" id="{00000000-0008-0000-0100-00008D000000}"/>
              </a:ext>
            </a:extLst>
          </xdr:cNvPr>
          <xdr:cNvSpPr txBox="1"/>
        </xdr:nvSpPr>
        <xdr:spPr>
          <a:xfrm>
            <a:off x="17238797" y="8033719"/>
            <a:ext cx="1197429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 b="1">
                <a:solidFill>
                  <a:schemeClr val="bg1"/>
                </a:solidFill>
              </a:rPr>
              <a:t>Grade D</a:t>
            </a:r>
          </a:p>
        </xdr:txBody>
      </xdr:sp>
      <xdr:sp macro="" textlink="">
        <xdr:nvSpPr>
          <xdr:cNvPr id="142" name="TextBox 141">
            <a:extLst>
              <a:ext uri="{FF2B5EF4-FFF2-40B4-BE49-F238E27FC236}">
                <a16:creationId xmlns:a16="http://schemas.microsoft.com/office/drawing/2014/main" id="{00000000-0008-0000-0100-00008E000000}"/>
              </a:ext>
            </a:extLst>
          </xdr:cNvPr>
          <xdr:cNvSpPr txBox="1"/>
        </xdr:nvSpPr>
        <xdr:spPr>
          <a:xfrm>
            <a:off x="18649950" y="6474400"/>
            <a:ext cx="1265463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Active Lawyer</a:t>
            </a:r>
          </a:p>
        </xdr:txBody>
      </xdr:sp>
      <xdr:sp macro="" textlink="Analysis!$K$130">
        <xdr:nvSpPr>
          <xdr:cNvPr id="143" name="TextBox 142">
            <a:extLst>
              <a:ext uri="{FF2B5EF4-FFF2-40B4-BE49-F238E27FC236}">
                <a16:creationId xmlns:a16="http://schemas.microsoft.com/office/drawing/2014/main" id="{00000000-0008-0000-0100-00008F000000}"/>
              </a:ext>
            </a:extLst>
          </xdr:cNvPr>
          <xdr:cNvSpPr txBox="1"/>
        </xdr:nvSpPr>
        <xdr:spPr>
          <a:xfrm>
            <a:off x="18649950" y="6776479"/>
            <a:ext cx="1213757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182160DB-653F-4ADA-BD48-BB570F94C357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6</a:t>
            </a:fld>
            <a:endParaRPr lang="en-US" sz="1600" b="1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144" name="TextBox 143">
            <a:extLst>
              <a:ext uri="{FF2B5EF4-FFF2-40B4-BE49-F238E27FC236}">
                <a16:creationId xmlns:a16="http://schemas.microsoft.com/office/drawing/2014/main" id="{00000000-0008-0000-0100-000090000000}"/>
              </a:ext>
            </a:extLst>
          </xdr:cNvPr>
          <xdr:cNvSpPr txBox="1"/>
        </xdr:nvSpPr>
        <xdr:spPr>
          <a:xfrm>
            <a:off x="18663557" y="7350699"/>
            <a:ext cx="1202873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Total</a:t>
            </a:r>
            <a:r>
              <a:rPr lang="en-US" sz="1400" b="1" baseline="0">
                <a:solidFill>
                  <a:schemeClr val="bg1"/>
                </a:solidFill>
              </a:rPr>
              <a:t> Cases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E$112">
        <xdr:nvSpPr>
          <xdr:cNvPr id="145" name="TextBox 144">
            <a:extLst>
              <a:ext uri="{FF2B5EF4-FFF2-40B4-BE49-F238E27FC236}">
                <a16:creationId xmlns:a16="http://schemas.microsoft.com/office/drawing/2014/main" id="{00000000-0008-0000-0100-000091000000}"/>
              </a:ext>
            </a:extLst>
          </xdr:cNvPr>
          <xdr:cNvSpPr txBox="1"/>
        </xdr:nvSpPr>
        <xdr:spPr>
          <a:xfrm>
            <a:off x="18663558" y="7652779"/>
            <a:ext cx="1205594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E43DD6C-8C96-47E4-A7FF-2419BA07B506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155</a:t>
            </a:fld>
            <a:endParaRPr lang="en-US" sz="1600" b="1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146" name="TextBox 145">
            <a:extLst>
              <a:ext uri="{FF2B5EF4-FFF2-40B4-BE49-F238E27FC236}">
                <a16:creationId xmlns:a16="http://schemas.microsoft.com/office/drawing/2014/main" id="{00000000-0008-0000-0100-000092000000}"/>
              </a:ext>
            </a:extLst>
          </xdr:cNvPr>
          <xdr:cNvSpPr txBox="1"/>
        </xdr:nvSpPr>
        <xdr:spPr>
          <a:xfrm>
            <a:off x="18677164" y="8237884"/>
            <a:ext cx="1191987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Won Cases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C$121">
        <xdr:nvSpPr>
          <xdr:cNvPr id="147" name="TextBox 146">
            <a:extLst>
              <a:ext uri="{FF2B5EF4-FFF2-40B4-BE49-F238E27FC236}">
                <a16:creationId xmlns:a16="http://schemas.microsoft.com/office/drawing/2014/main" id="{00000000-0008-0000-0100-000093000000}"/>
              </a:ext>
            </a:extLst>
          </xdr:cNvPr>
          <xdr:cNvSpPr txBox="1"/>
        </xdr:nvSpPr>
        <xdr:spPr>
          <a:xfrm>
            <a:off x="18677165" y="8539964"/>
            <a:ext cx="1194710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7BDBBBDD-2D67-42C7-BF81-8A6570F66995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59</a:t>
            </a:fld>
            <a:endParaRPr lang="en-US" sz="1600" b="1">
              <a:solidFill>
                <a:schemeClr val="bg1"/>
              </a:solidFill>
              <a:latin typeface="+mn-lt"/>
            </a:endParaRPr>
          </a:p>
        </xdr:txBody>
      </xdr:sp>
      <xdr:sp macro="" textlink="">
        <xdr:nvSpPr>
          <xdr:cNvPr id="148" name="TextBox 147">
            <a:extLst>
              <a:ext uri="{FF2B5EF4-FFF2-40B4-BE49-F238E27FC236}">
                <a16:creationId xmlns:a16="http://schemas.microsoft.com/office/drawing/2014/main" id="{00000000-0008-0000-0100-000094000000}"/>
              </a:ext>
            </a:extLst>
          </xdr:cNvPr>
          <xdr:cNvSpPr txBox="1"/>
        </xdr:nvSpPr>
        <xdr:spPr>
          <a:xfrm>
            <a:off x="18690771" y="9138677"/>
            <a:ext cx="1181101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Lost Cases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E$121">
        <xdr:nvSpPr>
          <xdr:cNvPr id="149" name="TextBox 148">
            <a:extLst>
              <a:ext uri="{FF2B5EF4-FFF2-40B4-BE49-F238E27FC236}">
                <a16:creationId xmlns:a16="http://schemas.microsoft.com/office/drawing/2014/main" id="{00000000-0008-0000-0100-000095000000}"/>
              </a:ext>
            </a:extLst>
          </xdr:cNvPr>
          <xdr:cNvSpPr txBox="1"/>
        </xdr:nvSpPr>
        <xdr:spPr>
          <a:xfrm>
            <a:off x="18704379" y="9454364"/>
            <a:ext cx="1170215" cy="3537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B61B41F-DD5E-4ADB-968B-94C1E57CEF76}" type="TxLink">
              <a:rPr lang="en-US" sz="1600" b="1" i="0" u="none" strike="noStrike">
                <a:solidFill>
                  <a:schemeClr val="bg1"/>
                </a:solidFill>
                <a:latin typeface="+mn-lt"/>
                <a:cs typeface="Calibri"/>
              </a:rPr>
              <a:pPr algn="ctr"/>
              <a:t>46</a:t>
            </a:fld>
            <a:endParaRPr lang="en-US" sz="1600" b="1">
              <a:solidFill>
                <a:schemeClr val="bg1"/>
              </a:solidFill>
              <a:latin typeface="+mn-lt"/>
            </a:endParaRPr>
          </a:p>
        </xdr:txBody>
      </xdr:sp>
      <xdr:cxnSp macro="">
        <xdr:nvCxnSpPr>
          <xdr:cNvPr id="150" name="Connector: Elbow 149">
            <a:extLst>
              <a:ext uri="{FF2B5EF4-FFF2-40B4-BE49-F238E27FC236}">
                <a16:creationId xmlns:a16="http://schemas.microsoft.com/office/drawing/2014/main" id="{00000000-0008-0000-0100-000096000000}"/>
              </a:ext>
            </a:extLst>
          </xdr:cNvPr>
          <xdr:cNvCxnSpPr/>
        </xdr:nvCxnSpPr>
        <xdr:spPr>
          <a:xfrm rot="5400000" flipH="1" flipV="1">
            <a:off x="17813112" y="7409089"/>
            <a:ext cx="1496786" cy="149681"/>
          </a:xfrm>
          <a:prstGeom prst="bentConnector3">
            <a:avLst>
              <a:gd name="adj1" fmla="val 100000"/>
            </a:avLst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Straight Arrow Connector 150">
            <a:extLst>
              <a:ext uri="{FF2B5EF4-FFF2-40B4-BE49-F238E27FC236}">
                <a16:creationId xmlns:a16="http://schemas.microsoft.com/office/drawing/2014/main" id="{00000000-0008-0000-0100-000097000000}"/>
              </a:ext>
            </a:extLst>
          </xdr:cNvPr>
          <xdr:cNvCxnSpPr/>
        </xdr:nvCxnSpPr>
        <xdr:spPr>
          <a:xfrm>
            <a:off x="18486047" y="7592785"/>
            <a:ext cx="190500" cy="2842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Connector: Elbow 151">
            <a:extLst>
              <a:ext uri="{FF2B5EF4-FFF2-40B4-BE49-F238E27FC236}">
                <a16:creationId xmlns:a16="http://schemas.microsoft.com/office/drawing/2014/main" id="{00000000-0008-0000-0100-000098000000}"/>
              </a:ext>
            </a:extLst>
          </xdr:cNvPr>
          <xdr:cNvCxnSpPr>
            <a:endCxn id="149" idx="1"/>
          </xdr:cNvCxnSpPr>
        </xdr:nvCxnSpPr>
        <xdr:spPr>
          <a:xfrm rot="16200000" flipH="1">
            <a:off x="17889250" y="8816127"/>
            <a:ext cx="1412543" cy="217715"/>
          </a:xfrm>
          <a:prstGeom prst="bentConnector2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3" name="Straight Arrow Connector 152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CxnSpPr/>
        </xdr:nvCxnSpPr>
        <xdr:spPr>
          <a:xfrm>
            <a:off x="18487525" y="8439142"/>
            <a:ext cx="190500" cy="2842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163279</xdr:colOff>
      <xdr:row>36</xdr:row>
      <xdr:rowOff>27215</xdr:rowOff>
    </xdr:from>
    <xdr:to>
      <xdr:col>13</xdr:col>
      <xdr:colOff>108850</xdr:colOff>
      <xdr:row>55</xdr:row>
      <xdr:rowOff>13607</xdr:rowOff>
    </xdr:to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7511136" y="6436179"/>
          <a:ext cx="557893" cy="36058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US" sz="2000" b="1"/>
            <a:t>Lawyer Grade Wise Overview</a:t>
          </a:r>
        </a:p>
      </xdr:txBody>
    </xdr:sp>
    <xdr:clientData/>
  </xdr:twoCellAnchor>
  <xdr:twoCellAnchor>
    <xdr:from>
      <xdr:col>28</xdr:col>
      <xdr:colOff>598715</xdr:colOff>
      <xdr:row>12</xdr:row>
      <xdr:rowOff>15725</xdr:rowOff>
    </xdr:from>
    <xdr:to>
      <xdr:col>34</xdr:col>
      <xdr:colOff>518427</xdr:colOff>
      <xdr:row>34</xdr:row>
      <xdr:rowOff>40822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GrpSpPr/>
      </xdr:nvGrpSpPr>
      <xdr:grpSpPr>
        <a:xfrm>
          <a:off x="17308286" y="2233689"/>
          <a:ext cx="3593641" cy="4216097"/>
          <a:chOff x="16396058" y="2233689"/>
          <a:chExt cx="4505869" cy="3702503"/>
        </a:xfrm>
        <a:solidFill>
          <a:schemeClr val="accent1">
            <a:lumMod val="50000"/>
          </a:schemeClr>
        </a:solidFill>
      </xdr:grpSpPr>
      <xdr:sp macro="" textlink="">
        <xdr:nvSpPr>
          <xdr:cNvPr id="37" name="Rectangle: Rounded Corners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16396058" y="2233689"/>
            <a:ext cx="4505869" cy="3702503"/>
          </a:xfrm>
          <a:prstGeom prst="roundRect">
            <a:avLst>
              <a:gd name="adj" fmla="val 1953"/>
            </a:avLst>
          </a:prstGeom>
          <a:grpFill/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155" name="Chart 154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GraphicFramePr>
            <a:graphicFrameLocks/>
          </xdr:cNvGraphicFramePr>
        </xdr:nvGraphicFramePr>
        <xdr:xfrm>
          <a:off x="16519200" y="2445280"/>
          <a:ext cx="4259585" cy="327932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</xdr:grpSp>
    <xdr:clientData/>
  </xdr:twoCellAnchor>
  <xdr:twoCellAnchor>
    <xdr:from>
      <xdr:col>3</xdr:col>
      <xdr:colOff>542397</xdr:colOff>
      <xdr:row>56</xdr:row>
      <xdr:rowOff>134831</xdr:rowOff>
    </xdr:from>
    <xdr:to>
      <xdr:col>19</xdr:col>
      <xdr:colOff>530680</xdr:colOff>
      <xdr:row>77</xdr:row>
      <xdr:rowOff>162296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/>
      </xdr:nvSpPr>
      <xdr:spPr>
        <a:xfrm>
          <a:off x="2368022" y="10453581"/>
          <a:ext cx="9724950" cy="3916840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199161</xdr:colOff>
      <xdr:row>57</xdr:row>
      <xdr:rowOff>17319</xdr:rowOff>
    </xdr:from>
    <xdr:to>
      <xdr:col>8</xdr:col>
      <xdr:colOff>571500</xdr:colOff>
      <xdr:row>59</xdr:row>
      <xdr:rowOff>67349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2648447" y="10426783"/>
          <a:ext cx="2821624" cy="43103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Lawyer</a:t>
          </a:r>
          <a:r>
            <a:rPr lang="en-US" sz="1800" b="1" baseline="0">
              <a:solidFill>
                <a:schemeClr val="bg1"/>
              </a:solidFill>
              <a:latin typeface="+mj-lt"/>
            </a:rPr>
            <a:t> </a:t>
          </a:r>
          <a:r>
            <a:rPr lang="en-US" sz="1800" b="1">
              <a:solidFill>
                <a:schemeClr val="bg1"/>
              </a:solidFill>
              <a:latin typeface="+mj-lt"/>
            </a:rPr>
            <a:t>wise Billing Status</a:t>
          </a:r>
        </a:p>
      </xdr:txBody>
    </xdr:sp>
    <xdr:clientData/>
  </xdr:twoCellAnchor>
  <xdr:twoCellAnchor>
    <xdr:from>
      <xdr:col>4</xdr:col>
      <xdr:colOff>394606</xdr:colOff>
      <xdr:row>62</xdr:row>
      <xdr:rowOff>53188</xdr:rowOff>
    </xdr:from>
    <xdr:to>
      <xdr:col>7</xdr:col>
      <xdr:colOff>326571</xdr:colOff>
      <xdr:row>77</xdr:row>
      <xdr:rowOff>3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GrpSpPr/>
      </xdr:nvGrpSpPr>
      <xdr:grpSpPr>
        <a:xfrm>
          <a:off x="2843892" y="11796152"/>
          <a:ext cx="1768929" cy="2804315"/>
          <a:chOff x="8885464" y="6379154"/>
          <a:chExt cx="1768929" cy="3662921"/>
        </a:xfrm>
        <a:solidFill>
          <a:schemeClr val="bg2">
            <a:lumMod val="25000"/>
          </a:schemeClr>
        </a:solidFill>
      </xdr:grpSpPr>
      <xdr:sp macro="" textlink="">
        <xdr:nvSpPr>
          <xdr:cNvPr id="161" name="Rectangle: Rounded Corners 160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SpPr/>
        </xdr:nvSpPr>
        <xdr:spPr>
          <a:xfrm>
            <a:off x="8885464" y="6379154"/>
            <a:ext cx="1768929" cy="3662921"/>
          </a:xfrm>
          <a:prstGeom prst="roundRect">
            <a:avLst>
              <a:gd name="adj" fmla="val 10446"/>
            </a:avLst>
          </a:prstGeom>
          <a:grpFill/>
          <a:ln>
            <a:solidFill>
              <a:schemeClr val="bg1"/>
            </a:solidFill>
            <a:prstDash val="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63" name="TextBox 162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 txBox="1"/>
        </xdr:nvSpPr>
        <xdr:spPr>
          <a:xfrm>
            <a:off x="9137197" y="6492175"/>
            <a:ext cx="1265463" cy="353785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Lawyer Count</a:t>
            </a:r>
          </a:p>
        </xdr:txBody>
      </xdr:sp>
      <xdr:sp macro="" textlink="Analysis!$Q$161">
        <xdr:nvSpPr>
          <xdr:cNvPr id="164" name="TextBox 163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 txBox="1"/>
        </xdr:nvSpPr>
        <xdr:spPr>
          <a:xfrm>
            <a:off x="9163050" y="6864612"/>
            <a:ext cx="1213757" cy="35378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61E13B68-33CC-4870-93E7-0D15A2FF1A6A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3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  <xdr:sp macro="" textlink="">
        <xdr:nvSpPr>
          <xdr:cNvPr id="165" name="TextBox 164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 txBox="1"/>
        </xdr:nvSpPr>
        <xdr:spPr>
          <a:xfrm>
            <a:off x="9168492" y="7308141"/>
            <a:ext cx="1202873" cy="302930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Total</a:t>
            </a:r>
            <a:r>
              <a:rPr lang="en-US" sz="1400" b="1" baseline="0">
                <a:solidFill>
                  <a:schemeClr val="bg1"/>
                </a:solidFill>
              </a:rPr>
              <a:t> Payable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R$161">
        <xdr:nvSpPr>
          <xdr:cNvPr id="166" name="TextBox 165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 txBox="1"/>
        </xdr:nvSpPr>
        <xdr:spPr>
          <a:xfrm>
            <a:off x="9099095" y="7629723"/>
            <a:ext cx="1341666" cy="386537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0810473B-5086-441F-8EE3-12C724928BEB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 1,330,766.17 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  <xdr:sp macro="" textlink="">
        <xdr:nvSpPr>
          <xdr:cNvPr id="167" name="TextBox 166">
            <a:extLst>
              <a:ext uri="{FF2B5EF4-FFF2-40B4-BE49-F238E27FC236}">
                <a16:creationId xmlns:a16="http://schemas.microsoft.com/office/drawing/2014/main" id="{00000000-0008-0000-0100-0000A7000000}"/>
              </a:ext>
            </a:extLst>
          </xdr:cNvPr>
          <xdr:cNvSpPr txBox="1"/>
        </xdr:nvSpPr>
        <xdr:spPr>
          <a:xfrm>
            <a:off x="9173935" y="8177097"/>
            <a:ext cx="1191987" cy="353785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Paid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S$161">
        <xdr:nvSpPr>
          <xdr:cNvPr id="168" name="TextBox 167">
            <a:extLst>
              <a:ext uri="{FF2B5EF4-FFF2-40B4-BE49-F238E27FC236}">
                <a16:creationId xmlns:a16="http://schemas.microsoft.com/office/drawing/2014/main" id="{00000000-0008-0000-0100-0000A8000000}"/>
              </a:ext>
            </a:extLst>
          </xdr:cNvPr>
          <xdr:cNvSpPr txBox="1"/>
        </xdr:nvSpPr>
        <xdr:spPr>
          <a:xfrm>
            <a:off x="9172573" y="8549534"/>
            <a:ext cx="1194710" cy="35378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BBA52AAC-1BB9-4269-A2E6-8E8C97A3281A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 704,177.50 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  <xdr:sp macro="" textlink="">
        <xdr:nvSpPr>
          <xdr:cNvPr id="169" name="TextBox 168">
            <a:extLst>
              <a:ext uri="{FF2B5EF4-FFF2-40B4-BE49-F238E27FC236}">
                <a16:creationId xmlns:a16="http://schemas.microsoft.com/office/drawing/2014/main" id="{00000000-0008-0000-0100-0000A9000000}"/>
              </a:ext>
            </a:extLst>
          </xdr:cNvPr>
          <xdr:cNvSpPr txBox="1"/>
        </xdr:nvSpPr>
        <xdr:spPr>
          <a:xfrm>
            <a:off x="9179378" y="9028610"/>
            <a:ext cx="1181101" cy="353785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Due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T$161">
        <xdr:nvSpPr>
          <xdr:cNvPr id="170" name="TextBox 169">
            <a:extLst>
              <a:ext uri="{FF2B5EF4-FFF2-40B4-BE49-F238E27FC236}">
                <a16:creationId xmlns:a16="http://schemas.microsoft.com/office/drawing/2014/main" id="{00000000-0008-0000-0100-0000AA000000}"/>
              </a:ext>
            </a:extLst>
          </xdr:cNvPr>
          <xdr:cNvSpPr txBox="1"/>
        </xdr:nvSpPr>
        <xdr:spPr>
          <a:xfrm>
            <a:off x="9184821" y="9401044"/>
            <a:ext cx="1170215" cy="35378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D7CB885F-CBB1-4A86-928D-D3320FDFD530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 614,431.94 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5</xdr:col>
      <xdr:colOff>62408</xdr:colOff>
      <xdr:row>59</xdr:row>
      <xdr:rowOff>134832</xdr:rowOff>
    </xdr:from>
    <xdr:to>
      <xdr:col>7</xdr:col>
      <xdr:colOff>35194</xdr:colOff>
      <xdr:row>61</xdr:row>
      <xdr:rowOff>94010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3124015" y="10925296"/>
          <a:ext cx="1197429" cy="340178"/>
        </a:xfrm>
        <a:prstGeom prst="roundRect">
          <a:avLst/>
        </a:prstGeom>
        <a:solidFill>
          <a:schemeClr val="tx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Grade A</a:t>
          </a:r>
        </a:p>
      </xdr:txBody>
    </xdr:sp>
    <xdr:clientData/>
  </xdr:twoCellAnchor>
  <xdr:twoCellAnchor>
    <xdr:from>
      <xdr:col>7</xdr:col>
      <xdr:colOff>478970</xdr:colOff>
      <xdr:row>62</xdr:row>
      <xdr:rowOff>53188</xdr:rowOff>
    </xdr:from>
    <xdr:to>
      <xdr:col>10</xdr:col>
      <xdr:colOff>410935</xdr:colOff>
      <xdr:row>77</xdr:row>
      <xdr:rowOff>3</xdr:rowOff>
    </xdr:to>
    <xdr:grpSp>
      <xdr:nvGrpSpPr>
        <xdr:cNvPr id="187" name="Group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GrpSpPr/>
      </xdr:nvGrpSpPr>
      <xdr:grpSpPr>
        <a:xfrm>
          <a:off x="4765220" y="11796152"/>
          <a:ext cx="1768929" cy="2804315"/>
          <a:chOff x="8885464" y="6379154"/>
          <a:chExt cx="1768929" cy="3662921"/>
        </a:xfrm>
        <a:solidFill>
          <a:schemeClr val="bg2">
            <a:lumMod val="25000"/>
          </a:schemeClr>
        </a:solidFill>
      </xdr:grpSpPr>
      <xdr:sp macro="" textlink="">
        <xdr:nvSpPr>
          <xdr:cNvPr id="188" name="Rectangle: Rounded Corners 187">
            <a:extLst>
              <a:ext uri="{FF2B5EF4-FFF2-40B4-BE49-F238E27FC236}">
                <a16:creationId xmlns:a16="http://schemas.microsoft.com/office/drawing/2014/main" id="{00000000-0008-0000-0100-0000BC000000}"/>
              </a:ext>
            </a:extLst>
          </xdr:cNvPr>
          <xdr:cNvSpPr/>
        </xdr:nvSpPr>
        <xdr:spPr>
          <a:xfrm>
            <a:off x="8885464" y="6379154"/>
            <a:ext cx="1768929" cy="3662921"/>
          </a:xfrm>
          <a:prstGeom prst="roundRect">
            <a:avLst>
              <a:gd name="adj" fmla="val 10446"/>
            </a:avLst>
          </a:prstGeom>
          <a:grpFill/>
          <a:ln>
            <a:solidFill>
              <a:schemeClr val="bg1"/>
            </a:solidFill>
            <a:prstDash val="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189" name="TextBox 188">
            <a:extLst>
              <a:ext uri="{FF2B5EF4-FFF2-40B4-BE49-F238E27FC236}">
                <a16:creationId xmlns:a16="http://schemas.microsoft.com/office/drawing/2014/main" id="{00000000-0008-0000-0100-0000BD000000}"/>
              </a:ext>
            </a:extLst>
          </xdr:cNvPr>
          <xdr:cNvSpPr txBox="1"/>
        </xdr:nvSpPr>
        <xdr:spPr>
          <a:xfrm>
            <a:off x="9137197" y="6492175"/>
            <a:ext cx="1265463" cy="353785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Lawyer Count</a:t>
            </a:r>
          </a:p>
        </xdr:txBody>
      </xdr:sp>
      <xdr:sp macro="" textlink="Analysis!$Q$162">
        <xdr:nvSpPr>
          <xdr:cNvPr id="190" name="TextBox 189">
            <a:extLst>
              <a:ext uri="{FF2B5EF4-FFF2-40B4-BE49-F238E27FC236}">
                <a16:creationId xmlns:a16="http://schemas.microsoft.com/office/drawing/2014/main" id="{00000000-0008-0000-0100-0000BE000000}"/>
              </a:ext>
            </a:extLst>
          </xdr:cNvPr>
          <xdr:cNvSpPr txBox="1"/>
        </xdr:nvSpPr>
        <xdr:spPr>
          <a:xfrm>
            <a:off x="9163050" y="6864612"/>
            <a:ext cx="1213757" cy="35378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E3FFB8FA-91D2-437E-AE42-254251358D69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7</a:t>
            </a:fld>
            <a:endParaRPr lang="en-US" sz="18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  <xdr:sp macro="" textlink="">
        <xdr:nvSpPr>
          <xdr:cNvPr id="191" name="TextBox 190">
            <a:extLst>
              <a:ext uri="{FF2B5EF4-FFF2-40B4-BE49-F238E27FC236}">
                <a16:creationId xmlns:a16="http://schemas.microsoft.com/office/drawing/2014/main" id="{00000000-0008-0000-0100-0000BF000000}"/>
              </a:ext>
            </a:extLst>
          </xdr:cNvPr>
          <xdr:cNvSpPr txBox="1"/>
        </xdr:nvSpPr>
        <xdr:spPr>
          <a:xfrm>
            <a:off x="9168492" y="7308141"/>
            <a:ext cx="1202873" cy="302930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Total</a:t>
            </a:r>
            <a:r>
              <a:rPr lang="en-US" sz="1400" b="1" baseline="0">
                <a:solidFill>
                  <a:schemeClr val="bg1"/>
                </a:solidFill>
              </a:rPr>
              <a:t> Payable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R$162">
        <xdr:nvSpPr>
          <xdr:cNvPr id="192" name="TextBox 191">
            <a:extLst>
              <a:ext uri="{FF2B5EF4-FFF2-40B4-BE49-F238E27FC236}">
                <a16:creationId xmlns:a16="http://schemas.microsoft.com/office/drawing/2014/main" id="{00000000-0008-0000-0100-0000C0000000}"/>
              </a:ext>
            </a:extLst>
          </xdr:cNvPr>
          <xdr:cNvSpPr txBox="1"/>
        </xdr:nvSpPr>
        <xdr:spPr>
          <a:xfrm>
            <a:off x="9099095" y="7629723"/>
            <a:ext cx="1341666" cy="386537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EC2E3B70-01F8-4C5D-AE6A-FDF0EE958CE9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 1,140,656.72 </a:t>
            </a:fld>
            <a:endParaRPr lang="en-US" sz="18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  <xdr:sp macro="" textlink="">
        <xdr:nvSpPr>
          <xdr:cNvPr id="193" name="TextBox 192">
            <a:extLst>
              <a:ext uri="{FF2B5EF4-FFF2-40B4-BE49-F238E27FC236}">
                <a16:creationId xmlns:a16="http://schemas.microsoft.com/office/drawing/2014/main" id="{00000000-0008-0000-0100-0000C1000000}"/>
              </a:ext>
            </a:extLst>
          </xdr:cNvPr>
          <xdr:cNvSpPr txBox="1"/>
        </xdr:nvSpPr>
        <xdr:spPr>
          <a:xfrm>
            <a:off x="9173935" y="8177097"/>
            <a:ext cx="1191987" cy="353785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Paid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S$162">
        <xdr:nvSpPr>
          <xdr:cNvPr id="194" name="TextBox 193">
            <a:extLst>
              <a:ext uri="{FF2B5EF4-FFF2-40B4-BE49-F238E27FC236}">
                <a16:creationId xmlns:a16="http://schemas.microsoft.com/office/drawing/2014/main" id="{00000000-0008-0000-0100-0000C2000000}"/>
              </a:ext>
            </a:extLst>
          </xdr:cNvPr>
          <xdr:cNvSpPr txBox="1"/>
        </xdr:nvSpPr>
        <xdr:spPr>
          <a:xfrm>
            <a:off x="9172573" y="8549534"/>
            <a:ext cx="1194710" cy="35378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9682D80F-D5C6-47F6-AA58-02EFEF3D8DB8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 524,918.77 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  <xdr:sp macro="" textlink="">
        <xdr:nvSpPr>
          <xdr:cNvPr id="195" name="TextBox 194">
            <a:extLst>
              <a:ext uri="{FF2B5EF4-FFF2-40B4-BE49-F238E27FC236}">
                <a16:creationId xmlns:a16="http://schemas.microsoft.com/office/drawing/2014/main" id="{00000000-0008-0000-0100-0000C3000000}"/>
              </a:ext>
            </a:extLst>
          </xdr:cNvPr>
          <xdr:cNvSpPr txBox="1"/>
        </xdr:nvSpPr>
        <xdr:spPr>
          <a:xfrm>
            <a:off x="9179378" y="9028610"/>
            <a:ext cx="1181101" cy="353785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Due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T$162">
        <xdr:nvSpPr>
          <xdr:cNvPr id="196" name="TextBox 195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 txBox="1"/>
        </xdr:nvSpPr>
        <xdr:spPr>
          <a:xfrm>
            <a:off x="9184821" y="9401044"/>
            <a:ext cx="1170215" cy="35378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EFBE93A4-D205-4CE1-BE72-62EF5FAD134D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 605,317.90 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8</xdr:col>
      <xdr:colOff>146772</xdr:colOff>
      <xdr:row>59</xdr:row>
      <xdr:rowOff>134832</xdr:rowOff>
    </xdr:from>
    <xdr:to>
      <xdr:col>10</xdr:col>
      <xdr:colOff>119558</xdr:colOff>
      <xdr:row>61</xdr:row>
      <xdr:rowOff>94010</xdr:rowOff>
    </xdr:to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5045343" y="10925296"/>
          <a:ext cx="1197429" cy="340178"/>
        </a:xfrm>
        <a:prstGeom prst="roundRect">
          <a:avLst/>
        </a:prstGeom>
        <a:solidFill>
          <a:schemeClr val="tx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Grade B</a:t>
          </a:r>
        </a:p>
      </xdr:txBody>
    </xdr:sp>
    <xdr:clientData/>
  </xdr:twoCellAnchor>
  <xdr:twoCellAnchor>
    <xdr:from>
      <xdr:col>10</xdr:col>
      <xdr:colOff>576942</xdr:colOff>
      <xdr:row>62</xdr:row>
      <xdr:rowOff>53188</xdr:rowOff>
    </xdr:from>
    <xdr:to>
      <xdr:col>13</xdr:col>
      <xdr:colOff>508906</xdr:colOff>
      <xdr:row>77</xdr:row>
      <xdr:rowOff>3</xdr:rowOff>
    </xdr:to>
    <xdr:grpSp>
      <xdr:nvGrpSpPr>
        <xdr:cNvPr id="198" name="Group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GrpSpPr/>
      </xdr:nvGrpSpPr>
      <xdr:grpSpPr>
        <a:xfrm>
          <a:off x="6700156" y="11796152"/>
          <a:ext cx="1768929" cy="2804315"/>
          <a:chOff x="8885464" y="6379154"/>
          <a:chExt cx="1768929" cy="3662921"/>
        </a:xfrm>
        <a:solidFill>
          <a:schemeClr val="bg2">
            <a:lumMod val="25000"/>
          </a:schemeClr>
        </a:solidFill>
      </xdr:grpSpPr>
      <xdr:sp macro="" textlink="">
        <xdr:nvSpPr>
          <xdr:cNvPr id="199" name="Rectangle: Rounded Corners 198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SpPr/>
        </xdr:nvSpPr>
        <xdr:spPr>
          <a:xfrm>
            <a:off x="8885464" y="6379154"/>
            <a:ext cx="1768929" cy="3662921"/>
          </a:xfrm>
          <a:prstGeom prst="roundRect">
            <a:avLst>
              <a:gd name="adj" fmla="val 10446"/>
            </a:avLst>
          </a:prstGeom>
          <a:grpFill/>
          <a:ln>
            <a:solidFill>
              <a:schemeClr val="bg1"/>
            </a:solidFill>
            <a:prstDash val="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00" name="TextBox 199">
            <a:extLst>
              <a:ext uri="{FF2B5EF4-FFF2-40B4-BE49-F238E27FC236}">
                <a16:creationId xmlns:a16="http://schemas.microsoft.com/office/drawing/2014/main" id="{00000000-0008-0000-0100-0000C8000000}"/>
              </a:ext>
            </a:extLst>
          </xdr:cNvPr>
          <xdr:cNvSpPr txBox="1"/>
        </xdr:nvSpPr>
        <xdr:spPr>
          <a:xfrm>
            <a:off x="9137197" y="6492175"/>
            <a:ext cx="1265463" cy="353785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Lawyer Count</a:t>
            </a:r>
          </a:p>
        </xdr:txBody>
      </xdr:sp>
      <xdr:sp macro="" textlink="Analysis!$Q$163">
        <xdr:nvSpPr>
          <xdr:cNvPr id="201" name="TextBox 200">
            <a:extLst>
              <a:ext uri="{FF2B5EF4-FFF2-40B4-BE49-F238E27FC236}">
                <a16:creationId xmlns:a16="http://schemas.microsoft.com/office/drawing/2014/main" id="{00000000-0008-0000-0100-0000C9000000}"/>
              </a:ext>
            </a:extLst>
          </xdr:cNvPr>
          <xdr:cNvSpPr txBox="1"/>
        </xdr:nvSpPr>
        <xdr:spPr>
          <a:xfrm>
            <a:off x="9163050" y="6864612"/>
            <a:ext cx="1213757" cy="35378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0FB92DAF-A1E2-48B1-8C43-659AF8D319D8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4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  <xdr:sp macro="" textlink="">
        <xdr:nvSpPr>
          <xdr:cNvPr id="202" name="TextBox 201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 txBox="1"/>
        </xdr:nvSpPr>
        <xdr:spPr>
          <a:xfrm>
            <a:off x="9168492" y="7308141"/>
            <a:ext cx="1202873" cy="302930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Total</a:t>
            </a:r>
            <a:r>
              <a:rPr lang="en-US" sz="1400" b="1" baseline="0">
                <a:solidFill>
                  <a:schemeClr val="bg1"/>
                </a:solidFill>
              </a:rPr>
              <a:t> Payable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R$163">
        <xdr:nvSpPr>
          <xdr:cNvPr id="203" name="TextBox 202">
            <a:extLst>
              <a:ext uri="{FF2B5EF4-FFF2-40B4-BE49-F238E27FC236}">
                <a16:creationId xmlns:a16="http://schemas.microsoft.com/office/drawing/2014/main" id="{00000000-0008-0000-0100-0000CB000000}"/>
              </a:ext>
            </a:extLst>
          </xdr:cNvPr>
          <xdr:cNvSpPr txBox="1"/>
        </xdr:nvSpPr>
        <xdr:spPr>
          <a:xfrm>
            <a:off x="9099095" y="7629723"/>
            <a:ext cx="1341666" cy="386537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E0614140-2BD0-490D-82AA-B793486A9874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 836,481.59 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  <xdr:sp macro="" textlink="">
        <xdr:nvSpPr>
          <xdr:cNvPr id="204" name="TextBox 203">
            <a:extLst>
              <a:ext uri="{FF2B5EF4-FFF2-40B4-BE49-F238E27FC236}">
                <a16:creationId xmlns:a16="http://schemas.microsoft.com/office/drawing/2014/main" id="{00000000-0008-0000-0100-0000CC000000}"/>
              </a:ext>
            </a:extLst>
          </xdr:cNvPr>
          <xdr:cNvSpPr txBox="1"/>
        </xdr:nvSpPr>
        <xdr:spPr>
          <a:xfrm>
            <a:off x="9173935" y="8177097"/>
            <a:ext cx="1191987" cy="353785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Paid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S$163">
        <xdr:nvSpPr>
          <xdr:cNvPr id="205" name="TextBox 204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SpPr txBox="1"/>
        </xdr:nvSpPr>
        <xdr:spPr>
          <a:xfrm>
            <a:off x="9172573" y="8549534"/>
            <a:ext cx="1194710" cy="35378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D57A401D-C2D6-43E5-B992-80B01F4E4C91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 406,312.80 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  <xdr:sp macro="" textlink="">
        <xdr:nvSpPr>
          <xdr:cNvPr id="206" name="TextBox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 txBox="1"/>
        </xdr:nvSpPr>
        <xdr:spPr>
          <a:xfrm>
            <a:off x="9179378" y="9028610"/>
            <a:ext cx="1181101" cy="353785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Due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T$163">
        <xdr:nvSpPr>
          <xdr:cNvPr id="207" name="TextBox 206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SpPr txBox="1"/>
        </xdr:nvSpPr>
        <xdr:spPr>
          <a:xfrm>
            <a:off x="9184821" y="9401044"/>
            <a:ext cx="1170215" cy="35378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F695CE95-B202-4CD3-BB66-08AB04867C79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 422,527.42 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11</xdr:col>
      <xdr:colOff>244743</xdr:colOff>
      <xdr:row>59</xdr:row>
      <xdr:rowOff>134832</xdr:rowOff>
    </xdr:from>
    <xdr:to>
      <xdr:col>13</xdr:col>
      <xdr:colOff>217529</xdr:colOff>
      <xdr:row>61</xdr:row>
      <xdr:rowOff>94010</xdr:rowOff>
    </xdr:to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6980279" y="10925296"/>
          <a:ext cx="1197429" cy="340178"/>
        </a:xfrm>
        <a:prstGeom prst="roundRect">
          <a:avLst/>
        </a:prstGeom>
        <a:solidFill>
          <a:schemeClr val="tx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Grade C</a:t>
          </a:r>
        </a:p>
      </xdr:txBody>
    </xdr:sp>
    <xdr:clientData/>
  </xdr:twoCellAnchor>
  <xdr:twoCellAnchor>
    <xdr:from>
      <xdr:col>14</xdr:col>
      <xdr:colOff>48985</xdr:colOff>
      <xdr:row>62</xdr:row>
      <xdr:rowOff>53188</xdr:rowOff>
    </xdr:from>
    <xdr:to>
      <xdr:col>16</xdr:col>
      <xdr:colOff>593271</xdr:colOff>
      <xdr:row>77</xdr:row>
      <xdr:rowOff>3</xdr:rowOff>
    </xdr:to>
    <xdr:grpSp>
      <xdr:nvGrpSpPr>
        <xdr:cNvPr id="209" name="Group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GrpSpPr/>
      </xdr:nvGrpSpPr>
      <xdr:grpSpPr>
        <a:xfrm>
          <a:off x="8621485" y="11796152"/>
          <a:ext cx="1768929" cy="2804315"/>
          <a:chOff x="8885464" y="6379154"/>
          <a:chExt cx="1768929" cy="3662921"/>
        </a:xfrm>
        <a:solidFill>
          <a:schemeClr val="bg2">
            <a:lumMod val="25000"/>
          </a:schemeClr>
        </a:solidFill>
      </xdr:grpSpPr>
      <xdr:sp macro="" textlink="">
        <xdr:nvSpPr>
          <xdr:cNvPr id="210" name="Rectangle: Rounded Corners 209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SpPr/>
        </xdr:nvSpPr>
        <xdr:spPr>
          <a:xfrm>
            <a:off x="8885464" y="6379154"/>
            <a:ext cx="1768929" cy="3662921"/>
          </a:xfrm>
          <a:prstGeom prst="roundRect">
            <a:avLst>
              <a:gd name="adj" fmla="val 10446"/>
            </a:avLst>
          </a:prstGeom>
          <a:grpFill/>
          <a:ln>
            <a:solidFill>
              <a:schemeClr val="bg1"/>
            </a:solidFill>
            <a:prstDash val="dash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211" name="TextBox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 txBox="1"/>
        </xdr:nvSpPr>
        <xdr:spPr>
          <a:xfrm>
            <a:off x="9137197" y="6492175"/>
            <a:ext cx="1265463" cy="353785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Lawyer Count</a:t>
            </a:r>
          </a:p>
        </xdr:txBody>
      </xdr:sp>
      <xdr:sp macro="" textlink="Analysis!$Q$164">
        <xdr:nvSpPr>
          <xdr:cNvPr id="212" name="TextBox 211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SpPr txBox="1"/>
        </xdr:nvSpPr>
        <xdr:spPr>
          <a:xfrm>
            <a:off x="9163050" y="6864612"/>
            <a:ext cx="1213757" cy="35378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2197AEA0-0383-4058-A852-E0B7514E5BC2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8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  <xdr:sp macro="" textlink="">
        <xdr:nvSpPr>
          <xdr:cNvPr id="213" name="TextBox 212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SpPr txBox="1"/>
        </xdr:nvSpPr>
        <xdr:spPr>
          <a:xfrm>
            <a:off x="9168492" y="7308141"/>
            <a:ext cx="1202873" cy="302930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>
                <a:solidFill>
                  <a:schemeClr val="bg1"/>
                </a:solidFill>
              </a:rPr>
              <a:t>Total</a:t>
            </a:r>
            <a:r>
              <a:rPr lang="en-US" sz="1400" b="1" baseline="0">
                <a:solidFill>
                  <a:schemeClr val="bg1"/>
                </a:solidFill>
              </a:rPr>
              <a:t> Payable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R$164">
        <xdr:nvSpPr>
          <xdr:cNvPr id="214" name="TextBox 213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SpPr txBox="1"/>
        </xdr:nvSpPr>
        <xdr:spPr>
          <a:xfrm>
            <a:off x="9099095" y="7629723"/>
            <a:ext cx="1341666" cy="386537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2664457E-339B-45AE-AD88-2CA09FFDAA7D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 494,284.58 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  <xdr:sp macro="" textlink="">
        <xdr:nvSpPr>
          <xdr:cNvPr id="215" name="TextBox 214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 txBox="1"/>
        </xdr:nvSpPr>
        <xdr:spPr>
          <a:xfrm>
            <a:off x="9173935" y="8177097"/>
            <a:ext cx="1191987" cy="353785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Paid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S$164">
        <xdr:nvSpPr>
          <xdr:cNvPr id="216" name="TextBox 215">
            <a:extLst>
              <a:ext uri="{FF2B5EF4-FFF2-40B4-BE49-F238E27FC236}">
                <a16:creationId xmlns:a16="http://schemas.microsoft.com/office/drawing/2014/main" id="{00000000-0008-0000-0100-0000D8000000}"/>
              </a:ext>
            </a:extLst>
          </xdr:cNvPr>
          <xdr:cNvSpPr txBox="1"/>
        </xdr:nvSpPr>
        <xdr:spPr>
          <a:xfrm>
            <a:off x="9172573" y="8549534"/>
            <a:ext cx="1194710" cy="35378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0E2998A4-D239-405C-B36E-6DDE6CCB5BC3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 272,714.92 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  <xdr:sp macro="" textlink="">
        <xdr:nvSpPr>
          <xdr:cNvPr id="217" name="TextBox 216">
            <a:extLst>
              <a:ext uri="{FF2B5EF4-FFF2-40B4-BE49-F238E27FC236}">
                <a16:creationId xmlns:a16="http://schemas.microsoft.com/office/drawing/2014/main" id="{00000000-0008-0000-0100-0000D9000000}"/>
              </a:ext>
            </a:extLst>
          </xdr:cNvPr>
          <xdr:cNvSpPr txBox="1"/>
        </xdr:nvSpPr>
        <xdr:spPr>
          <a:xfrm>
            <a:off x="9179378" y="9028610"/>
            <a:ext cx="1181101" cy="353785"/>
          </a:xfrm>
          <a:prstGeom prst="rect">
            <a:avLst/>
          </a:prstGeom>
          <a:grpFill/>
          <a:ln w="9525" cmpd="sng"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400" b="1" baseline="0">
                <a:solidFill>
                  <a:schemeClr val="bg1"/>
                </a:solidFill>
              </a:rPr>
              <a:t>Due</a:t>
            </a:r>
            <a:endParaRPr lang="en-US" sz="1400" b="1">
              <a:solidFill>
                <a:schemeClr val="bg1"/>
              </a:solidFill>
            </a:endParaRPr>
          </a:p>
        </xdr:txBody>
      </xdr:sp>
      <xdr:sp macro="" textlink="Analysis!$T$164">
        <xdr:nvSpPr>
          <xdr:cNvPr id="218" name="TextBox 217">
            <a:extLst>
              <a:ext uri="{FF2B5EF4-FFF2-40B4-BE49-F238E27FC236}">
                <a16:creationId xmlns:a16="http://schemas.microsoft.com/office/drawing/2014/main" id="{00000000-0008-0000-0100-0000DA000000}"/>
              </a:ext>
            </a:extLst>
          </xdr:cNvPr>
          <xdr:cNvSpPr txBox="1"/>
        </xdr:nvSpPr>
        <xdr:spPr>
          <a:xfrm>
            <a:off x="9184821" y="9401044"/>
            <a:ext cx="1170215" cy="353785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1B98C3F0-FC21-451C-91D2-72F218B7E32E}" type="TxLink">
              <a: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Calibri"/>
              </a:rPr>
              <a:pPr marL="0" indent="0" algn="ctr"/>
              <a:t> 217,054.30 </a:t>
            </a:fld>
            <a:endParaRPr lang="en-US" sz="1400" b="1" i="0" u="none" strike="noStrike">
              <a:solidFill>
                <a:schemeClr val="bg1"/>
              </a:solidFill>
              <a:latin typeface="+mn-lt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14</xdr:col>
      <xdr:colOff>329108</xdr:colOff>
      <xdr:row>59</xdr:row>
      <xdr:rowOff>134832</xdr:rowOff>
    </xdr:from>
    <xdr:to>
      <xdr:col>16</xdr:col>
      <xdr:colOff>301894</xdr:colOff>
      <xdr:row>61</xdr:row>
      <xdr:rowOff>94010</xdr:rowOff>
    </xdr:to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8901608" y="10925296"/>
          <a:ext cx="1197429" cy="340178"/>
        </a:xfrm>
        <a:prstGeom prst="roundRect">
          <a:avLst/>
        </a:prstGeom>
        <a:solidFill>
          <a:schemeClr val="tx1"/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/>
              </a:solidFill>
            </a:rPr>
            <a:t>Grade D</a:t>
          </a:r>
        </a:p>
      </xdr:txBody>
    </xdr:sp>
    <xdr:clientData/>
  </xdr:twoCellAnchor>
  <xdr:twoCellAnchor>
    <xdr:from>
      <xdr:col>17</xdr:col>
      <xdr:colOff>538658</xdr:colOff>
      <xdr:row>63</xdr:row>
      <xdr:rowOff>66796</xdr:rowOff>
    </xdr:from>
    <xdr:to>
      <xdr:col>17</xdr:col>
      <xdr:colOff>538658</xdr:colOff>
      <xdr:row>75</xdr:row>
      <xdr:rowOff>10767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CxnSpPr/>
      </xdr:nvCxnSpPr>
      <xdr:spPr>
        <a:xfrm>
          <a:off x="10948122" y="11619260"/>
          <a:ext cx="0" cy="2229971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443407</xdr:colOff>
      <xdr:row>57</xdr:row>
      <xdr:rowOff>155367</xdr:rowOff>
    </xdr:from>
    <xdr:to>
      <xdr:col>19</xdr:col>
      <xdr:colOff>388979</xdr:colOff>
      <xdr:row>76</xdr:row>
      <xdr:rowOff>141759</xdr:rowOff>
    </xdr:to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11465193" y="10564831"/>
          <a:ext cx="557893" cy="36058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US" sz="2000" b="1"/>
            <a:t>Top Performing Lawyers</a:t>
          </a:r>
        </a:p>
      </xdr:txBody>
    </xdr:sp>
    <xdr:clientData/>
  </xdr:twoCellAnchor>
  <xdr:twoCellAnchor>
    <xdr:from>
      <xdr:col>19</xdr:col>
      <xdr:colOff>557893</xdr:colOff>
      <xdr:row>56</xdr:row>
      <xdr:rowOff>149679</xdr:rowOff>
    </xdr:from>
    <xdr:to>
      <xdr:col>34</xdr:col>
      <xdr:colOff>530679</xdr:colOff>
      <xdr:row>77</xdr:row>
      <xdr:rowOff>149679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12192000" y="10368643"/>
          <a:ext cx="8722179" cy="4000500"/>
        </a:xfrm>
        <a:prstGeom prst="roundRect">
          <a:avLst>
            <a:gd name="adj" fmla="val 10545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25</xdr:col>
      <xdr:colOff>594417</xdr:colOff>
      <xdr:row>56</xdr:row>
      <xdr:rowOff>149679</xdr:rowOff>
    </xdr:from>
    <xdr:to>
      <xdr:col>29</xdr:col>
      <xdr:colOff>346361</xdr:colOff>
      <xdr:row>67</xdr:row>
      <xdr:rowOff>40822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467024" y="10368643"/>
          <a:ext cx="2201230" cy="1986643"/>
        </a:xfrm>
        <a:prstGeom prst="rect">
          <a:avLst/>
        </a:prstGeom>
      </xdr:spPr>
    </xdr:pic>
    <xdr:clientData/>
  </xdr:twoCellAnchor>
  <xdr:twoCellAnchor editAs="oneCell">
    <xdr:from>
      <xdr:col>21</xdr:col>
      <xdr:colOff>217715</xdr:colOff>
      <xdr:row>59</xdr:row>
      <xdr:rowOff>58546</xdr:rowOff>
    </xdr:from>
    <xdr:to>
      <xdr:col>24</xdr:col>
      <xdr:colOff>363350</xdr:colOff>
      <xdr:row>68</xdr:row>
      <xdr:rowOff>81644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749894" y="10849010"/>
          <a:ext cx="1873742" cy="1737598"/>
        </a:xfrm>
        <a:prstGeom prst="rect">
          <a:avLst/>
        </a:prstGeom>
      </xdr:spPr>
    </xdr:pic>
    <xdr:clientData/>
  </xdr:twoCellAnchor>
  <xdr:twoCellAnchor editAs="oneCell">
    <xdr:from>
      <xdr:col>31</xdr:col>
      <xdr:colOff>16011</xdr:colOff>
      <xdr:row>59</xdr:row>
      <xdr:rowOff>80957</xdr:rowOff>
    </xdr:from>
    <xdr:to>
      <xdr:col>34</xdr:col>
      <xdr:colOff>21206</xdr:colOff>
      <xdr:row>68</xdr:row>
      <xdr:rowOff>23071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371246" y="10872222"/>
          <a:ext cx="1820548" cy="1656614"/>
        </a:xfrm>
        <a:prstGeom prst="rect">
          <a:avLst/>
        </a:prstGeom>
      </xdr:spPr>
    </xdr:pic>
    <xdr:clientData/>
  </xdr:twoCellAnchor>
  <xdr:twoCellAnchor>
    <xdr:from>
      <xdr:col>25</xdr:col>
      <xdr:colOff>326573</xdr:colOff>
      <xdr:row>66</xdr:row>
      <xdr:rowOff>176893</xdr:rowOff>
    </xdr:from>
    <xdr:to>
      <xdr:col>30</xdr:col>
      <xdr:colOff>54430</xdr:colOff>
      <xdr:row>77</xdr:row>
      <xdr:rowOff>54429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15199180" y="12300857"/>
          <a:ext cx="2789464" cy="1973036"/>
        </a:xfrm>
        <a:prstGeom prst="roundRect">
          <a:avLst>
            <a:gd name="adj" fmla="val 9081"/>
          </a:avLst>
        </a:prstGeom>
        <a:ln>
          <a:solidFill>
            <a:schemeClr val="bg1"/>
          </a:solidFill>
          <a:prstDash val="dashDot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496662</xdr:colOff>
      <xdr:row>67</xdr:row>
      <xdr:rowOff>54428</xdr:rowOff>
    </xdr:from>
    <xdr:to>
      <xdr:col>29</xdr:col>
      <xdr:colOff>496662</xdr:colOff>
      <xdr:row>70</xdr:row>
      <xdr:rowOff>95249</xdr:rowOff>
    </xdr:to>
    <xdr:sp macro="" textlink="Analysis!$R$167">
      <xdr:nvSpPr>
        <xdr:cNvPr id="225" name="Rectangle: Rounded Corners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/>
      </xdr:nvSpPr>
      <xdr:spPr>
        <a:xfrm>
          <a:off x="15369269" y="12368892"/>
          <a:ext cx="2449286" cy="61232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8C3BBE82-7ECC-4AB3-86AE-5D711C9A7F7B}" type="TxLink">
            <a:rPr lang="en-US" sz="2400" b="1" i="0" u="none" strike="noStrike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>
                <a:reflection blurRad="139700" stA="60000" endPos="60000" dist="63500" dir="5400000" sy="-100000" algn="bl" rotWithShape="0"/>
              </a:effectLst>
              <a:latin typeface="+mj-lt"/>
              <a:cs typeface="Calibri"/>
            </a:rPr>
            <a:pPr algn="ctr"/>
            <a:t>Vernon Watson  </a:t>
          </a:fld>
          <a:endParaRPr lang="en-US" sz="2400" b="1" cap="none" spc="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>
              <a:reflection blurRad="139700" stA="60000" endPos="60000" dist="63500" dir="5400000" sy="-100000" algn="bl" rotWithShape="0"/>
            </a:effectLst>
            <a:latin typeface="+mj-lt"/>
          </a:endParaRPr>
        </a:p>
      </xdr:txBody>
    </xdr:sp>
    <xdr:clientData/>
  </xdr:twoCellAnchor>
  <xdr:twoCellAnchor>
    <xdr:from>
      <xdr:col>25</xdr:col>
      <xdr:colOff>487139</xdr:colOff>
      <xdr:row>70</xdr:row>
      <xdr:rowOff>108857</xdr:rowOff>
    </xdr:from>
    <xdr:to>
      <xdr:col>27</xdr:col>
      <xdr:colOff>527959</xdr:colOff>
      <xdr:row>71</xdr:row>
      <xdr:rowOff>189213</xdr:rowOff>
    </xdr:to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15359746" y="12994821"/>
          <a:ext cx="1265463" cy="270856"/>
        </a:xfrm>
        <a:prstGeom prst="rect">
          <a:avLst/>
        </a:prstGeom>
        <a:solidFill>
          <a:schemeClr val="tx1"/>
        </a:solidFill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Assigned</a:t>
          </a:r>
        </a:p>
      </xdr:txBody>
    </xdr:sp>
    <xdr:clientData/>
  </xdr:twoCellAnchor>
  <xdr:twoCellAnchor>
    <xdr:from>
      <xdr:col>25</xdr:col>
      <xdr:colOff>512992</xdr:colOff>
      <xdr:row>72</xdr:row>
      <xdr:rowOff>12993</xdr:rowOff>
    </xdr:from>
    <xdr:to>
      <xdr:col>27</xdr:col>
      <xdr:colOff>502106</xdr:colOff>
      <xdr:row>73</xdr:row>
      <xdr:rowOff>93349</xdr:rowOff>
    </xdr:to>
    <xdr:sp macro="" textlink="Analysis!$S$167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15385599" y="13279957"/>
          <a:ext cx="1213757" cy="27085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568A78B0-6677-4A97-93BD-E5D99195F552}" type="TxLink">
            <a:rPr lang="en-US" sz="1400" b="0" i="0" u="none" strike="noStrike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  <a:latin typeface="+mj-lt"/>
              <a:ea typeface="+mn-ea"/>
              <a:cs typeface="Calibri"/>
            </a:rPr>
            <a:pPr marL="0" indent="0" algn="ctr"/>
            <a:t>27</a:t>
          </a:fld>
          <a:endParaRPr lang="en-US" sz="1400" b="0" i="0" u="none" strike="noStrike" cap="none" spc="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  <a:latin typeface="+mj-lt"/>
            <a:ea typeface="+mn-ea"/>
            <a:cs typeface="Calibri"/>
          </a:endParaRPr>
        </a:p>
      </xdr:txBody>
    </xdr:sp>
    <xdr:clientData/>
  </xdr:twoCellAnchor>
  <xdr:twoCellAnchor>
    <xdr:from>
      <xdr:col>26</xdr:col>
      <xdr:colOff>507547</xdr:colOff>
      <xdr:row>73</xdr:row>
      <xdr:rowOff>162057</xdr:rowOff>
    </xdr:from>
    <xdr:to>
      <xdr:col>28</xdr:col>
      <xdr:colOff>485778</xdr:colOff>
      <xdr:row>75</xdr:row>
      <xdr:rowOff>12979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15992476" y="13619521"/>
          <a:ext cx="1202873" cy="231922"/>
        </a:xfrm>
        <a:prstGeom prst="rect">
          <a:avLst/>
        </a:prstGeom>
        <a:solidFill>
          <a:schemeClr val="tx1"/>
        </a:solidFill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Win</a:t>
          </a:r>
          <a:r>
            <a:rPr lang="en-US" sz="1400" b="1" baseline="0">
              <a:solidFill>
                <a:schemeClr val="bg1"/>
              </a:solidFill>
            </a:rPr>
            <a:t> %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26</xdr:col>
      <xdr:colOff>438150</xdr:colOff>
      <xdr:row>75</xdr:row>
      <xdr:rowOff>27259</xdr:rowOff>
    </xdr:from>
    <xdr:to>
      <xdr:col>28</xdr:col>
      <xdr:colOff>555174</xdr:colOff>
      <xdr:row>76</xdr:row>
      <xdr:rowOff>132690</xdr:rowOff>
    </xdr:to>
    <xdr:sp macro="" textlink="Analysis!$U$167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15923079" y="13865723"/>
          <a:ext cx="1341666" cy="295931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D06DA64-31F9-48F3-8F8A-80134DAFB9BD}" type="TxLink">
            <a:rPr lang="en-US" sz="1400" b="0" i="0" u="none" strike="noStrike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  <a:latin typeface="+mj-lt"/>
              <a:ea typeface="+mn-ea"/>
              <a:cs typeface="Calibri"/>
            </a:rPr>
            <a:pPr marL="0" indent="0" algn="ctr"/>
            <a:t>56%</a:t>
          </a:fld>
          <a:endParaRPr lang="en-US" sz="1400" b="0" i="0" u="none" strike="noStrike" cap="none" spc="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  <a:latin typeface="+mj-lt"/>
            <a:ea typeface="+mn-ea"/>
            <a:cs typeface="Calibri"/>
          </a:endParaRPr>
        </a:p>
      </xdr:txBody>
    </xdr:sp>
    <xdr:clientData/>
  </xdr:twoCellAnchor>
  <xdr:twoCellAnchor>
    <xdr:from>
      <xdr:col>28</xdr:col>
      <xdr:colOff>74842</xdr:colOff>
      <xdr:row>70</xdr:row>
      <xdr:rowOff>106147</xdr:rowOff>
    </xdr:from>
    <xdr:to>
      <xdr:col>30</xdr:col>
      <xdr:colOff>42186</xdr:colOff>
      <xdr:row>71</xdr:row>
      <xdr:rowOff>186503</xdr:rowOff>
    </xdr:to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16784413" y="12992111"/>
          <a:ext cx="1191987" cy="270856"/>
        </a:xfrm>
        <a:prstGeom prst="rect">
          <a:avLst/>
        </a:prstGeom>
        <a:solidFill>
          <a:schemeClr val="tx1"/>
        </a:solidFill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Won</a:t>
          </a:r>
        </a:p>
      </xdr:txBody>
    </xdr:sp>
    <xdr:clientData/>
  </xdr:twoCellAnchor>
  <xdr:twoCellAnchor>
    <xdr:from>
      <xdr:col>28</xdr:col>
      <xdr:colOff>73480</xdr:colOff>
      <xdr:row>72</xdr:row>
      <xdr:rowOff>10283</xdr:rowOff>
    </xdr:from>
    <xdr:to>
      <xdr:col>30</xdr:col>
      <xdr:colOff>43547</xdr:colOff>
      <xdr:row>73</xdr:row>
      <xdr:rowOff>90639</xdr:rowOff>
    </xdr:to>
    <xdr:sp macro="" textlink="Analysis!$T$167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16783051" y="13277247"/>
          <a:ext cx="1194710" cy="270856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3FB587E6-0456-4E8C-B397-E62B7DDDF661}" type="TxLink">
            <a:rPr lang="en-US" sz="1400" b="0" i="0" u="none" strike="noStrike" cap="none" spc="0">
              <a:ln w="12700" cmpd="sng">
                <a:solidFill>
                  <a:schemeClr val="accent4"/>
                </a:solidFill>
                <a:prstDash val="solid"/>
              </a:ln>
              <a:gradFill>
                <a:gsLst>
                  <a:gs pos="0">
                    <a:schemeClr val="accent4"/>
                  </a:gs>
                  <a:gs pos="4000">
                    <a:schemeClr val="accent4">
                      <a:lumMod val="60000"/>
                      <a:lumOff val="40000"/>
                    </a:schemeClr>
                  </a:gs>
                  <a:gs pos="87000">
                    <a:schemeClr val="accent4">
                      <a:lumMod val="20000"/>
                      <a:lumOff val="80000"/>
                    </a:schemeClr>
                  </a:gs>
                </a:gsLst>
                <a:lin ang="5400000"/>
              </a:gradFill>
              <a:effectLst/>
              <a:latin typeface="+mj-lt"/>
              <a:ea typeface="+mn-ea"/>
              <a:cs typeface="Calibri"/>
            </a:rPr>
            <a:pPr marL="0" indent="0" algn="ctr"/>
            <a:t>15</a:t>
          </a:fld>
          <a:endParaRPr lang="en-US" sz="1400" b="0" i="0" u="none" strike="noStrike" cap="none" spc="0">
            <a:ln w="12700" cmpd="sng">
              <a:solidFill>
                <a:schemeClr val="accent4"/>
              </a:solidFill>
              <a:prstDash val="solid"/>
            </a:ln>
            <a:gradFill>
              <a:gsLst>
                <a:gs pos="0">
                  <a:schemeClr val="accent4"/>
                </a:gs>
                <a:gs pos="4000">
                  <a:schemeClr val="accent4">
                    <a:lumMod val="60000"/>
                    <a:lumOff val="40000"/>
                  </a:schemeClr>
                </a:gs>
                <a:gs pos="87000">
                  <a:schemeClr val="accent4">
                    <a:lumMod val="20000"/>
                    <a:lumOff val="80000"/>
                  </a:schemeClr>
                </a:gs>
              </a:gsLst>
              <a:lin ang="5400000"/>
            </a:gradFill>
            <a:effectLst/>
            <a:latin typeface="+mj-lt"/>
            <a:ea typeface="+mn-ea"/>
            <a:cs typeface="Calibri"/>
          </a:endParaRPr>
        </a:p>
      </xdr:txBody>
    </xdr:sp>
    <xdr:clientData/>
  </xdr:twoCellAnchor>
  <xdr:twoCellAnchor>
    <xdr:from>
      <xdr:col>30</xdr:col>
      <xdr:colOff>166009</xdr:colOff>
      <xdr:row>68</xdr:row>
      <xdr:rowOff>123444</xdr:rowOff>
    </xdr:from>
    <xdr:to>
      <xdr:col>34</xdr:col>
      <xdr:colOff>277043</xdr:colOff>
      <xdr:row>77</xdr:row>
      <xdr:rowOff>0</xdr:rowOff>
    </xdr:to>
    <xdr:sp macro="" textlink="">
      <xdr:nvSpPr>
        <xdr:cNvPr id="234" name="Rectangle: Rounded Corners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/>
      </xdr:nvSpPr>
      <xdr:spPr>
        <a:xfrm>
          <a:off x="18100223" y="12628408"/>
          <a:ext cx="2560320" cy="1591056"/>
        </a:xfrm>
        <a:prstGeom prst="roundRect">
          <a:avLst>
            <a:gd name="adj" fmla="val 9081"/>
          </a:avLst>
        </a:prstGeom>
        <a:ln>
          <a:solidFill>
            <a:schemeClr val="bg1"/>
          </a:solidFill>
          <a:prstDash val="dashDot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336098</xdr:colOff>
      <xdr:row>68</xdr:row>
      <xdr:rowOff>84363</xdr:rowOff>
    </xdr:from>
    <xdr:to>
      <xdr:col>34</xdr:col>
      <xdr:colOff>336098</xdr:colOff>
      <xdr:row>71</xdr:row>
      <xdr:rowOff>125184</xdr:rowOff>
    </xdr:to>
    <xdr:sp macro="" textlink="Analysis!$R$169">
      <xdr:nvSpPr>
        <xdr:cNvPr id="235" name="Rectangle: Rounded Corners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/>
      </xdr:nvSpPr>
      <xdr:spPr>
        <a:xfrm>
          <a:off x="18270312" y="12589327"/>
          <a:ext cx="2449286" cy="61232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2F9DC409-1A5B-4F35-9C6E-6331459B499B}" type="TxLink">
            <a:rPr lang="en-US" sz="2000" b="0" i="0" u="none" strike="noStrike" cap="none" spc="0">
              <a:ln>
                <a:noFill/>
              </a:ln>
              <a:solidFill>
                <a:schemeClr val="accent2">
                  <a:lumMod val="60000"/>
                  <a:lumOff val="40000"/>
                </a:schemeClr>
              </a:solidFill>
              <a:effectLst>
                <a:reflection blurRad="139700" stA="60000" endA="900" endPos="60000" dist="63500" dir="5400000" sy="-100000" algn="bl" rotWithShape="0"/>
              </a:effectLst>
              <a:latin typeface="Calibri"/>
              <a:cs typeface="Calibri"/>
            </a:rPr>
            <a:pPr algn="ctr"/>
            <a:t>Susan Bailey  </a:t>
          </a:fld>
          <a:endParaRPr lang="en-US" sz="2000" b="1" cap="none" spc="0">
            <a:ln>
              <a:noFill/>
            </a:ln>
            <a:solidFill>
              <a:schemeClr val="accent2">
                <a:lumMod val="60000"/>
                <a:lumOff val="40000"/>
              </a:schemeClr>
            </a:solidFill>
            <a:effectLst>
              <a:reflection blurRad="139700" stA="60000" endA="900" endPos="60000" dist="63500" dir="5400000" sy="-100000" algn="bl" rotWithShape="0"/>
            </a:effectLst>
            <a:latin typeface="+mj-lt"/>
          </a:endParaRPr>
        </a:p>
      </xdr:txBody>
    </xdr:sp>
    <xdr:clientData/>
  </xdr:twoCellAnchor>
  <xdr:twoCellAnchor>
    <xdr:from>
      <xdr:col>30</xdr:col>
      <xdr:colOff>326575</xdr:colOff>
      <xdr:row>71</xdr:row>
      <xdr:rowOff>100693</xdr:rowOff>
    </xdr:from>
    <xdr:to>
      <xdr:col>32</xdr:col>
      <xdr:colOff>367395</xdr:colOff>
      <xdr:row>72</xdr:row>
      <xdr:rowOff>181049</xdr:rowOff>
    </xdr:to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18260789" y="13177157"/>
          <a:ext cx="1265463" cy="270856"/>
        </a:xfrm>
        <a:prstGeom prst="rect">
          <a:avLst/>
        </a:prstGeom>
        <a:noFill/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Assigned</a:t>
          </a:r>
        </a:p>
      </xdr:txBody>
    </xdr:sp>
    <xdr:clientData/>
  </xdr:twoCellAnchor>
  <xdr:twoCellAnchor>
    <xdr:from>
      <xdr:col>30</xdr:col>
      <xdr:colOff>352428</xdr:colOff>
      <xdr:row>73</xdr:row>
      <xdr:rowOff>2119</xdr:rowOff>
    </xdr:from>
    <xdr:to>
      <xdr:col>32</xdr:col>
      <xdr:colOff>341542</xdr:colOff>
      <xdr:row>74</xdr:row>
      <xdr:rowOff>82475</xdr:rowOff>
    </xdr:to>
    <xdr:sp macro="" textlink="Analysis!$S$169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18286642" y="13459583"/>
          <a:ext cx="1213757" cy="270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4A2321F-F815-4BA7-95BC-FFFCA78D9BB1}" type="TxLink">
            <a:rPr lang="en-US" sz="1400" b="1" i="0" u="none" strike="noStrike" cap="none" spc="0">
              <a:ln>
                <a:noFill/>
              </a:ln>
              <a:solidFill>
                <a:schemeClr val="accent2"/>
              </a:solidFill>
              <a:effectLst/>
              <a:latin typeface="+mj-lt"/>
              <a:ea typeface="+mn-ea"/>
              <a:cs typeface="Calibri"/>
            </a:rPr>
            <a:pPr marL="0" indent="0" algn="ctr"/>
            <a:t>28</a:t>
          </a:fld>
          <a:endParaRPr lang="en-US" sz="1400" b="1" i="0" u="none" strike="noStrike" cap="none" spc="0">
            <a:ln>
              <a:noFill/>
            </a:ln>
            <a:solidFill>
              <a:schemeClr val="accent2"/>
            </a:solidFill>
            <a:effectLst/>
            <a:latin typeface="+mj-lt"/>
            <a:ea typeface="+mn-ea"/>
            <a:cs typeface="Calibri"/>
          </a:endParaRPr>
        </a:p>
      </xdr:txBody>
    </xdr:sp>
    <xdr:clientData/>
  </xdr:twoCellAnchor>
  <xdr:twoCellAnchor>
    <xdr:from>
      <xdr:col>31</xdr:col>
      <xdr:colOff>346983</xdr:colOff>
      <xdr:row>74</xdr:row>
      <xdr:rowOff>45037</xdr:rowOff>
    </xdr:from>
    <xdr:to>
      <xdr:col>33</xdr:col>
      <xdr:colOff>325213</xdr:colOff>
      <xdr:row>75</xdr:row>
      <xdr:rowOff>86459</xdr:rowOff>
    </xdr:to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18893519" y="13693001"/>
          <a:ext cx="1202873" cy="231922"/>
        </a:xfrm>
        <a:prstGeom prst="rect">
          <a:avLst/>
        </a:prstGeom>
        <a:noFill/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Win</a:t>
          </a:r>
          <a:r>
            <a:rPr lang="en-US" sz="1400" b="1" baseline="0">
              <a:solidFill>
                <a:schemeClr val="bg1"/>
              </a:solidFill>
            </a:rPr>
            <a:t> %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31</xdr:col>
      <xdr:colOff>277586</xdr:colOff>
      <xdr:row>75</xdr:row>
      <xdr:rowOff>87132</xdr:rowOff>
    </xdr:from>
    <xdr:to>
      <xdr:col>33</xdr:col>
      <xdr:colOff>394609</xdr:colOff>
      <xdr:row>77</xdr:row>
      <xdr:rowOff>2063</xdr:rowOff>
    </xdr:to>
    <xdr:sp macro="" textlink="Analysis!$U$169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18824122" y="13925596"/>
          <a:ext cx="1341666" cy="295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8C5CA0DE-E825-4EF3-ABE8-196E387E9E48}" type="TxLink">
            <a:rPr lang="en-US" sz="1400" b="1" i="0" u="none" strike="noStrike" cap="none" spc="0">
              <a:ln>
                <a:noFill/>
              </a:ln>
              <a:solidFill>
                <a:schemeClr val="accent2"/>
              </a:solidFill>
              <a:effectLst/>
              <a:latin typeface="+mj-lt"/>
              <a:ea typeface="+mn-ea"/>
              <a:cs typeface="Calibri"/>
            </a:rPr>
            <a:pPr marL="0" indent="0" algn="ctr"/>
            <a:t>39%</a:t>
          </a:fld>
          <a:endParaRPr lang="en-US" sz="1400" b="1" i="0" u="none" strike="noStrike" cap="none" spc="0">
            <a:ln>
              <a:noFill/>
            </a:ln>
            <a:solidFill>
              <a:schemeClr val="accent2"/>
            </a:solidFill>
            <a:effectLst/>
            <a:latin typeface="+mj-lt"/>
            <a:ea typeface="+mn-ea"/>
            <a:cs typeface="Calibri"/>
          </a:endParaRPr>
        </a:p>
      </xdr:txBody>
    </xdr:sp>
    <xdr:clientData/>
  </xdr:twoCellAnchor>
  <xdr:twoCellAnchor>
    <xdr:from>
      <xdr:col>32</xdr:col>
      <xdr:colOff>526599</xdr:colOff>
      <xdr:row>71</xdr:row>
      <xdr:rowOff>100693</xdr:rowOff>
    </xdr:from>
    <xdr:to>
      <xdr:col>34</xdr:col>
      <xdr:colOff>493943</xdr:colOff>
      <xdr:row>72</xdr:row>
      <xdr:rowOff>181049</xdr:rowOff>
    </xdr:to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19685456" y="13177157"/>
          <a:ext cx="1191987" cy="270856"/>
        </a:xfrm>
        <a:prstGeom prst="rect">
          <a:avLst/>
        </a:prstGeom>
        <a:noFill/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Won</a:t>
          </a:r>
        </a:p>
      </xdr:txBody>
    </xdr:sp>
    <xdr:clientData/>
  </xdr:twoCellAnchor>
  <xdr:twoCellAnchor>
    <xdr:from>
      <xdr:col>32</xdr:col>
      <xdr:colOff>525237</xdr:colOff>
      <xdr:row>73</xdr:row>
      <xdr:rowOff>2119</xdr:rowOff>
    </xdr:from>
    <xdr:to>
      <xdr:col>34</xdr:col>
      <xdr:colOff>495304</xdr:colOff>
      <xdr:row>74</xdr:row>
      <xdr:rowOff>82475</xdr:rowOff>
    </xdr:to>
    <xdr:sp macro="" textlink="Analysis!$T$169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19684094" y="13459583"/>
          <a:ext cx="1194710" cy="2708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40F8340-5BC4-4CD8-ACEC-3EA2351F66A8}" type="TxLink">
            <a:rPr lang="en-US" sz="1400" b="1" i="0" u="none" strike="noStrike" cap="none" spc="0">
              <a:ln>
                <a:noFill/>
              </a:ln>
              <a:solidFill>
                <a:schemeClr val="accent2"/>
              </a:solidFill>
              <a:effectLst/>
              <a:latin typeface="+mj-lt"/>
              <a:ea typeface="+mn-ea"/>
              <a:cs typeface="Calibri"/>
            </a:rPr>
            <a:pPr marL="0" indent="0" algn="ctr"/>
            <a:t>11</a:t>
          </a:fld>
          <a:endParaRPr lang="en-US" sz="1400" b="1" i="0" u="none" strike="noStrike" cap="none" spc="0">
            <a:ln>
              <a:noFill/>
            </a:ln>
            <a:solidFill>
              <a:schemeClr val="accent2"/>
            </a:solidFill>
            <a:effectLst/>
            <a:latin typeface="+mj-lt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190499</xdr:colOff>
      <xdr:row>68</xdr:row>
      <xdr:rowOff>127906</xdr:rowOff>
    </xdr:from>
    <xdr:to>
      <xdr:col>25</xdr:col>
      <xdr:colOff>127908</xdr:colOff>
      <xdr:row>77</xdr:row>
      <xdr:rowOff>0</xdr:rowOff>
    </xdr:to>
    <xdr:sp macro="" textlink="">
      <xdr:nvSpPr>
        <xdr:cNvPr id="242" name="Rectangle: Rounded Corners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>
        <a:xfrm>
          <a:off x="12436928" y="12632870"/>
          <a:ext cx="2563587" cy="1586594"/>
        </a:xfrm>
        <a:prstGeom prst="roundRect">
          <a:avLst>
            <a:gd name="adj" fmla="val 9081"/>
          </a:avLst>
        </a:prstGeom>
        <a:ln>
          <a:solidFill>
            <a:schemeClr val="bg1"/>
          </a:solidFill>
          <a:prstDash val="dashDot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47292</xdr:colOff>
      <xdr:row>69</xdr:row>
      <xdr:rowOff>5441</xdr:rowOff>
    </xdr:from>
    <xdr:to>
      <xdr:col>24</xdr:col>
      <xdr:colOff>570140</xdr:colOff>
      <xdr:row>71</xdr:row>
      <xdr:rowOff>116832</xdr:rowOff>
    </xdr:to>
    <xdr:sp macro="" textlink="Analysis!$R$168">
      <xdr:nvSpPr>
        <xdr:cNvPr id="243" name="Rectangle: Rounded Corners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/>
      </xdr:nvSpPr>
      <xdr:spPr>
        <a:xfrm>
          <a:off x="12579471" y="12700905"/>
          <a:ext cx="2250955" cy="49239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fld id="{6324CFE9-7C58-4AF2-A258-8727820D78AA}" type="TxLink">
            <a:rPr lang="en-US" sz="2000" b="1" i="0" u="none" strike="noStrike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  <a:reflection blurRad="139700" stA="60000" endA="900" endPos="60000" dist="63500" dir="5400000" sy="-100000" algn="bl" rotWithShape="0"/>
              </a:effectLst>
              <a:latin typeface="Calibri"/>
              <a:cs typeface="Calibri"/>
            </a:rPr>
            <a:pPr algn="ctr"/>
            <a:t>Tabitha Hughes  </a:t>
          </a:fld>
          <a:endParaRPr lang="en-US" sz="2000" b="1" cap="none" spc="50">
            <a:ln w="0"/>
            <a:solidFill>
              <a:schemeClr val="bg2"/>
            </a:solidFill>
            <a:effectLst>
              <a:innerShdw blurRad="63500" dist="50800" dir="13500000">
                <a:srgbClr val="000000">
                  <a:alpha val="50000"/>
                </a:srgbClr>
              </a:innerShdw>
              <a:reflection blurRad="139700" stA="60000" endA="900" endPos="60000" dist="63500" dir="5400000" sy="-100000" algn="bl" rotWithShape="0"/>
            </a:effectLst>
            <a:latin typeface="+mj-lt"/>
          </a:endParaRPr>
        </a:p>
      </xdr:txBody>
    </xdr:sp>
    <xdr:clientData/>
  </xdr:twoCellAnchor>
  <xdr:twoCellAnchor>
    <xdr:from>
      <xdr:col>20</xdr:col>
      <xdr:colOff>227660</xdr:colOff>
      <xdr:row>71</xdr:row>
      <xdr:rowOff>100693</xdr:rowOff>
    </xdr:from>
    <xdr:to>
      <xdr:col>22</xdr:col>
      <xdr:colOff>492581</xdr:colOff>
      <xdr:row>72</xdr:row>
      <xdr:rowOff>127999</xdr:rowOff>
    </xdr:to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12474089" y="13177157"/>
          <a:ext cx="1162992" cy="217806"/>
        </a:xfrm>
        <a:prstGeom prst="rect">
          <a:avLst/>
        </a:prstGeom>
        <a:noFill/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  <a:latin typeface="+mn-lt"/>
              <a:ea typeface="+mn-ea"/>
              <a:cs typeface="+mn-cs"/>
            </a:rPr>
            <a:t>Assigned</a:t>
          </a:r>
        </a:p>
      </xdr:txBody>
    </xdr:sp>
    <xdr:clientData/>
  </xdr:twoCellAnchor>
  <xdr:twoCellAnchor>
    <xdr:from>
      <xdr:col>20</xdr:col>
      <xdr:colOff>249326</xdr:colOff>
      <xdr:row>73</xdr:row>
      <xdr:rowOff>4829</xdr:rowOff>
    </xdr:from>
    <xdr:to>
      <xdr:col>22</xdr:col>
      <xdr:colOff>466728</xdr:colOff>
      <xdr:row>74</xdr:row>
      <xdr:rowOff>32135</xdr:rowOff>
    </xdr:to>
    <xdr:sp macro="" textlink="Analysis!$S$168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12495755" y="13462293"/>
          <a:ext cx="1115473" cy="217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A44724A5-E283-4ED6-9FE7-0F0BD0EC3438}" type="TxLink">
            <a:rPr lang="en-US" sz="1400" b="1" i="0" u="none" strike="noStrike" cap="none" spc="0">
              <a:ln>
                <a:noFill/>
              </a:ln>
              <a:solidFill>
                <a:schemeClr val="accent3">
                  <a:lumMod val="60000"/>
                  <a:lumOff val="40000"/>
                </a:schemeClr>
              </a:solidFill>
              <a:effectLst/>
              <a:latin typeface="+mj-lt"/>
              <a:ea typeface="+mn-ea"/>
              <a:cs typeface="Calibri"/>
            </a:rPr>
            <a:pPr marL="0" indent="0" algn="ctr"/>
            <a:t>17</a:t>
          </a:fld>
          <a:endParaRPr lang="en-US" sz="1400" b="1" i="0" u="none" strike="noStrike" cap="none" spc="0">
            <a:ln>
              <a:noFill/>
            </a:ln>
            <a:solidFill>
              <a:schemeClr val="accent3">
                <a:lumMod val="60000"/>
                <a:lumOff val="40000"/>
              </a:schemeClr>
            </a:solidFill>
            <a:effectLst/>
            <a:latin typeface="+mj-lt"/>
            <a:ea typeface="+mn-ea"/>
            <a:cs typeface="Calibri"/>
          </a:endParaRPr>
        </a:p>
      </xdr:txBody>
    </xdr:sp>
    <xdr:clientData/>
  </xdr:twoCellAnchor>
  <xdr:twoCellAnchor>
    <xdr:from>
      <xdr:col>22</xdr:col>
      <xdr:colOff>21486</xdr:colOff>
      <xdr:row>74</xdr:row>
      <xdr:rowOff>45037</xdr:rowOff>
    </xdr:from>
    <xdr:to>
      <xdr:col>24</xdr:col>
      <xdr:colOff>11170</xdr:colOff>
      <xdr:row>75</xdr:row>
      <xdr:rowOff>41034</xdr:rowOff>
    </xdr:to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13165986" y="13693001"/>
          <a:ext cx="1105470" cy="186497"/>
        </a:xfrm>
        <a:prstGeom prst="rect">
          <a:avLst/>
        </a:prstGeom>
        <a:noFill/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Win</a:t>
          </a:r>
          <a:r>
            <a:rPr lang="en-US" sz="1400" b="1" baseline="0">
              <a:solidFill>
                <a:schemeClr val="bg1"/>
              </a:solidFill>
            </a:rPr>
            <a:t> %</a:t>
          </a:r>
          <a:endParaRPr 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570030</xdr:colOff>
      <xdr:row>75</xdr:row>
      <xdr:rowOff>87132</xdr:rowOff>
    </xdr:from>
    <xdr:to>
      <xdr:col>24</xdr:col>
      <xdr:colOff>74948</xdr:colOff>
      <xdr:row>76</xdr:row>
      <xdr:rowOff>134601</xdr:rowOff>
    </xdr:to>
    <xdr:sp macro="" textlink="Analysis!$U$168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13102209" y="13925596"/>
          <a:ext cx="1233025" cy="237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283D290B-4916-4EAD-A7BC-0169D29D51C4}" type="TxLink">
            <a:rPr lang="en-US" sz="1400" b="1" i="0" u="none" strike="noStrike" cap="none" spc="0">
              <a:ln>
                <a:noFill/>
              </a:ln>
              <a:solidFill>
                <a:schemeClr val="accent3">
                  <a:lumMod val="60000"/>
                  <a:lumOff val="40000"/>
                </a:schemeClr>
              </a:solidFill>
              <a:effectLst/>
              <a:latin typeface="+mj-lt"/>
              <a:ea typeface="+mn-ea"/>
              <a:cs typeface="Calibri"/>
            </a:rPr>
            <a:pPr marL="0" indent="0" algn="ctr"/>
            <a:t>47%</a:t>
          </a:fld>
          <a:endParaRPr lang="en-US" sz="1400" b="1" i="0" u="none" strike="noStrike" cap="none" spc="0">
            <a:ln>
              <a:noFill/>
            </a:ln>
            <a:solidFill>
              <a:schemeClr val="accent3">
                <a:lumMod val="60000"/>
                <a:lumOff val="40000"/>
              </a:schemeClr>
            </a:solidFill>
            <a:effectLst/>
            <a:latin typeface="+mj-lt"/>
            <a:ea typeface="+mn-ea"/>
            <a:cs typeface="Calibri"/>
          </a:endParaRPr>
        </a:p>
      </xdr:txBody>
    </xdr:sp>
    <xdr:clientData/>
  </xdr:twoCellAnchor>
  <xdr:twoCellAnchor>
    <xdr:from>
      <xdr:col>23</xdr:col>
      <xdr:colOff>95163</xdr:colOff>
      <xdr:row>71</xdr:row>
      <xdr:rowOff>97983</xdr:rowOff>
    </xdr:from>
    <xdr:to>
      <xdr:col>25</xdr:col>
      <xdr:colOff>115665</xdr:colOff>
      <xdr:row>72</xdr:row>
      <xdr:rowOff>125289</xdr:rowOff>
    </xdr:to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13892806" y="13174447"/>
          <a:ext cx="1095466" cy="217806"/>
        </a:xfrm>
        <a:prstGeom prst="rect">
          <a:avLst/>
        </a:prstGeom>
        <a:noFill/>
        <a:ln w="9525" cmpd="sng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>
              <a:solidFill>
                <a:schemeClr val="bg1"/>
              </a:solidFill>
            </a:rPr>
            <a:t>Won</a:t>
          </a:r>
        </a:p>
      </xdr:txBody>
    </xdr:sp>
    <xdr:clientData/>
  </xdr:twoCellAnchor>
  <xdr:twoCellAnchor>
    <xdr:from>
      <xdr:col>23</xdr:col>
      <xdr:colOff>94022</xdr:colOff>
      <xdr:row>73</xdr:row>
      <xdr:rowOff>2119</xdr:rowOff>
    </xdr:from>
    <xdr:to>
      <xdr:col>25</xdr:col>
      <xdr:colOff>117026</xdr:colOff>
      <xdr:row>74</xdr:row>
      <xdr:rowOff>29425</xdr:rowOff>
    </xdr:to>
    <xdr:sp macro="" textlink="Analysis!$T$168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13891665" y="13459583"/>
          <a:ext cx="1097968" cy="217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936C5B0-F831-4DC7-B5D2-1BAA44D68C1E}" type="TxLink">
            <a:rPr lang="en-US" sz="1400" b="1" i="0" u="none" strike="noStrike" cap="none" spc="0">
              <a:ln>
                <a:noFill/>
              </a:ln>
              <a:solidFill>
                <a:schemeClr val="accent3">
                  <a:lumMod val="60000"/>
                  <a:lumOff val="40000"/>
                </a:schemeClr>
              </a:solidFill>
              <a:effectLst/>
              <a:latin typeface="+mj-lt"/>
              <a:ea typeface="+mn-ea"/>
              <a:cs typeface="Calibri"/>
            </a:rPr>
            <a:pPr marL="0" indent="0" algn="ctr"/>
            <a:t>8</a:t>
          </a:fld>
          <a:endParaRPr lang="en-US" sz="1400" b="1" i="0" u="none" strike="noStrike" cap="none" spc="0">
            <a:ln>
              <a:noFill/>
            </a:ln>
            <a:solidFill>
              <a:schemeClr val="accent3">
                <a:lumMod val="60000"/>
                <a:lumOff val="40000"/>
              </a:schemeClr>
            </a:solidFill>
            <a:effectLst/>
            <a:latin typeface="+mj-lt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244926</xdr:colOff>
      <xdr:row>2</xdr:row>
      <xdr:rowOff>13605</xdr:rowOff>
    </xdr:from>
    <xdr:to>
      <xdr:col>3</xdr:col>
      <xdr:colOff>204105</xdr:colOff>
      <xdr:row>9</xdr:row>
      <xdr:rowOff>169715</xdr:rowOff>
    </xdr:to>
    <xdr:grpSp>
      <xdr:nvGrpSpPr>
        <xdr:cNvPr id="263" name="Group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GrpSpPr/>
      </xdr:nvGrpSpPr>
      <xdr:grpSpPr>
        <a:xfrm>
          <a:off x="244926" y="394605"/>
          <a:ext cx="1796143" cy="1489610"/>
          <a:chOff x="244928" y="394608"/>
          <a:chExt cx="1796143" cy="1489610"/>
        </a:xfrm>
      </xdr:grpSpPr>
      <xdr:pic>
        <xdr:nvPicPr>
          <xdr:cNvPr id="264" name="Graphic 263" descr="Scales of justice">
            <a:extLst>
              <a:ext uri="{FF2B5EF4-FFF2-40B4-BE49-F238E27FC236}">
                <a16:creationId xmlns:a16="http://schemas.microsoft.com/office/drawing/2014/main" id="{00000000-0008-0000-0100-000008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8"/>
              </a:ext>
            </a:extLst>
          </a:blip>
          <a:stretch>
            <a:fillRect/>
          </a:stretch>
        </xdr:blipFill>
        <xdr:spPr>
          <a:xfrm>
            <a:off x="745190" y="708366"/>
            <a:ext cx="795618" cy="807138"/>
          </a:xfrm>
          <a:prstGeom prst="rect">
            <a:avLst/>
          </a:prstGeom>
        </xdr:spPr>
      </xdr:pic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00000000-0008-0000-0100-000009010000}"/>
              </a:ext>
            </a:extLst>
          </xdr:cNvPr>
          <xdr:cNvSpPr/>
        </xdr:nvSpPr>
        <xdr:spPr>
          <a:xfrm>
            <a:off x="244928" y="394608"/>
            <a:ext cx="1796143" cy="1380492"/>
          </a:xfrm>
          <a:prstGeom prst="rect">
            <a:avLst/>
          </a:prstGeom>
          <a:noFill/>
        </xdr:spPr>
        <xdr:txBody>
          <a:bodyPr wrap="none" lIns="91440" tIns="45720" rIns="91440" bIns="45720">
            <a:prstTxWarp prst="textArchUp">
              <a:avLst>
                <a:gd name="adj" fmla="val 10432309"/>
              </a:avLst>
            </a:prstTxWarp>
            <a:spAutoFit/>
          </a:bodyPr>
          <a:lstStyle/>
          <a:p>
            <a:pPr algn="ctr"/>
            <a:r>
              <a:rPr lang="en-US" sz="2800" b="1" cap="none" spc="50">
                <a:ln w="0">
                  <a:solidFill>
                    <a:schemeClr val="bg1"/>
                  </a:solidFill>
                </a:ln>
                <a:solidFill>
                  <a:schemeClr val="bg1"/>
                </a:solidFill>
                <a:effectLst>
                  <a:innerShdw blurRad="63500" dist="50800" dir="13500000">
                    <a:schemeClr val="bg1">
                      <a:alpha val="50000"/>
                    </a:schemeClr>
                  </a:innerShdw>
                </a:effectLst>
              </a:rPr>
              <a:t>Law</a:t>
            </a:r>
            <a:r>
              <a:rPr lang="en-US" sz="2800" b="1" cap="none" spc="50" baseline="0">
                <a:ln w="0">
                  <a:solidFill>
                    <a:schemeClr val="bg1"/>
                  </a:solidFill>
                </a:ln>
                <a:solidFill>
                  <a:schemeClr val="bg1"/>
                </a:solidFill>
                <a:effectLst>
                  <a:innerShdw blurRad="63500" dist="50800" dir="13500000">
                    <a:schemeClr val="bg1">
                      <a:alpha val="50000"/>
                    </a:schemeClr>
                  </a:innerShdw>
                </a:effectLst>
              </a:rPr>
              <a:t> Firm</a:t>
            </a:r>
            <a:endParaRPr lang="en-US" sz="6000" b="1" cap="none" spc="50">
              <a:ln w="0">
                <a:solidFill>
                  <a:schemeClr val="bg1"/>
                </a:solidFill>
              </a:ln>
              <a:solidFill>
                <a:schemeClr val="bg1"/>
              </a:solidFill>
              <a:effectLst>
                <a:innerShdw blurRad="63500" dist="50800" dir="13500000">
                  <a:schemeClr val="bg1">
                    <a:alpha val="50000"/>
                  </a:schemeClr>
                </a:innerShdw>
              </a:effectLst>
            </a:endParaRP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00000000-0008-0000-0100-00000A010000}"/>
              </a:ext>
            </a:extLst>
          </xdr:cNvPr>
          <xdr:cNvSpPr/>
        </xdr:nvSpPr>
        <xdr:spPr>
          <a:xfrm>
            <a:off x="244928" y="503474"/>
            <a:ext cx="1796143" cy="1380744"/>
          </a:xfrm>
          <a:prstGeom prst="rect">
            <a:avLst/>
          </a:prstGeom>
          <a:noFill/>
        </xdr:spPr>
        <xdr:txBody>
          <a:bodyPr wrap="none" lIns="91440" tIns="45720" rIns="91440" bIns="45720">
            <a:prstTxWarp prst="textArchDown">
              <a:avLst/>
            </a:prstTxWarp>
            <a:spAutoFit/>
          </a:bodyPr>
          <a:lstStyle/>
          <a:p>
            <a:pPr algn="ctr"/>
            <a:r>
              <a:rPr lang="en-US" sz="1800" b="1" cap="none" spc="50" baseline="0">
                <a:ln w="0">
                  <a:solidFill>
                    <a:schemeClr val="bg1"/>
                  </a:solidFill>
                </a:ln>
                <a:solidFill>
                  <a:schemeClr val="bg1"/>
                </a:solidFill>
                <a:effectLst>
                  <a:innerShdw blurRad="63500" dist="50800" dir="13500000">
                    <a:schemeClr val="bg1">
                      <a:alpha val="50000"/>
                    </a:schemeClr>
                  </a:innerShdw>
                </a:effectLst>
              </a:rPr>
              <a:t>Dashboard</a:t>
            </a:r>
            <a:endParaRPr lang="en-US" sz="4400" b="1" cap="none" spc="50">
              <a:ln w="0">
                <a:solidFill>
                  <a:schemeClr val="bg1"/>
                </a:solidFill>
              </a:ln>
              <a:solidFill>
                <a:schemeClr val="bg1"/>
              </a:solidFill>
              <a:effectLst>
                <a:innerShdw blurRad="63500" dist="50800" dir="13500000">
                  <a:schemeClr val="bg1">
                    <a:alpha val="50000"/>
                  </a:schemeClr>
                </a:innerShdw>
              </a:effectLst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13608</xdr:colOff>
          <xdr:row>14</xdr:row>
          <xdr:rowOff>9526</xdr:rowOff>
        </xdr:from>
        <xdr:to>
          <xdr:col>21</xdr:col>
          <xdr:colOff>54429</xdr:colOff>
          <xdr:row>33</xdr:row>
          <xdr:rowOff>108858</xdr:rowOff>
        </xdr:to>
        <xdr:pic>
          <xdr:nvPicPr>
            <xdr:cNvPr id="267" name="Picture 266">
              <a:extLst>
                <a:ext uri="{FF2B5EF4-FFF2-40B4-BE49-F238E27FC236}">
                  <a16:creationId xmlns:a16="http://schemas.microsoft.com/office/drawing/2014/main" id="{00000000-0008-0000-0100-00000B01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K$135:$N$157" spid="_x0000_s70088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8586108" y="2608490"/>
              <a:ext cx="4000500" cy="3718832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16</xdr:col>
      <xdr:colOff>75275</xdr:colOff>
      <xdr:row>3</xdr:row>
      <xdr:rowOff>136071</xdr:rowOff>
    </xdr:from>
    <xdr:to>
      <xdr:col>21</xdr:col>
      <xdr:colOff>277986</xdr:colOff>
      <xdr:row>9</xdr:row>
      <xdr:rowOff>48018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GrpSpPr/>
      </xdr:nvGrpSpPr>
      <xdr:grpSpPr>
        <a:xfrm>
          <a:off x="9872418" y="707571"/>
          <a:ext cx="2937747" cy="1054947"/>
          <a:chOff x="9811942" y="691696"/>
          <a:chExt cx="2927919" cy="1023197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GrpSpPr/>
        </xdr:nvGrpSpPr>
        <xdr:grpSpPr>
          <a:xfrm>
            <a:off x="9811942" y="691696"/>
            <a:ext cx="2927919" cy="1023197"/>
            <a:chOff x="9676190" y="786190"/>
            <a:chExt cx="2914792" cy="1091233"/>
          </a:xfrm>
        </xdr:grpSpPr>
        <xdr:sp macro="" textlink="">
          <xdr:nvSpPr>
            <xdr:cNvPr id="15" name="Rectangle: Top Corners Rounded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SpPr/>
          </xdr:nvSpPr>
          <xdr:spPr>
            <a:xfrm rot="5400000">
              <a:off x="10688128" y="-25430"/>
              <a:ext cx="1091233" cy="2714474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6" name="Rectangle: Top Corners Rounded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/>
          </xdr:nvSpPr>
          <xdr:spPr>
            <a:xfrm rot="16200000">
              <a:off x="9224973" y="1237407"/>
              <a:ext cx="1091233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4">
                <a:lumMod val="75000"/>
              </a:schemeClr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10848972" y="737981"/>
            <a:ext cx="1830819" cy="31146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baseline="0">
                <a:solidFill>
                  <a:schemeClr val="accent4">
                    <a:lumMod val="75000"/>
                  </a:schemeClr>
                </a:solidFill>
              </a:rPr>
              <a:t>Avg Cases / Lawyer</a:t>
            </a:r>
            <a:endParaRPr lang="en-US" sz="1600" b="1">
              <a:solidFill>
                <a:schemeClr val="accent4">
                  <a:lumMod val="75000"/>
                </a:schemeClr>
              </a:solidFill>
            </a:endParaRP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>
            <a:off x="10782747" y="921335"/>
            <a:ext cx="0" cy="541102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Analysis!$E$99">
        <xdr:nvSpPr>
          <xdr:cNvPr id="14" name="Rectangle: Rounded Corners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1078461" y="1111254"/>
            <a:ext cx="1054439" cy="462348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A38EA0EC-1981-40C8-816C-A6443688E017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1</a:t>
            </a:fld>
            <a:endParaRPr lang="en-US" sz="2400" b="1">
              <a:latin typeface="+mj-lt"/>
            </a:endParaRPr>
          </a:p>
        </xdr:txBody>
      </xdr:sp>
      <xdr:pic>
        <xdr:nvPicPr>
          <xdr:cNvPr id="65" name="Graphic 64" descr="User network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1"/>
              </a:ext>
            </a:extLst>
          </a:blip>
          <a:stretch>
            <a:fillRect/>
          </a:stretch>
        </xdr:blipFill>
        <xdr:spPr>
          <a:xfrm>
            <a:off x="10067394" y="833437"/>
            <a:ext cx="676276" cy="676276"/>
          </a:xfrm>
          <a:prstGeom prst="rect">
            <a:avLst/>
          </a:prstGeom>
        </xdr:spPr>
      </xdr:pic>
    </xdr:grpSp>
    <xdr:clientData/>
  </xdr:twoCellAnchor>
  <xdr:twoCellAnchor>
    <xdr:from>
      <xdr:col>22</xdr:col>
      <xdr:colOff>393165</xdr:colOff>
      <xdr:row>3</xdr:row>
      <xdr:rowOff>100692</xdr:rowOff>
    </xdr:from>
    <xdr:to>
      <xdr:col>28</xdr:col>
      <xdr:colOff>24421</xdr:colOff>
      <xdr:row>9</xdr:row>
      <xdr:rowOff>48018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GrpSpPr/>
      </xdr:nvGrpSpPr>
      <xdr:grpSpPr>
        <a:xfrm>
          <a:off x="13537665" y="672192"/>
          <a:ext cx="3196327" cy="1090326"/>
          <a:chOff x="13463582" y="656317"/>
          <a:chExt cx="3189902" cy="1058576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GrpSpPr/>
        </xdr:nvGrpSpPr>
        <xdr:grpSpPr>
          <a:xfrm>
            <a:off x="13463582" y="690666"/>
            <a:ext cx="3189902" cy="1024227"/>
            <a:chOff x="12999281" y="786190"/>
            <a:chExt cx="2898237" cy="1091233"/>
          </a:xfrm>
        </xdr:grpSpPr>
        <xdr:sp macro="" textlink="">
          <xdr:nvSpPr>
            <xdr:cNvPr id="23" name="Rectangle: Top Corners Rounded 22">
              <a:extLst>
                <a:ext uri="{FF2B5EF4-FFF2-40B4-BE49-F238E27FC236}">
                  <a16:creationId xmlns:a16="http://schemas.microsoft.com/office/drawing/2014/main" id="{00000000-0008-0000-0100-000017000000}"/>
                </a:ext>
              </a:extLst>
            </xdr:cNvPr>
            <xdr:cNvSpPr/>
          </xdr:nvSpPr>
          <xdr:spPr>
            <a:xfrm rot="5400000">
              <a:off x="13996932" y="-23162"/>
              <a:ext cx="1091233" cy="2709938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4" name="Rectangle: Top Corners Rounded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SpPr/>
          </xdr:nvSpPr>
          <xdr:spPr>
            <a:xfrm rot="16200000">
              <a:off x="12548064" y="1237407"/>
              <a:ext cx="1091233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6">
                <a:lumMod val="75000"/>
              </a:schemeClr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 txBox="1"/>
        </xdr:nvSpPr>
        <xdr:spPr>
          <a:xfrm>
            <a:off x="14564966" y="656317"/>
            <a:ext cx="1916232" cy="5759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600" b="1">
                <a:solidFill>
                  <a:schemeClr val="accent6">
                    <a:lumMod val="75000"/>
                  </a:schemeClr>
                </a:solidFill>
              </a:rPr>
              <a:t>Top Graded Lawyers</a:t>
            </a:r>
            <a:endParaRPr lang="en-US" sz="1600" b="1" baseline="0">
              <a:solidFill>
                <a:schemeClr val="accent6">
                  <a:lumMod val="75000"/>
                </a:schemeClr>
              </a:solidFill>
            </a:endParaRPr>
          </a:p>
          <a:p>
            <a:pPr algn="ctr"/>
            <a:r>
              <a:rPr lang="en-US" sz="1400" b="1" baseline="0">
                <a:solidFill>
                  <a:schemeClr val="accent6">
                    <a:lumMod val="75000"/>
                  </a:schemeClr>
                </a:solidFill>
              </a:rPr>
              <a:t>(A &amp; B)</a:t>
            </a:r>
            <a:endParaRPr lang="en-US" sz="1400" b="1">
              <a:solidFill>
                <a:schemeClr val="accent6">
                  <a:lumMod val="75000"/>
                </a:schemeClr>
              </a:solidFill>
            </a:endParaRPr>
          </a:p>
        </xdr:txBody>
      </xdr: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>
            <a:off x="14484234" y="909968"/>
            <a:ext cx="0" cy="541647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Analysis!$E$101">
        <xdr:nvSpPr>
          <xdr:cNvPr id="22" name="Rectangle: Rounded Corners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4744793" y="1090166"/>
            <a:ext cx="1615607" cy="528088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C8B1D6A7-B15D-4A2F-A4FF-FBB7B3BA86F7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10</a:t>
            </a:fld>
            <a:endParaRPr lang="en-US" sz="2400" b="1">
              <a:latin typeface="+mj-lt"/>
            </a:endParaRPr>
          </a:p>
        </xdr:txBody>
      </xdr:sp>
      <xdr:pic>
        <xdr:nvPicPr>
          <xdr:cNvPr id="67" name="Graphic 66" descr="Business Growth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3"/>
              </a:ext>
            </a:extLst>
          </a:blip>
          <a:stretch>
            <a:fillRect/>
          </a:stretch>
        </xdr:blipFill>
        <xdr:spPr>
          <a:xfrm>
            <a:off x="13771563" y="859895"/>
            <a:ext cx="649817" cy="649817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476250</xdr:colOff>
      <xdr:row>12</xdr:row>
      <xdr:rowOff>27215</xdr:rowOff>
    </xdr:from>
    <xdr:to>
      <xdr:col>28</xdr:col>
      <xdr:colOff>70434</xdr:colOff>
      <xdr:row>34</xdr:row>
      <xdr:rowOff>176893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110357" y="2245179"/>
          <a:ext cx="4669648" cy="4340678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517071</xdr:colOff>
      <xdr:row>12</xdr:row>
      <xdr:rowOff>27215</xdr:rowOff>
    </xdr:from>
    <xdr:to>
      <xdr:col>19</xdr:col>
      <xdr:colOff>421822</xdr:colOff>
      <xdr:row>34</xdr:row>
      <xdr:rowOff>176893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7252607" y="2245179"/>
          <a:ext cx="4803322" cy="4340678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428621</xdr:colOff>
      <xdr:row>60</xdr:row>
      <xdr:rowOff>107617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2254246" cy="1116720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304805</xdr:colOff>
      <xdr:row>23</xdr:row>
      <xdr:rowOff>78673</xdr:rowOff>
    </xdr:from>
    <xdr:to>
      <xdr:col>4</xdr:col>
      <xdr:colOff>559059</xdr:colOff>
      <xdr:row>29</xdr:row>
      <xdr:rowOff>19058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GrpSpPr/>
      </xdr:nvGrpSpPr>
      <xdr:grpSpPr>
        <a:xfrm>
          <a:off x="917126" y="4392137"/>
          <a:ext cx="2091219" cy="1083385"/>
          <a:chOff x="913347" y="4285548"/>
          <a:chExt cx="2079879" cy="1051635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GrpSpPr/>
        </xdr:nvGrpSpPr>
        <xdr:grpSpPr>
          <a:xfrm>
            <a:off x="913347" y="4285548"/>
            <a:ext cx="2079879" cy="1051635"/>
            <a:chOff x="913347" y="4285548"/>
            <a:chExt cx="2079879" cy="1051635"/>
          </a:xfrm>
        </xdr:grpSpPr>
        <xdr:sp macro="" textlink="">
          <xdr:nvSpPr>
            <xdr:cNvPr id="5" name="Rectangle: Top Corners Rounded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/>
          </xdr:nvSpPr>
          <xdr:spPr>
            <a:xfrm rot="16200000">
              <a:off x="1278836" y="4231605"/>
              <a:ext cx="425444" cy="1156421"/>
            </a:xfrm>
            <a:prstGeom prst="round2SameRect">
              <a:avLst/>
            </a:prstGeom>
            <a:solidFill>
              <a:schemeClr val="tx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>
                    <a:lumMod val="65000"/>
                    <a:lumOff val="35000"/>
                  </a:schemeClr>
                </a:solidFill>
              </a:endParaRPr>
            </a:p>
          </xdr:txBody>
        </xdr:sp>
        <xdr:sp macro="" textlink="">
          <xdr:nvSpPr>
            <xdr:cNvPr id="6" name="Plaque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1937001" y="4285548"/>
              <a:ext cx="1056225" cy="1051635"/>
            </a:xfrm>
            <a:prstGeom prst="plaque">
              <a:avLst>
                <a:gd name="adj" fmla="val 32397"/>
              </a:avLst>
            </a:prstGeom>
            <a:solidFill>
              <a:schemeClr val="tx2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922164" y="4690817"/>
            <a:ext cx="954744" cy="24318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US" sz="1600" b="1"/>
              <a:t>Clients</a:t>
            </a:r>
            <a:endParaRPr lang="en-US" sz="2400" b="1"/>
          </a:p>
        </xdr:txBody>
      </xdr:sp>
    </xdr:grpSp>
    <xdr:clientData/>
  </xdr:twoCellAnchor>
  <xdr:twoCellAnchor>
    <xdr:from>
      <xdr:col>11</xdr:col>
      <xdr:colOff>602783</xdr:colOff>
      <xdr:row>11</xdr:row>
      <xdr:rowOff>192016</xdr:rowOff>
    </xdr:from>
    <xdr:to>
      <xdr:col>17</xdr:col>
      <xdr:colOff>408215</xdr:colOff>
      <xdr:row>14</xdr:row>
      <xdr:rowOff>18146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7338319" y="2165052"/>
          <a:ext cx="3479360" cy="45205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  <a:latin typeface="+mj-lt"/>
            </a:rPr>
            <a:t>YTD Analysis based on Client Name</a:t>
          </a:r>
        </a:p>
      </xdr:txBody>
    </xdr:sp>
    <xdr:clientData/>
  </xdr:twoCellAnchor>
  <xdr:twoCellAnchor>
    <xdr:from>
      <xdr:col>19</xdr:col>
      <xdr:colOff>198360</xdr:colOff>
      <xdr:row>11</xdr:row>
      <xdr:rowOff>201465</xdr:rowOff>
    </xdr:from>
    <xdr:to>
      <xdr:col>26</xdr:col>
      <xdr:colOff>285750</xdr:colOff>
      <xdr:row>14</xdr:row>
      <xdr:rowOff>40690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1760652" y="2119694"/>
          <a:ext cx="3937077" cy="46099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  <a:latin typeface="+mj-lt"/>
              <a:ea typeface="+mn-ea"/>
              <a:cs typeface="+mn-cs"/>
            </a:rPr>
            <a:t>MTD</a:t>
          </a:r>
          <a:r>
            <a:rPr lang="en-US" sz="1600" b="1">
              <a:solidFill>
                <a:schemeClr val="bg1"/>
              </a:solidFill>
              <a:latin typeface="+mj-lt"/>
            </a:rPr>
            <a:t> </a:t>
          </a:r>
          <a:r>
            <a:rPr lang="en-US" sz="1800" b="1">
              <a:solidFill>
                <a:schemeClr val="bg1"/>
              </a:solidFill>
              <a:latin typeface="+mj-lt"/>
              <a:ea typeface="+mn-ea"/>
              <a:cs typeface="+mn-cs"/>
            </a:rPr>
            <a:t>Analysis</a:t>
          </a:r>
          <a:r>
            <a:rPr lang="en-US" sz="1600" b="1">
              <a:solidFill>
                <a:schemeClr val="bg1"/>
              </a:solidFill>
              <a:latin typeface="+mj-lt"/>
            </a:rPr>
            <a:t>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 Light" panose="020F0302020204030204"/>
              <a:ea typeface="+mn-ea"/>
              <a:cs typeface="+mn-cs"/>
            </a:rPr>
            <a:t>based on Client Name</a:t>
          </a:r>
          <a:endParaRPr lang="en-US" sz="1600" b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3</xdr:col>
      <xdr:colOff>451757</xdr:colOff>
      <xdr:row>0</xdr:row>
      <xdr:rowOff>21776</xdr:rowOff>
    </xdr:from>
    <xdr:to>
      <xdr:col>5</xdr:col>
      <xdr:colOff>190500</xdr:colOff>
      <xdr:row>32</xdr:row>
      <xdr:rowOff>3</xdr:rowOff>
    </xdr:to>
    <xdr:sp macro="" textlink="">
      <xdr:nvSpPr>
        <xdr:cNvPr id="38" name="Rectangle: Top Corners Rounded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 rot="5400000">
          <a:off x="-261897" y="2550783"/>
          <a:ext cx="6006992" cy="948978"/>
        </a:xfrm>
        <a:prstGeom prst="round2SameRect">
          <a:avLst>
            <a:gd name="adj1" fmla="val 4670"/>
            <a:gd name="adj2" fmla="val 679"/>
          </a:avLst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83848</xdr:colOff>
      <xdr:row>3</xdr:row>
      <xdr:rowOff>136071</xdr:rowOff>
    </xdr:from>
    <xdr:to>
      <xdr:col>14</xdr:col>
      <xdr:colOff>579455</xdr:colOff>
      <xdr:row>9</xdr:row>
      <xdr:rowOff>48019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6207062" y="707571"/>
          <a:ext cx="2944893" cy="1054948"/>
          <a:chOff x="6169265" y="691696"/>
          <a:chExt cx="2929773" cy="1023198"/>
        </a:xfrm>
      </xdr:grpSpPr>
      <xdr:sp macro="" textlink="">
        <xdr:nvSpPr>
          <xdr:cNvPr id="45" name="Rectangle: Top Corners Rounded 44">
            <a:extLst>
              <a:ext uri="{FF2B5EF4-FFF2-40B4-BE49-F238E27FC236}">
                <a16:creationId xmlns:a16="http://schemas.microsoft.com/office/drawing/2014/main" id="{00000000-0008-0000-0200-00002D000000}"/>
              </a:ext>
            </a:extLst>
          </xdr:cNvPr>
          <xdr:cNvSpPr/>
        </xdr:nvSpPr>
        <xdr:spPr>
          <a:xfrm rot="5400000">
            <a:off x="7223279" y="-160865"/>
            <a:ext cx="1023197" cy="2728321"/>
          </a:xfrm>
          <a:prstGeom prst="round2SameRect">
            <a:avLst/>
          </a:prstGeom>
          <a:ln>
            <a:noFill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6" name="Rectangle: Top Corners Rounded 45">
            <a:extLst>
              <a:ext uri="{FF2B5EF4-FFF2-40B4-BE49-F238E27FC236}">
                <a16:creationId xmlns:a16="http://schemas.microsoft.com/office/drawing/2014/main" id="{00000000-0008-0000-0200-00002E000000}"/>
              </a:ext>
            </a:extLst>
          </xdr:cNvPr>
          <xdr:cNvSpPr/>
        </xdr:nvSpPr>
        <xdr:spPr>
          <a:xfrm rot="16200000">
            <a:off x="5752600" y="1108361"/>
            <a:ext cx="1023197" cy="189868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1">
              <a:lumMod val="50000"/>
            </a:schemeClr>
          </a:solidFill>
          <a:ln>
            <a:noFill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41" name="Graphic 40" descr="Checklist RTL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304952" y="910624"/>
            <a:ext cx="616413" cy="585341"/>
          </a:xfrm>
          <a:prstGeom prst="rect">
            <a:avLst/>
          </a:prstGeom>
        </xdr:spPr>
      </xdr:pic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 txBox="1"/>
        </xdr:nvSpPr>
        <xdr:spPr>
          <a:xfrm>
            <a:off x="7482420" y="736567"/>
            <a:ext cx="1304301" cy="31674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baseline="0">
                <a:solidFill>
                  <a:schemeClr val="accent1">
                    <a:lumMod val="50000"/>
                  </a:schemeClr>
                </a:solidFill>
              </a:rPr>
              <a:t>Total Cases</a:t>
            </a:r>
            <a:endParaRPr lang="en-US" sz="1600" b="1">
              <a:solidFill>
                <a:schemeClr val="accent1">
                  <a:lumMod val="50000"/>
                </a:schemeClr>
              </a:solidFill>
            </a:endParaRPr>
          </a:p>
        </xdr:txBody>
      </xdr: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00000000-0008-0000-0200-00002B000000}"/>
              </a:ext>
            </a:extLst>
          </xdr:cNvPr>
          <xdr:cNvCxnSpPr/>
        </xdr:nvCxnSpPr>
        <xdr:spPr>
          <a:xfrm>
            <a:off x="7130201" y="905498"/>
            <a:ext cx="0" cy="541102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Analysis!$D$189">
        <xdr:nvSpPr>
          <xdr:cNvPr id="44" name="Rectangle: Rounded Corners 43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SpPr/>
        </xdr:nvSpPr>
        <xdr:spPr>
          <a:xfrm>
            <a:off x="7544318" y="1090016"/>
            <a:ext cx="1055656" cy="462348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F72AAD5E-6E30-490F-8032-D84596042160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501</a:t>
            </a:fld>
            <a:endParaRPr lang="en-US" sz="2400" b="1">
              <a:latin typeface="+mj-lt"/>
            </a:endParaRPr>
          </a:p>
        </xdr:txBody>
      </xdr:sp>
    </xdr:grpSp>
    <xdr:clientData/>
  </xdr:twoCellAnchor>
  <xdr:twoCellAnchor>
    <xdr:from>
      <xdr:col>4</xdr:col>
      <xdr:colOff>99143</xdr:colOff>
      <xdr:row>3</xdr:row>
      <xdr:rowOff>130024</xdr:rowOff>
    </xdr:from>
    <xdr:to>
      <xdr:col>8</xdr:col>
      <xdr:colOff>588028</xdr:colOff>
      <xdr:row>9</xdr:row>
      <xdr:rowOff>48018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GrpSpPr/>
      </xdr:nvGrpSpPr>
      <xdr:grpSpPr>
        <a:xfrm>
          <a:off x="2548429" y="701524"/>
          <a:ext cx="2938170" cy="1060994"/>
          <a:chOff x="2523688" y="701524"/>
          <a:chExt cx="2913431" cy="1060994"/>
        </a:xfrm>
      </xdr:grpSpPr>
      <xdr:grpSp>
        <xdr:nvGrpSpPr>
          <xdr:cNvPr id="48" name="Group 47">
            <a:extLst>
              <a:ext uri="{FF2B5EF4-FFF2-40B4-BE49-F238E27FC236}">
                <a16:creationId xmlns:a16="http://schemas.microsoft.com/office/drawing/2014/main" id="{00000000-0008-0000-0200-000030000000}"/>
              </a:ext>
            </a:extLst>
          </xdr:cNvPr>
          <xdr:cNvGrpSpPr/>
        </xdr:nvGrpSpPr>
        <xdr:grpSpPr>
          <a:xfrm>
            <a:off x="2523688" y="701524"/>
            <a:ext cx="2913431" cy="1060994"/>
            <a:chOff x="2460729" y="725714"/>
            <a:chExt cx="2913280" cy="1097280"/>
          </a:xfrm>
        </xdr:grpSpPr>
        <xdr:sp macro="" textlink="">
          <xdr:nvSpPr>
            <xdr:cNvPr id="53" name="Rectangle: Top Corners Rounded 52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SpPr/>
          </xdr:nvSpPr>
          <xdr:spPr>
            <a:xfrm rot="5400000">
              <a:off x="3468888" y="-82127"/>
              <a:ext cx="1097280" cy="2712962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" name="Rectangle: Top Corners Rounded 53">
              <a:extLst>
                <a:ext uri="{FF2B5EF4-FFF2-40B4-BE49-F238E27FC236}">
                  <a16:creationId xmlns:a16="http://schemas.microsoft.com/office/drawing/2014/main" id="{00000000-0008-0000-0200-000036000000}"/>
                </a:ext>
              </a:extLst>
            </xdr:cNvPr>
            <xdr:cNvSpPr/>
          </xdr:nvSpPr>
          <xdr:spPr>
            <a:xfrm rot="16200000">
              <a:off x="2006489" y="1179954"/>
              <a:ext cx="1097280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49" name="Graphic 48" descr="Clipboard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670716" y="928108"/>
            <a:ext cx="603546" cy="607451"/>
          </a:xfrm>
          <a:prstGeom prst="rect">
            <a:avLst/>
          </a:prstGeom>
        </xdr:spPr>
      </xdr:pic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SpPr txBox="1"/>
        </xdr:nvSpPr>
        <xdr:spPr>
          <a:xfrm>
            <a:off x="3843957" y="747599"/>
            <a:ext cx="1306921" cy="3001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>
                <a:solidFill>
                  <a:schemeClr val="accent2"/>
                </a:solidFill>
              </a:rPr>
              <a:t>Total</a:t>
            </a:r>
            <a:r>
              <a:rPr lang="en-US" sz="1600" b="1" baseline="0">
                <a:solidFill>
                  <a:schemeClr val="accent2"/>
                </a:solidFill>
              </a:rPr>
              <a:t> Clients</a:t>
            </a:r>
            <a:endParaRPr lang="en-US" sz="1600" b="1">
              <a:solidFill>
                <a:schemeClr val="accent2"/>
              </a:solidFill>
            </a:endParaRPr>
          </a:p>
        </xdr:txBody>
      </xdr:sp>
      <xdr:sp macro="" textlink="Analysis!$D$188">
        <xdr:nvSpPr>
          <xdr:cNvPr id="51" name="Rectangle: Rounded Corners 50">
            <a:extLst>
              <a:ext uri="{FF2B5EF4-FFF2-40B4-BE49-F238E27FC236}">
                <a16:creationId xmlns:a16="http://schemas.microsoft.com/office/drawing/2014/main" id="{00000000-0008-0000-0200-000033000000}"/>
              </a:ext>
            </a:extLst>
          </xdr:cNvPr>
          <xdr:cNvSpPr/>
        </xdr:nvSpPr>
        <xdr:spPr>
          <a:xfrm>
            <a:off x="3867953" y="1118063"/>
            <a:ext cx="1052190" cy="470648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653E8B18-87E3-4A85-87F8-7A17518638F1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22</a:t>
            </a:fld>
            <a:endParaRPr lang="en-US" sz="2400" b="1">
              <a:latin typeface="+mj-lt"/>
            </a:endParaRPr>
          </a:p>
        </xdr:txBody>
      </xdr: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000000-0008-0000-0200-000034000000}"/>
              </a:ext>
            </a:extLst>
          </xdr:cNvPr>
          <xdr:cNvCxnSpPr/>
        </xdr:nvCxnSpPr>
        <xdr:spPr>
          <a:xfrm>
            <a:off x="3509966" y="932658"/>
            <a:ext cx="0" cy="557893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529167</xdr:colOff>
      <xdr:row>12</xdr:row>
      <xdr:rowOff>27215</xdr:rowOff>
    </xdr:from>
    <xdr:to>
      <xdr:col>11</xdr:col>
      <xdr:colOff>459441</xdr:colOff>
      <xdr:row>34</xdr:row>
      <xdr:rowOff>176893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2354792" y="2196798"/>
          <a:ext cx="4798607" cy="4224262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574524</xdr:colOff>
      <xdr:row>11</xdr:row>
      <xdr:rowOff>193225</xdr:rowOff>
    </xdr:from>
    <xdr:to>
      <xdr:col>10</xdr:col>
      <xdr:colOff>272143</xdr:colOff>
      <xdr:row>14</xdr:row>
      <xdr:rowOff>19355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>
          <a:off x="2403324" y="2164900"/>
          <a:ext cx="3964819" cy="45478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Case Analysis based</a:t>
          </a:r>
          <a:r>
            <a:rPr lang="en-US" sz="1800" b="1" baseline="0">
              <a:solidFill>
                <a:schemeClr val="bg1"/>
              </a:solidFill>
              <a:latin typeface="+mj-lt"/>
            </a:rPr>
            <a:t> on</a:t>
          </a:r>
          <a:r>
            <a:rPr lang="en-US" sz="1800" b="1">
              <a:solidFill>
                <a:schemeClr val="bg1"/>
              </a:solidFill>
              <a:latin typeface="+mj-lt"/>
            </a:rPr>
            <a:t> Client</a:t>
          </a:r>
        </a:p>
      </xdr:txBody>
    </xdr:sp>
    <xdr:clientData/>
  </xdr:twoCellAnchor>
  <xdr:twoCellAnchor>
    <xdr:from>
      <xdr:col>3</xdr:col>
      <xdr:colOff>529167</xdr:colOff>
      <xdr:row>35</xdr:row>
      <xdr:rowOff>122464</xdr:rowOff>
    </xdr:from>
    <xdr:to>
      <xdr:col>34</xdr:col>
      <xdr:colOff>549088</xdr:colOff>
      <xdr:row>60</xdr:row>
      <xdr:rowOff>163285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354792" y="6551839"/>
          <a:ext cx="18474609" cy="4671029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0</xdr:colOff>
      <xdr:row>35</xdr:row>
      <xdr:rowOff>96482</xdr:rowOff>
    </xdr:from>
    <xdr:to>
      <xdr:col>12</xdr:col>
      <xdr:colOff>81643</xdr:colOff>
      <xdr:row>37</xdr:row>
      <xdr:rowOff>165066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2449286" y="6695946"/>
          <a:ext cx="4980214" cy="44958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Client wise TAT Analysis</a:t>
          </a:r>
        </a:p>
      </xdr:txBody>
    </xdr:sp>
    <xdr:clientData/>
  </xdr:twoCellAnchor>
  <xdr:twoCellAnchor>
    <xdr:from>
      <xdr:col>12</xdr:col>
      <xdr:colOff>80844</xdr:colOff>
      <xdr:row>39</xdr:row>
      <xdr:rowOff>149678</xdr:rowOff>
    </xdr:from>
    <xdr:to>
      <xdr:col>12</xdr:col>
      <xdr:colOff>81645</xdr:colOff>
      <xdr:row>55</xdr:row>
      <xdr:rowOff>148065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/>
      </xdr:nvCxnSpPr>
      <xdr:spPr>
        <a:xfrm flipH="1">
          <a:off x="7428701" y="7511142"/>
          <a:ext cx="801" cy="3046387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112060</xdr:colOff>
      <xdr:row>28</xdr:row>
      <xdr:rowOff>156882</xdr:rowOff>
    </xdr:from>
    <xdr:to>
      <xdr:col>3</xdr:col>
      <xdr:colOff>381001</xdr:colOff>
      <xdr:row>30</xdr:row>
      <xdr:rowOff>78441</xdr:rowOff>
    </xdr:to>
    <xdr:sp macro="" textlink="">
      <xdr:nvSpPr>
        <xdr:cNvPr id="78" name="TextBox 7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1331260" y="5424207"/>
          <a:ext cx="878541" cy="302559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</a:rPr>
            <a:t>Billing</a:t>
          </a:r>
        </a:p>
      </xdr:txBody>
    </xdr:sp>
    <xdr:clientData/>
  </xdr:twoCellAnchor>
  <xdr:twoCellAnchor>
    <xdr:from>
      <xdr:col>2</xdr:col>
      <xdr:colOff>100854</xdr:colOff>
      <xdr:row>18</xdr:row>
      <xdr:rowOff>78441</xdr:rowOff>
    </xdr:from>
    <xdr:to>
      <xdr:col>3</xdr:col>
      <xdr:colOff>369795</xdr:colOff>
      <xdr:row>20</xdr:row>
      <xdr:rowOff>0</xdr:rowOff>
    </xdr:to>
    <xdr:sp macro="" textlink="">
      <xdr:nvSpPr>
        <xdr:cNvPr id="79" name="TextBox 7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1320054" y="3440766"/>
          <a:ext cx="878541" cy="302559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</a:rPr>
            <a:t>Cases</a:t>
          </a:r>
        </a:p>
      </xdr:txBody>
    </xdr:sp>
    <xdr:clientData/>
  </xdr:twoCellAnchor>
  <xdr:twoCellAnchor>
    <xdr:from>
      <xdr:col>2</xdr:col>
      <xdr:colOff>11206</xdr:colOff>
      <xdr:row>22</xdr:row>
      <xdr:rowOff>11206</xdr:rowOff>
    </xdr:from>
    <xdr:to>
      <xdr:col>3</xdr:col>
      <xdr:colOff>280147</xdr:colOff>
      <xdr:row>23</xdr:row>
      <xdr:rowOff>123265</xdr:rowOff>
    </xdr:to>
    <xdr:sp macro="" textlink="">
      <xdr:nvSpPr>
        <xdr:cNvPr id="80" name="TextBox 7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1221441" y="4134971"/>
          <a:ext cx="874059" cy="302559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</a:rPr>
            <a:t>Lawyers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133351</xdr:rowOff>
        </xdr:from>
        <xdr:to>
          <xdr:col>11</xdr:col>
          <xdr:colOff>401115</xdr:colOff>
          <xdr:row>34</xdr:row>
          <xdr:rowOff>81643</xdr:rowOff>
        </xdr:to>
        <xdr:pic>
          <xdr:nvPicPr>
            <xdr:cNvPr id="70" name="Picture 69">
              <a:extLst>
                <a:ext uri="{FF2B5EF4-FFF2-40B4-BE49-F238E27FC236}">
                  <a16:creationId xmlns:a16="http://schemas.microsoft.com/office/drawing/2014/main" id="{00000000-0008-0000-0200-00004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B$196:$F$218" spid="_x0000_s53176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2434167" y="2488143"/>
              <a:ext cx="4660906" cy="383766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537883</xdr:colOff>
          <xdr:row>13</xdr:row>
          <xdr:rowOff>133350</xdr:rowOff>
        </xdr:from>
        <xdr:to>
          <xdr:col>28</xdr:col>
          <xdr:colOff>3949</xdr:colOff>
          <xdr:row>34</xdr:row>
          <xdr:rowOff>96921</xdr:rowOff>
        </xdr:to>
        <xdr:pic>
          <xdr:nvPicPr>
            <xdr:cNvPr id="72" name="Picture 71">
              <a:extLst>
                <a:ext uri="{FF2B5EF4-FFF2-40B4-BE49-F238E27FC236}">
                  <a16:creationId xmlns:a16="http://schemas.microsoft.com/office/drawing/2014/main" id="{00000000-0008-0000-0200-000048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H$196:$L$218" spid="_x0000_s53177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2035118" y="2542615"/>
              <a:ext cx="4508713" cy="3964071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571500</xdr:colOff>
          <xdr:row>13</xdr:row>
          <xdr:rowOff>133351</xdr:rowOff>
        </xdr:from>
        <xdr:to>
          <xdr:col>19</xdr:col>
          <xdr:colOff>381000</xdr:colOff>
          <xdr:row>34</xdr:row>
          <xdr:rowOff>95250</xdr:rowOff>
        </xdr:to>
        <xdr:pic>
          <xdr:nvPicPr>
            <xdr:cNvPr id="74" name="Picture 73">
              <a:extLst>
                <a:ext uri="{FF2B5EF4-FFF2-40B4-BE49-F238E27FC236}">
                  <a16:creationId xmlns:a16="http://schemas.microsoft.com/office/drawing/2014/main" id="{00000000-0008-0000-0200-00004A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H$222:$L$244" spid="_x0000_s53178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7307036" y="2541815"/>
              <a:ext cx="4708071" cy="396239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66146</xdr:colOff>
          <xdr:row>38</xdr:row>
          <xdr:rowOff>57150</xdr:rowOff>
        </xdr:from>
        <xdr:to>
          <xdr:col>11</xdr:col>
          <xdr:colOff>190500</xdr:colOff>
          <xdr:row>60</xdr:row>
          <xdr:rowOff>39461</xdr:rowOff>
        </xdr:to>
        <xdr:pic>
          <xdr:nvPicPr>
            <xdr:cNvPr id="76" name="Picture 75">
              <a:extLst>
                <a:ext uri="{FF2B5EF4-FFF2-40B4-BE49-F238E27FC236}">
                  <a16:creationId xmlns:a16="http://schemas.microsoft.com/office/drawing/2014/main" id="{00000000-0008-0000-0200-00004C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B$222:$D$244" spid="_x0000_s53179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2500313" y="7042150"/>
              <a:ext cx="4384145" cy="405689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521162</xdr:colOff>
          <xdr:row>38</xdr:row>
          <xdr:rowOff>57150</xdr:rowOff>
        </xdr:from>
        <xdr:to>
          <xdr:col>25</xdr:col>
          <xdr:colOff>4091</xdr:colOff>
          <xdr:row>60</xdr:row>
          <xdr:rowOff>27215</xdr:rowOff>
        </xdr:to>
        <xdr:pic>
          <xdr:nvPicPr>
            <xdr:cNvPr id="77" name="Picture 76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B$248:$G$270" spid="_x0000_s53180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7869019" y="7228114"/>
              <a:ext cx="7007679" cy="416106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13</xdr:col>
      <xdr:colOff>274868</xdr:colOff>
      <xdr:row>35</xdr:row>
      <xdr:rowOff>112810</xdr:rowOff>
    </xdr:from>
    <xdr:to>
      <xdr:col>22</xdr:col>
      <xdr:colOff>70761</xdr:colOff>
      <xdr:row>37</xdr:row>
      <xdr:rowOff>181394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8235047" y="6712274"/>
          <a:ext cx="4980214" cy="44958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Billing Detail of Client</a:t>
          </a:r>
        </a:p>
      </xdr:txBody>
    </xdr:sp>
    <xdr:clientData/>
  </xdr:twoCellAnchor>
  <xdr:twoCellAnchor>
    <xdr:from>
      <xdr:col>28</xdr:col>
      <xdr:colOff>142749</xdr:colOff>
      <xdr:row>12</xdr:row>
      <xdr:rowOff>15725</xdr:rowOff>
    </xdr:from>
    <xdr:to>
      <xdr:col>34</xdr:col>
      <xdr:colOff>518427</xdr:colOff>
      <xdr:row>35</xdr:row>
      <xdr:rowOff>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GrpSpPr/>
      </xdr:nvGrpSpPr>
      <xdr:grpSpPr>
        <a:xfrm>
          <a:off x="16852320" y="2233689"/>
          <a:ext cx="4049607" cy="4365775"/>
          <a:chOff x="16852320" y="2233689"/>
          <a:chExt cx="4049607" cy="4365775"/>
        </a:xfrm>
      </xdr:grpSpPr>
      <xdr:sp macro="" textlink="">
        <xdr:nvSpPr>
          <xdr:cNvPr id="36" name="Rectangle: Rounded Corners 35">
            <a:extLst>
              <a:ext uri="{FF2B5EF4-FFF2-40B4-BE49-F238E27FC236}">
                <a16:creationId xmlns:a16="http://schemas.microsoft.com/office/drawing/2014/main" id="{00000000-0008-0000-0200-000024000000}"/>
              </a:ext>
            </a:extLst>
          </xdr:cNvPr>
          <xdr:cNvSpPr/>
        </xdr:nvSpPr>
        <xdr:spPr>
          <a:xfrm>
            <a:off x="16852320" y="2233689"/>
            <a:ext cx="4049607" cy="4365775"/>
          </a:xfrm>
          <a:prstGeom prst="roundRect">
            <a:avLst>
              <a:gd name="adj" fmla="val 1953"/>
            </a:avLst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aphicFrame macro="">
        <xdr:nvGraphicFramePr>
          <xdr:cNvPr id="83" name="Chart 82">
            <a:extLst>
              <a:ext uri="{FF2B5EF4-FFF2-40B4-BE49-F238E27FC236}">
                <a16:creationId xmlns:a16="http://schemas.microsoft.com/office/drawing/2014/main" id="{00000000-0008-0000-0200-000053000000}"/>
              </a:ext>
            </a:extLst>
          </xdr:cNvPr>
          <xdr:cNvGraphicFramePr>
            <a:graphicFrameLocks/>
          </xdr:cNvGraphicFramePr>
        </xdr:nvGraphicFramePr>
        <xdr:xfrm>
          <a:off x="16913679" y="2381251"/>
          <a:ext cx="3905250" cy="410935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3"/>
          </a:graphicData>
        </a:graphic>
      </xdr:graphicFrame>
    </xdr:grpSp>
    <xdr:clientData/>
  </xdr:twoCellAnchor>
  <xdr:twoCellAnchor>
    <xdr:from>
      <xdr:col>25</xdr:col>
      <xdr:colOff>285751</xdr:colOff>
      <xdr:row>38</xdr:row>
      <xdr:rowOff>81642</xdr:rowOff>
    </xdr:from>
    <xdr:to>
      <xdr:col>34</xdr:col>
      <xdr:colOff>381000</xdr:colOff>
      <xdr:row>59</xdr:row>
      <xdr:rowOff>176893</xdr:rowOff>
    </xdr:to>
    <xdr:graphicFrame macro="">
      <xdr:nvGraphicFramePr>
        <xdr:cNvPr id="84" name="Chart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244928</xdr:colOff>
      <xdr:row>2</xdr:row>
      <xdr:rowOff>13608</xdr:rowOff>
    </xdr:from>
    <xdr:to>
      <xdr:col>3</xdr:col>
      <xdr:colOff>204107</xdr:colOff>
      <xdr:row>9</xdr:row>
      <xdr:rowOff>169718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GrpSpPr/>
      </xdr:nvGrpSpPr>
      <xdr:grpSpPr>
        <a:xfrm>
          <a:off x="244928" y="394608"/>
          <a:ext cx="1796143" cy="1489610"/>
          <a:chOff x="244928" y="394608"/>
          <a:chExt cx="1796143" cy="1489610"/>
        </a:xfrm>
      </xdr:grpSpPr>
      <xdr:pic>
        <xdr:nvPicPr>
          <xdr:cNvPr id="58" name="Graphic 57" descr="Scales of justice">
            <a:extLst>
              <a:ext uri="{FF2B5EF4-FFF2-40B4-BE49-F238E27FC236}">
                <a16:creationId xmlns:a16="http://schemas.microsoft.com/office/drawing/2014/main" id="{00000000-0008-0000-02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6"/>
              </a:ext>
            </a:extLst>
          </a:blip>
          <a:stretch>
            <a:fillRect/>
          </a:stretch>
        </xdr:blipFill>
        <xdr:spPr>
          <a:xfrm>
            <a:off x="745190" y="708366"/>
            <a:ext cx="795618" cy="807138"/>
          </a:xfrm>
          <a:prstGeom prst="rect">
            <a:avLst/>
          </a:prstGeom>
        </xdr:spPr>
      </xdr:pic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00000000-0008-0000-0200-000047000000}"/>
              </a:ext>
            </a:extLst>
          </xdr:cNvPr>
          <xdr:cNvSpPr/>
        </xdr:nvSpPr>
        <xdr:spPr>
          <a:xfrm>
            <a:off x="244928" y="394608"/>
            <a:ext cx="1796143" cy="1380492"/>
          </a:xfrm>
          <a:prstGeom prst="rect">
            <a:avLst/>
          </a:prstGeom>
          <a:noFill/>
        </xdr:spPr>
        <xdr:txBody>
          <a:bodyPr wrap="none" lIns="91440" tIns="45720" rIns="91440" bIns="45720">
            <a:prstTxWarp prst="textArchUp">
              <a:avLst>
                <a:gd name="adj" fmla="val 10432309"/>
              </a:avLst>
            </a:prstTxWarp>
            <a:spAutoFit/>
          </a:bodyPr>
          <a:lstStyle/>
          <a:p>
            <a:pPr algn="ctr"/>
            <a:r>
              <a:rPr lang="en-US" sz="2800" b="1" cap="none" spc="50">
                <a:ln w="0">
                  <a:solidFill>
                    <a:schemeClr val="bg1"/>
                  </a:solidFill>
                </a:ln>
                <a:solidFill>
                  <a:schemeClr val="bg1"/>
                </a:solidFill>
                <a:effectLst>
                  <a:innerShdw blurRad="63500" dist="50800" dir="13500000">
                    <a:schemeClr val="bg1">
                      <a:alpha val="50000"/>
                    </a:schemeClr>
                  </a:innerShdw>
                </a:effectLst>
              </a:rPr>
              <a:t>Law</a:t>
            </a:r>
            <a:r>
              <a:rPr lang="en-US" sz="2800" b="1" cap="none" spc="50" baseline="0">
                <a:ln w="0">
                  <a:solidFill>
                    <a:schemeClr val="bg1"/>
                  </a:solidFill>
                </a:ln>
                <a:solidFill>
                  <a:schemeClr val="bg1"/>
                </a:solidFill>
                <a:effectLst>
                  <a:innerShdw blurRad="63500" dist="50800" dir="13500000">
                    <a:schemeClr val="bg1">
                      <a:alpha val="50000"/>
                    </a:schemeClr>
                  </a:innerShdw>
                </a:effectLst>
              </a:rPr>
              <a:t> Firm</a:t>
            </a:r>
            <a:endParaRPr lang="en-US" sz="6000" b="1" cap="none" spc="50">
              <a:ln w="0">
                <a:solidFill>
                  <a:schemeClr val="bg1"/>
                </a:solidFill>
              </a:ln>
              <a:solidFill>
                <a:schemeClr val="bg1"/>
              </a:solidFill>
              <a:effectLst>
                <a:innerShdw blurRad="63500" dist="50800" dir="13500000">
                  <a:schemeClr val="bg1">
                    <a:alpha val="50000"/>
                  </a:schemeClr>
                </a:innerShdw>
              </a:effectLst>
            </a:endParaRP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00000000-0008-0000-0200-000049000000}"/>
              </a:ext>
            </a:extLst>
          </xdr:cNvPr>
          <xdr:cNvSpPr/>
        </xdr:nvSpPr>
        <xdr:spPr>
          <a:xfrm>
            <a:off x="244928" y="503474"/>
            <a:ext cx="1796143" cy="1380744"/>
          </a:xfrm>
          <a:prstGeom prst="rect">
            <a:avLst/>
          </a:prstGeom>
          <a:noFill/>
        </xdr:spPr>
        <xdr:txBody>
          <a:bodyPr wrap="none" lIns="91440" tIns="45720" rIns="91440" bIns="45720">
            <a:prstTxWarp prst="textArchDown">
              <a:avLst/>
            </a:prstTxWarp>
            <a:spAutoFit/>
          </a:bodyPr>
          <a:lstStyle/>
          <a:p>
            <a:pPr algn="ctr"/>
            <a:r>
              <a:rPr lang="en-US" sz="1800" b="1" cap="none" spc="50" baseline="0">
                <a:ln w="0">
                  <a:solidFill>
                    <a:schemeClr val="bg1"/>
                  </a:solidFill>
                </a:ln>
                <a:solidFill>
                  <a:schemeClr val="bg1"/>
                </a:solidFill>
                <a:effectLst>
                  <a:innerShdw blurRad="63500" dist="50800" dir="13500000">
                    <a:schemeClr val="bg1">
                      <a:alpha val="50000"/>
                    </a:schemeClr>
                  </a:innerShdw>
                </a:effectLst>
              </a:rPr>
              <a:t>Dashboard</a:t>
            </a:r>
            <a:endParaRPr lang="en-US" sz="4400" b="1" cap="none" spc="50">
              <a:ln w="0">
                <a:solidFill>
                  <a:schemeClr val="bg1"/>
                </a:solidFill>
              </a:ln>
              <a:solidFill>
                <a:schemeClr val="bg1"/>
              </a:solidFill>
              <a:effectLst>
                <a:innerShdw blurRad="63500" dist="50800" dir="13500000">
                  <a:schemeClr val="bg1">
                    <a:alpha val="50000"/>
                  </a:schemeClr>
                </a:innerShdw>
              </a:effectLst>
            </a:endParaRPr>
          </a:p>
        </xdr:txBody>
      </xdr:sp>
    </xdr:grpSp>
    <xdr:clientData/>
  </xdr:twoCellAnchor>
  <xdr:twoCellAnchor>
    <xdr:from>
      <xdr:col>22</xdr:col>
      <xdr:colOff>379939</xdr:colOff>
      <xdr:row>3</xdr:row>
      <xdr:rowOff>136071</xdr:rowOff>
    </xdr:from>
    <xdr:to>
      <xdr:col>28</xdr:col>
      <xdr:colOff>24424</xdr:colOff>
      <xdr:row>9</xdr:row>
      <xdr:rowOff>48018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GrpSpPr/>
      </xdr:nvGrpSpPr>
      <xdr:grpSpPr>
        <a:xfrm>
          <a:off x="13524439" y="707571"/>
          <a:ext cx="3209556" cy="1054947"/>
          <a:chOff x="13450356" y="691696"/>
          <a:chExt cx="3203131" cy="1023197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GrpSpPr/>
        </xdr:nvGrpSpPr>
        <xdr:grpSpPr>
          <a:xfrm>
            <a:off x="13450356" y="691696"/>
            <a:ext cx="3203131" cy="1023197"/>
            <a:chOff x="12786404" y="707571"/>
            <a:chExt cx="3177451" cy="1054947"/>
          </a:xfrm>
        </xdr:grpSpPr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00000000-0008-0000-0200-000011000000}"/>
                </a:ext>
              </a:extLst>
            </xdr:cNvPr>
            <xdr:cNvGrpSpPr/>
          </xdr:nvGrpSpPr>
          <xdr:grpSpPr>
            <a:xfrm>
              <a:off x="12786404" y="707571"/>
              <a:ext cx="3177451" cy="1054947"/>
              <a:chOff x="12987262" y="786190"/>
              <a:chExt cx="2910256" cy="1091233"/>
            </a:xfrm>
          </xdr:grpSpPr>
          <xdr:sp macro="" textlink="">
            <xdr:nvSpPr>
              <xdr:cNvPr id="22" name="Rectangle: Top Corners Rounded 21">
                <a:extLst>
                  <a:ext uri="{FF2B5EF4-FFF2-40B4-BE49-F238E27FC236}">
                    <a16:creationId xmlns:a16="http://schemas.microsoft.com/office/drawing/2014/main" id="{00000000-0008-0000-0200-000016000000}"/>
                  </a:ext>
                </a:extLst>
              </xdr:cNvPr>
              <xdr:cNvSpPr/>
            </xdr:nvSpPr>
            <xdr:spPr>
              <a:xfrm rot="5400000">
                <a:off x="13996932" y="-23162"/>
                <a:ext cx="1091233" cy="2709938"/>
              </a:xfrm>
              <a:prstGeom prst="round2SameRect">
                <a:avLst/>
              </a:prstGeom>
              <a:ln>
                <a:noFill/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3" name="Rectangle: Top Corners Rounded 22">
                <a:extLst>
                  <a:ext uri="{FF2B5EF4-FFF2-40B4-BE49-F238E27FC236}">
                    <a16:creationId xmlns:a16="http://schemas.microsoft.com/office/drawing/2014/main" id="{00000000-0008-0000-0200-000017000000}"/>
                  </a:ext>
                </a:extLst>
              </xdr:cNvPr>
              <xdr:cNvSpPr/>
            </xdr:nvSpPr>
            <xdr:spPr>
              <a:xfrm rot="16200000">
                <a:off x="12536045" y="1237407"/>
                <a:ext cx="1091233" cy="188799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chemeClr val="accent6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 txBox="1"/>
          </xdr:nvSpPr>
          <xdr:spPr>
            <a:xfrm>
              <a:off x="14323840" y="753834"/>
              <a:ext cx="1240821" cy="31089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600" b="1">
                  <a:solidFill>
                    <a:schemeClr val="accent6">
                      <a:lumMod val="75000"/>
                    </a:schemeClr>
                  </a:solidFill>
                </a:rPr>
                <a:t>Total Paid</a:t>
              </a:r>
              <a:endParaRPr lang="en-US" sz="1200" b="1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  <xdr:cxnSp macro="">
          <xdr:nvCxnSpPr>
            <xdr:cNvPr id="20" name="Straight Connector 19">
              <a:extLst>
                <a:ext uri="{FF2B5EF4-FFF2-40B4-BE49-F238E27FC236}">
                  <a16:creationId xmlns:a16="http://schemas.microsoft.com/office/drawing/2014/main" id="{00000000-0008-0000-0200-000014000000}"/>
                </a:ext>
              </a:extLst>
            </xdr:cNvPr>
            <xdr:cNvCxnSpPr/>
          </xdr:nvCxnSpPr>
          <xdr:spPr>
            <a:xfrm>
              <a:off x="13811993" y="933451"/>
              <a:ext cx="0" cy="557893"/>
            </a:xfrm>
            <a:prstGeom prst="line">
              <a:avLst/>
            </a:prstGeom>
            <a:ln w="9525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Analysis!$D$191">
          <xdr:nvSpPr>
            <xdr:cNvPr id="21" name="Rectangle: Rounded Corners 20">
              <a:extLst>
                <a:ext uri="{FF2B5EF4-FFF2-40B4-BE49-F238E27FC236}">
                  <a16:creationId xmlns:a16="http://schemas.microsoft.com/office/drawing/2014/main" id="{00000000-0008-0000-0200-000015000000}"/>
                </a:ext>
              </a:extLst>
            </xdr:cNvPr>
            <xdr:cNvSpPr/>
          </xdr:nvSpPr>
          <xdr:spPr>
            <a:xfrm>
              <a:off x="13999847" y="1091840"/>
              <a:ext cx="1888805" cy="543927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fld id="{326559A1-E2D0-4B01-80D8-82767F47D86B}" type="TxLink">
                <a:rPr lang="en-US" sz="2400" b="1" i="0" u="none" strike="noStrike">
                  <a:solidFill>
                    <a:srgbClr val="000000"/>
                  </a:solidFill>
                  <a:latin typeface="+mj-lt"/>
                  <a:ea typeface="Calibri"/>
                  <a:cs typeface="Calibri"/>
                </a:rPr>
                <a:pPr algn="ctr"/>
                <a:t> 4,572,313.12 </a:t>
              </a:fld>
              <a:endParaRPr lang="en-US" sz="2400" b="1">
                <a:latin typeface="+mj-lt"/>
              </a:endParaRPr>
            </a:p>
          </xdr:txBody>
        </xdr:sp>
      </xdr:grpSp>
      <xdr:pic>
        <xdr:nvPicPr>
          <xdr:cNvPr id="66" name="Graphic 65" descr="Money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8"/>
              </a:ext>
            </a:extLst>
          </a:blip>
          <a:stretch>
            <a:fillRect/>
          </a:stretch>
        </xdr:blipFill>
        <xdr:spPr>
          <a:xfrm>
            <a:off x="13745104" y="848255"/>
            <a:ext cx="635000" cy="635000"/>
          </a:xfrm>
          <a:prstGeom prst="rect">
            <a:avLst/>
          </a:prstGeom>
        </xdr:spPr>
      </xdr:pic>
    </xdr:grpSp>
    <xdr:clientData/>
  </xdr:twoCellAnchor>
  <xdr:twoCellAnchor>
    <xdr:from>
      <xdr:col>29</xdr:col>
      <xdr:colOff>132059</xdr:colOff>
      <xdr:row>3</xdr:row>
      <xdr:rowOff>100692</xdr:rowOff>
    </xdr:from>
    <xdr:to>
      <xdr:col>34</xdr:col>
      <xdr:colOff>18505</xdr:colOff>
      <xdr:row>9</xdr:row>
      <xdr:rowOff>12639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GrpSpPr/>
      </xdr:nvGrpSpPr>
      <xdr:grpSpPr>
        <a:xfrm>
          <a:off x="17453952" y="672192"/>
          <a:ext cx="2948053" cy="1054947"/>
          <a:chOff x="17369663" y="656317"/>
          <a:chExt cx="2929155" cy="1023197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GrpSpPr/>
        </xdr:nvGrpSpPr>
        <xdr:grpSpPr>
          <a:xfrm>
            <a:off x="17369663" y="656317"/>
            <a:ext cx="2929155" cy="1023197"/>
            <a:chOff x="16480422" y="707571"/>
            <a:chExt cx="2917128" cy="1054947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GrpSpPr/>
          </xdr:nvGrpSpPr>
          <xdr:grpSpPr>
            <a:xfrm>
              <a:off x="16480422" y="707571"/>
              <a:ext cx="2917128" cy="1054947"/>
              <a:chOff x="12987262" y="786190"/>
              <a:chExt cx="2910256" cy="1091233"/>
            </a:xfrm>
          </xdr:grpSpPr>
          <xdr:sp macro="" textlink="">
            <xdr:nvSpPr>
              <xdr:cNvPr id="30" name="Rectangle: Top Corners Rounded 29">
                <a:extLst>
                  <a:ext uri="{FF2B5EF4-FFF2-40B4-BE49-F238E27FC236}">
                    <a16:creationId xmlns:a16="http://schemas.microsoft.com/office/drawing/2014/main" id="{00000000-0008-0000-0200-00001E000000}"/>
                  </a:ext>
                </a:extLst>
              </xdr:cNvPr>
              <xdr:cNvSpPr/>
            </xdr:nvSpPr>
            <xdr:spPr>
              <a:xfrm rot="5400000">
                <a:off x="13996932" y="-23162"/>
                <a:ext cx="1091233" cy="2709938"/>
              </a:xfrm>
              <a:prstGeom prst="round2SameRect">
                <a:avLst/>
              </a:prstGeom>
              <a:ln>
                <a:noFill/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1" name="Rectangle: Top Corners Rounded 30">
                <a:extLst>
                  <a:ext uri="{FF2B5EF4-FFF2-40B4-BE49-F238E27FC236}">
                    <a16:creationId xmlns:a16="http://schemas.microsoft.com/office/drawing/2014/main" id="{00000000-0008-0000-0200-00001F000000}"/>
                  </a:ext>
                </a:extLst>
              </xdr:cNvPr>
              <xdr:cNvSpPr/>
            </xdr:nvSpPr>
            <xdr:spPr>
              <a:xfrm rot="16200000">
                <a:off x="12536045" y="1237407"/>
                <a:ext cx="1091233" cy="188799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chemeClr val="accent2">
                  <a:lumMod val="50000"/>
                </a:schemeClr>
              </a:solidFill>
              <a:ln>
                <a:noFill/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 txBox="1"/>
          </xdr:nvSpPr>
          <xdr:spPr>
            <a:xfrm>
              <a:off x="17791230" y="753834"/>
              <a:ext cx="1056128" cy="33201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US" sz="1600" b="1">
                  <a:solidFill>
                    <a:schemeClr val="accent2">
                      <a:lumMod val="50000"/>
                    </a:schemeClr>
                  </a:solidFill>
                </a:rPr>
                <a:t>Total Due</a:t>
              </a:r>
            </a:p>
          </xdr:txBody>
        </xdr: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CxnSpPr/>
          </xdr:nvCxnSpPr>
          <xdr:spPr>
            <a:xfrm>
              <a:off x="17309276" y="922566"/>
              <a:ext cx="0" cy="557893"/>
            </a:xfrm>
            <a:prstGeom prst="line">
              <a:avLst/>
            </a:prstGeom>
            <a:ln w="9525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Analysis!$D$192">
          <xdr:nvSpPr>
            <xdr:cNvPr id="29" name="Rectangle: Rounded Corners 28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SpPr/>
          </xdr:nvSpPr>
          <xdr:spPr>
            <a:xfrm>
              <a:off x="17373043" y="1118252"/>
              <a:ext cx="1885017" cy="476694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fld id="{8B4957D6-CB5B-43B1-8E0F-B5B663A10B89}" type="TxLink">
                <a:rPr lang="en-US" sz="2400" b="1" i="0" u="none" strike="noStrike">
                  <a:solidFill>
                    <a:srgbClr val="000000"/>
                  </a:solidFill>
                  <a:latin typeface="+mj-lt"/>
                  <a:ea typeface="Calibri"/>
                  <a:cs typeface="Calibri"/>
                </a:rPr>
                <a:pPr algn="ctr"/>
                <a:t> 2,063,385.68 </a:t>
              </a:fld>
              <a:endParaRPr lang="en-US" sz="2400" b="1">
                <a:latin typeface="+mj-lt"/>
              </a:endParaRPr>
            </a:p>
          </xdr:txBody>
        </xdr:sp>
      </xdr:grpSp>
      <xdr:pic>
        <xdr:nvPicPr>
          <xdr:cNvPr id="68" name="Graphic 67" descr="Coins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0"/>
              </a:ext>
            </a:extLst>
          </a:blip>
          <a:stretch>
            <a:fillRect/>
          </a:stretch>
        </xdr:blipFill>
        <xdr:spPr>
          <a:xfrm>
            <a:off x="17533125" y="830753"/>
            <a:ext cx="656979" cy="656979"/>
          </a:xfrm>
          <a:prstGeom prst="rect">
            <a:avLst/>
          </a:prstGeom>
        </xdr:spPr>
      </xdr:pic>
    </xdr:grpSp>
    <xdr:clientData/>
  </xdr:twoCellAnchor>
  <xdr:twoCellAnchor>
    <xdr:from>
      <xdr:col>16</xdr:col>
      <xdr:colOff>75275</xdr:colOff>
      <xdr:row>3</xdr:row>
      <xdr:rowOff>136071</xdr:rowOff>
    </xdr:from>
    <xdr:to>
      <xdr:col>21</xdr:col>
      <xdr:colOff>436562</xdr:colOff>
      <xdr:row>9</xdr:row>
      <xdr:rowOff>48018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GrpSpPr/>
      </xdr:nvGrpSpPr>
      <xdr:grpSpPr>
        <a:xfrm>
          <a:off x="9872418" y="707571"/>
          <a:ext cx="3096323" cy="1054947"/>
          <a:chOff x="9811942" y="691696"/>
          <a:chExt cx="3086495" cy="1023197"/>
        </a:xfrm>
      </xdr:grpSpPr>
      <xdr:sp macro="" textlink="">
        <xdr:nvSpPr>
          <xdr:cNvPr id="14" name="Rectangle: Top Corners Rounded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 rot="5400000">
            <a:off x="10883603" y="-176342"/>
            <a:ext cx="1023197" cy="2759273"/>
          </a:xfrm>
          <a:prstGeom prst="round2SameRect">
            <a:avLst/>
          </a:prstGeom>
          <a:ln>
            <a:noFill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: Top Corners Rounded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 rot="16200000">
            <a:off x="9396301" y="1107337"/>
            <a:ext cx="1023197" cy="191915"/>
          </a:xfrm>
          <a:prstGeom prst="round2SameRect">
            <a:avLst>
              <a:gd name="adj1" fmla="val 50000"/>
              <a:gd name="adj2" fmla="val 0"/>
            </a:avLst>
          </a:prstGeom>
          <a:solidFill>
            <a:schemeClr val="accent4">
              <a:lumMod val="75000"/>
            </a:schemeClr>
          </a:solidFill>
          <a:ln>
            <a:noFill/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 txBox="1"/>
        </xdr:nvSpPr>
        <xdr:spPr>
          <a:xfrm>
            <a:off x="11172109" y="736567"/>
            <a:ext cx="1229381" cy="30354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baseline="0">
                <a:solidFill>
                  <a:schemeClr val="accent4">
                    <a:lumMod val="75000"/>
                  </a:schemeClr>
                </a:solidFill>
                <a:latin typeface="+mj-lt"/>
              </a:rPr>
              <a:t>Total Billed</a:t>
            </a:r>
            <a:endParaRPr lang="en-US" sz="1600" b="1">
              <a:solidFill>
                <a:schemeClr val="accent4">
                  <a:lumMod val="75000"/>
                </a:schemeClr>
              </a:solidFill>
              <a:latin typeface="+mj-lt"/>
            </a:endParaRPr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CxnSpPr/>
        </xdr:nvCxnSpPr>
        <xdr:spPr>
          <a:xfrm>
            <a:off x="10794344" y="921335"/>
            <a:ext cx="0" cy="541102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Analysis!$D$190">
        <xdr:nvSpPr>
          <xdr:cNvPr id="13" name="Rectangle: Rounded Corners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0675162" y="1090016"/>
            <a:ext cx="2223275" cy="462348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F53C310F-7B5D-404F-8A9C-F2F79DA1248B}" type="TxLink">
              <a:rPr lang="en-US" sz="2400" b="1" i="0" u="none" strike="noStrike">
                <a:solidFill>
                  <a:schemeClr val="tx1"/>
                </a:solidFill>
                <a:latin typeface="+mj-lt"/>
                <a:ea typeface="Calibri"/>
                <a:cs typeface="Calibri"/>
              </a:rPr>
              <a:pPr algn="ctr"/>
              <a:t> 6,635,698.80 </a:t>
            </a:fld>
            <a:endParaRPr lang="en-US" sz="2400" b="1">
              <a:solidFill>
                <a:schemeClr val="tx1"/>
              </a:solidFill>
              <a:latin typeface="+mj-lt"/>
            </a:endParaRPr>
          </a:p>
        </xdr:txBody>
      </xdr:sp>
      <xdr:pic>
        <xdr:nvPicPr>
          <xdr:cNvPr id="75" name="Graphic 74" descr="Piggy Bank">
            <a:extLst>
              <a:ext uri="{FF2B5EF4-FFF2-40B4-BE49-F238E27FC236}">
                <a16:creationId xmlns:a16="http://schemas.microsoft.com/office/drawing/2014/main" id="{00000000-0008-0000-0200-00004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2"/>
              </a:ext>
            </a:extLst>
          </a:blip>
          <a:stretch>
            <a:fillRect/>
          </a:stretch>
        </xdr:blipFill>
        <xdr:spPr>
          <a:xfrm>
            <a:off x="10102813" y="833437"/>
            <a:ext cx="685233" cy="685233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477763</xdr:colOff>
      <xdr:row>12</xdr:row>
      <xdr:rowOff>27215</xdr:rowOff>
    </xdr:from>
    <xdr:to>
      <xdr:col>34</xdr:col>
      <xdr:colOff>489856</xdr:colOff>
      <xdr:row>31</xdr:row>
      <xdr:rowOff>110218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499549" y="2245179"/>
          <a:ext cx="9373807" cy="3702503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69575</xdr:colOff>
      <xdr:row>12</xdr:row>
      <xdr:rowOff>27215</xdr:rowOff>
    </xdr:from>
    <xdr:to>
      <xdr:col>18</xdr:col>
      <xdr:colOff>435428</xdr:colOff>
      <xdr:row>31</xdr:row>
      <xdr:rowOff>110218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7417432" y="2245179"/>
          <a:ext cx="4039782" cy="3702503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428621</xdr:colOff>
      <xdr:row>75</xdr:row>
      <xdr:rowOff>52917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0" y="0"/>
          <a:ext cx="2254246" cy="1389062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304050</xdr:colOff>
      <xdr:row>27</xdr:row>
      <xdr:rowOff>239</xdr:rowOff>
    </xdr:from>
    <xdr:to>
      <xdr:col>4</xdr:col>
      <xdr:colOff>559059</xdr:colOff>
      <xdr:row>32</xdr:row>
      <xdr:rowOff>131124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GrpSpPr/>
      </xdr:nvGrpSpPr>
      <xdr:grpSpPr>
        <a:xfrm>
          <a:off x="916371" y="5075703"/>
          <a:ext cx="2091974" cy="1083385"/>
          <a:chOff x="912592" y="4947947"/>
          <a:chExt cx="2080634" cy="1056927"/>
        </a:xfrm>
      </xdr:grpSpPr>
      <xdr:sp macro="" textlink="">
        <xdr:nvSpPr>
          <xdr:cNvPr id="5" name="Rectangle: Top Corners Rounded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 rot="16200000">
            <a:off x="1277050" y="4896602"/>
            <a:ext cx="427585" cy="1156502"/>
          </a:xfrm>
          <a:prstGeom prst="round2SameRect">
            <a:avLst/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sp macro="" textlink="">
        <xdr:nvSpPr>
          <xdr:cNvPr id="6" name="Plaque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1936927" y="4947947"/>
            <a:ext cx="1056299" cy="1056927"/>
          </a:xfrm>
          <a:prstGeom prst="plaque">
            <a:avLst>
              <a:gd name="adj" fmla="val 32397"/>
            </a:avLst>
          </a:prstGeom>
          <a:solidFill>
            <a:schemeClr val="tx2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922164" y="5353216"/>
            <a:ext cx="954744" cy="243186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en-US" sz="1600" b="1"/>
              <a:t>Billing</a:t>
            </a:r>
            <a:endParaRPr lang="en-US" sz="2400" b="1"/>
          </a:p>
        </xdr:txBody>
      </xdr:sp>
    </xdr:grpSp>
    <xdr:clientData/>
  </xdr:twoCellAnchor>
  <xdr:twoCellAnchor>
    <xdr:from>
      <xdr:col>11</xdr:col>
      <xdr:colOff>371462</xdr:colOff>
      <xdr:row>12</xdr:row>
      <xdr:rowOff>1516</xdr:rowOff>
    </xdr:from>
    <xdr:to>
      <xdr:col>16</xdr:col>
      <xdr:colOff>52742</xdr:colOff>
      <xdr:row>14</xdr:row>
      <xdr:rowOff>72574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7106998" y="2219480"/>
          <a:ext cx="2742887" cy="45205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baseline="0">
              <a:solidFill>
                <a:schemeClr val="bg1"/>
              </a:solidFill>
              <a:latin typeface="+mj-lt"/>
            </a:rPr>
            <a:t>Year wise MoM Billing</a:t>
          </a:r>
          <a:endParaRPr lang="en-US" sz="1800" b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18</xdr:col>
      <xdr:colOff>252794</xdr:colOff>
      <xdr:row>11</xdr:row>
      <xdr:rowOff>238641</xdr:rowOff>
    </xdr:from>
    <xdr:to>
      <xdr:col>24</xdr:col>
      <xdr:colOff>76436</xdr:colOff>
      <xdr:row>14</xdr:row>
      <xdr:rowOff>72574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11274580" y="2211677"/>
          <a:ext cx="3062142" cy="45986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bg1"/>
              </a:solidFill>
              <a:latin typeface="+mj-lt"/>
              <a:ea typeface="+mn-ea"/>
              <a:cs typeface="+mn-cs"/>
            </a:rPr>
            <a:t>YoY</a:t>
          </a:r>
          <a:r>
            <a:rPr lang="en-US" sz="1800" b="1">
              <a:solidFill>
                <a:schemeClr val="bg1"/>
              </a:solidFill>
              <a:latin typeface="+mj-lt"/>
            </a:rPr>
            <a:t> </a:t>
          </a:r>
          <a:r>
            <a:rPr lang="en-US" sz="1800" b="1">
              <a:solidFill>
                <a:schemeClr val="bg1"/>
              </a:solidFill>
              <a:latin typeface="+mj-lt"/>
              <a:ea typeface="+mn-ea"/>
              <a:cs typeface="+mn-cs"/>
            </a:rPr>
            <a:t>Analysis</a:t>
          </a:r>
          <a:r>
            <a:rPr lang="en-US" sz="1800" b="1">
              <a:solidFill>
                <a:schemeClr val="bg1"/>
              </a:solidFill>
              <a:latin typeface="+mj-lt"/>
            </a:rPr>
            <a:t> for Billed Value</a:t>
          </a:r>
        </a:p>
      </xdr:txBody>
    </xdr:sp>
    <xdr:clientData/>
  </xdr:twoCellAnchor>
  <xdr:twoCellAnchor>
    <xdr:from>
      <xdr:col>3</xdr:col>
      <xdr:colOff>451757</xdr:colOff>
      <xdr:row>0</xdr:row>
      <xdr:rowOff>21776</xdr:rowOff>
    </xdr:from>
    <xdr:to>
      <xdr:col>5</xdr:col>
      <xdr:colOff>190500</xdr:colOff>
      <xdr:row>32</xdr:row>
      <xdr:rowOff>156885</xdr:rowOff>
    </xdr:to>
    <xdr:sp macro="" textlink="">
      <xdr:nvSpPr>
        <xdr:cNvPr id="38" name="Rectangle: Top Corners Rounded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 rot="5400000">
          <a:off x="-340338" y="2629224"/>
          <a:ext cx="6163874" cy="948978"/>
        </a:xfrm>
        <a:prstGeom prst="round2SameRect">
          <a:avLst>
            <a:gd name="adj1" fmla="val 4670"/>
            <a:gd name="adj2" fmla="val 679"/>
          </a:avLst>
        </a:prstGeom>
        <a:solidFill>
          <a:schemeClr val="tx2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83848</xdr:colOff>
      <xdr:row>3</xdr:row>
      <xdr:rowOff>136071</xdr:rowOff>
    </xdr:from>
    <xdr:to>
      <xdr:col>14</xdr:col>
      <xdr:colOff>579455</xdr:colOff>
      <xdr:row>9</xdr:row>
      <xdr:rowOff>48018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GrpSpPr/>
      </xdr:nvGrpSpPr>
      <xdr:grpSpPr>
        <a:xfrm>
          <a:off x="6207062" y="707571"/>
          <a:ext cx="2944893" cy="1054947"/>
          <a:chOff x="5902942" y="707571"/>
          <a:chExt cx="2920152" cy="1054947"/>
        </a:xfrm>
      </xdr:grpSpPr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GrpSpPr/>
        </xdr:nvGrpSpPr>
        <xdr:grpSpPr>
          <a:xfrm>
            <a:off x="5902942" y="707571"/>
            <a:ext cx="2920152" cy="1054947"/>
            <a:chOff x="6047619" y="786190"/>
            <a:chExt cx="2913280" cy="1091233"/>
          </a:xfrm>
        </xdr:grpSpPr>
        <xdr:sp macro="" textlink="">
          <xdr:nvSpPr>
            <xdr:cNvPr id="45" name="Rectangle: Top Corners Rounded 44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SpPr/>
          </xdr:nvSpPr>
          <xdr:spPr>
            <a:xfrm rot="5400000">
              <a:off x="7058801" y="-24674"/>
              <a:ext cx="1091233" cy="2712962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6" name="Rectangle: Top Corners Rounded 45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SpPr/>
          </xdr:nvSpPr>
          <xdr:spPr>
            <a:xfrm rot="16200000">
              <a:off x="5596402" y="1237407"/>
              <a:ext cx="1091233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1">
                <a:lumMod val="50000"/>
              </a:schemeClr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41" name="Graphic 40" descr="Checklist RTL">
            <a:extLst>
              <a:ext uri="{FF2B5EF4-FFF2-40B4-BE49-F238E27FC236}">
                <a16:creationId xmlns:a16="http://schemas.microsoft.com/office/drawing/2014/main" id="{00000000-0008-0000-03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038183" y="933292"/>
            <a:ext cx="614389" cy="603504"/>
          </a:xfrm>
          <a:prstGeom prst="rect">
            <a:avLst/>
          </a:prstGeom>
        </xdr:spPr>
      </xdr:pic>
      <xdr:sp macro="" textlink="">
        <xdr:nvSpPr>
          <xdr:cNvPr id="42" name="TextBox 41">
            <a:extLst>
              <a:ext uri="{FF2B5EF4-FFF2-40B4-BE49-F238E27FC236}">
                <a16:creationId xmlns:a16="http://schemas.microsoft.com/office/drawing/2014/main" id="{00000000-0008-0000-0300-00002A000000}"/>
              </a:ext>
            </a:extLst>
          </xdr:cNvPr>
          <xdr:cNvSpPr txBox="1"/>
        </xdr:nvSpPr>
        <xdr:spPr>
          <a:xfrm>
            <a:off x="7034153" y="753834"/>
            <a:ext cx="1619139" cy="3265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 baseline="0">
                <a:solidFill>
                  <a:schemeClr val="accent1">
                    <a:lumMod val="50000"/>
                  </a:schemeClr>
                </a:solidFill>
              </a:rPr>
              <a:t>Total Billable hrs</a:t>
            </a:r>
            <a:endParaRPr lang="en-US" sz="1600" b="1">
              <a:solidFill>
                <a:schemeClr val="accent1">
                  <a:lumMod val="50000"/>
                </a:schemeClr>
              </a:solidFill>
            </a:endParaRPr>
          </a:p>
        </xdr:txBody>
      </xdr: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CxnSpPr/>
        </xdr:nvCxnSpPr>
        <xdr:spPr>
          <a:xfrm>
            <a:off x="6860722" y="928007"/>
            <a:ext cx="0" cy="557893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  <xdr:sp macro="" textlink="Analysis!$D$307">
        <xdr:nvSpPr>
          <xdr:cNvPr id="44" name="Rectangle: Rounded Corners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7273480" y="1118251"/>
            <a:ext cx="1052189" cy="476695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A6A66388-943A-48EF-A209-A1C40FBF338C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61048</a:t>
            </a:fld>
            <a:endParaRPr lang="en-US" sz="2400" b="1">
              <a:latin typeface="+mj-lt"/>
            </a:endParaRPr>
          </a:p>
        </xdr:txBody>
      </xdr:sp>
    </xdr:grpSp>
    <xdr:clientData/>
  </xdr:twoCellAnchor>
  <xdr:twoCellAnchor>
    <xdr:from>
      <xdr:col>4</xdr:col>
      <xdr:colOff>99143</xdr:colOff>
      <xdr:row>3</xdr:row>
      <xdr:rowOff>130024</xdr:rowOff>
    </xdr:from>
    <xdr:to>
      <xdr:col>8</xdr:col>
      <xdr:colOff>588028</xdr:colOff>
      <xdr:row>9</xdr:row>
      <xdr:rowOff>48018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2548429" y="701524"/>
          <a:ext cx="2938170" cy="1060994"/>
          <a:chOff x="2523688" y="701524"/>
          <a:chExt cx="2913431" cy="1060994"/>
        </a:xfrm>
      </xdr:grpSpPr>
      <xdr:grpSp>
        <xdr:nvGrpSpPr>
          <xdr:cNvPr id="48" name="Group 47">
            <a:extLst>
              <a:ext uri="{FF2B5EF4-FFF2-40B4-BE49-F238E27FC236}">
                <a16:creationId xmlns:a16="http://schemas.microsoft.com/office/drawing/2014/main" id="{00000000-0008-0000-0300-000030000000}"/>
              </a:ext>
            </a:extLst>
          </xdr:cNvPr>
          <xdr:cNvGrpSpPr/>
        </xdr:nvGrpSpPr>
        <xdr:grpSpPr>
          <a:xfrm>
            <a:off x="2523688" y="701524"/>
            <a:ext cx="2913431" cy="1060994"/>
            <a:chOff x="2460729" y="725714"/>
            <a:chExt cx="2913280" cy="1097280"/>
          </a:xfrm>
        </xdr:grpSpPr>
        <xdr:sp macro="" textlink="">
          <xdr:nvSpPr>
            <xdr:cNvPr id="53" name="Rectangle: Top Corners Rounded 52">
              <a:extLst>
                <a:ext uri="{FF2B5EF4-FFF2-40B4-BE49-F238E27FC236}">
                  <a16:creationId xmlns:a16="http://schemas.microsoft.com/office/drawing/2014/main" id="{00000000-0008-0000-0300-000035000000}"/>
                </a:ext>
              </a:extLst>
            </xdr:cNvPr>
            <xdr:cNvSpPr/>
          </xdr:nvSpPr>
          <xdr:spPr>
            <a:xfrm rot="5400000">
              <a:off x="3468888" y="-82127"/>
              <a:ext cx="1097280" cy="2712962"/>
            </a:xfrm>
            <a:prstGeom prst="round2SameRect">
              <a:avLst/>
            </a:prstGeom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4" name="Rectangle: Top Corners Rounded 53">
              <a:extLst>
                <a:ext uri="{FF2B5EF4-FFF2-40B4-BE49-F238E27FC236}">
                  <a16:creationId xmlns:a16="http://schemas.microsoft.com/office/drawing/2014/main" id="{00000000-0008-0000-0300-000036000000}"/>
                </a:ext>
              </a:extLst>
            </xdr:cNvPr>
            <xdr:cNvSpPr/>
          </xdr:nvSpPr>
          <xdr:spPr>
            <a:xfrm rot="16200000">
              <a:off x="2006489" y="1179954"/>
              <a:ext cx="1097280" cy="188799"/>
            </a:xfrm>
            <a:prstGeom prst="round2SameRect">
              <a:avLst>
                <a:gd name="adj1" fmla="val 50000"/>
                <a:gd name="adj2" fmla="val 0"/>
              </a:avLst>
            </a:prstGeom>
            <a:solidFill>
              <a:schemeClr val="accent2"/>
            </a:solidFill>
            <a:ln>
              <a:noFill/>
            </a:ln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pic>
        <xdr:nvPicPr>
          <xdr:cNvPr id="49" name="Graphic 48" descr="Clipboard">
            <a:extLst>
              <a:ext uri="{FF2B5EF4-FFF2-40B4-BE49-F238E27FC236}">
                <a16:creationId xmlns:a16="http://schemas.microsoft.com/office/drawing/2014/main" id="{00000000-0008-0000-0300-00003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2670716" y="928108"/>
            <a:ext cx="603546" cy="607451"/>
          </a:xfrm>
          <a:prstGeom prst="rect">
            <a:avLst/>
          </a:prstGeom>
        </xdr:spPr>
      </xdr:pic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SpPr txBox="1"/>
        </xdr:nvSpPr>
        <xdr:spPr>
          <a:xfrm>
            <a:off x="3843958" y="747599"/>
            <a:ext cx="1212274" cy="31296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600" b="1">
                <a:solidFill>
                  <a:schemeClr val="accent2"/>
                </a:solidFill>
              </a:rPr>
              <a:t>Total</a:t>
            </a:r>
            <a:r>
              <a:rPr lang="en-US" sz="1600" b="1" baseline="0">
                <a:solidFill>
                  <a:schemeClr val="accent2"/>
                </a:solidFill>
              </a:rPr>
              <a:t> Cases</a:t>
            </a:r>
            <a:endParaRPr lang="en-US" sz="1600" b="1">
              <a:solidFill>
                <a:schemeClr val="accent2"/>
              </a:solidFill>
            </a:endParaRPr>
          </a:p>
        </xdr:txBody>
      </xdr:sp>
      <xdr:sp macro="" textlink="Analysis!$D$306">
        <xdr:nvSpPr>
          <xdr:cNvPr id="51" name="Rectangle: Rounded Corners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/>
        </xdr:nvSpPr>
        <xdr:spPr>
          <a:xfrm>
            <a:off x="3867953" y="1118063"/>
            <a:ext cx="1052190" cy="470648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fld id="{EA015309-DF71-4B3A-A8FE-F59EC36BC337}" type="TxLink">
              <a:rPr lang="en-US" sz="2400" b="1" i="0" u="none" strike="noStrike">
                <a:solidFill>
                  <a:srgbClr val="000000"/>
                </a:solidFill>
                <a:latin typeface="+mj-lt"/>
                <a:ea typeface="Calibri"/>
                <a:cs typeface="Calibri"/>
              </a:rPr>
              <a:pPr algn="ctr"/>
              <a:t>501</a:t>
            </a:fld>
            <a:endParaRPr lang="en-US" sz="2400" b="1">
              <a:latin typeface="+mj-lt"/>
            </a:endParaRPr>
          </a:p>
        </xdr:txBody>
      </xdr: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CxnSpPr/>
        </xdr:nvCxnSpPr>
        <xdr:spPr>
          <a:xfrm>
            <a:off x="3509966" y="932658"/>
            <a:ext cx="0" cy="557893"/>
          </a:xfrm>
          <a:prstGeom prst="line">
            <a:avLst/>
          </a:prstGeom>
          <a:ln w="9525" cap="flat" cmpd="sng" algn="ctr">
            <a:solidFill>
              <a:schemeClr val="dk1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542396</xdr:colOff>
      <xdr:row>12</xdr:row>
      <xdr:rowOff>27215</xdr:rowOff>
    </xdr:from>
    <xdr:to>
      <xdr:col>11</xdr:col>
      <xdr:colOff>571500</xdr:colOff>
      <xdr:row>31</xdr:row>
      <xdr:rowOff>110218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2368021" y="2196798"/>
          <a:ext cx="4897437" cy="3601962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574524</xdr:colOff>
      <xdr:row>12</xdr:row>
      <xdr:rowOff>1516</xdr:rowOff>
    </xdr:from>
    <xdr:to>
      <xdr:col>10</xdr:col>
      <xdr:colOff>272143</xdr:colOff>
      <xdr:row>14</xdr:row>
      <xdr:rowOff>72574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2411488" y="2219480"/>
          <a:ext cx="3983869" cy="452058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Case Type wise </a:t>
          </a: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alibri Light" panose="020F0302020204030204"/>
              <a:ea typeface="+mn-ea"/>
              <a:cs typeface="+mn-cs"/>
            </a:rPr>
            <a:t>Billable Hours </a:t>
          </a:r>
          <a:endParaRPr lang="en-US" sz="1800" b="1">
            <a:solidFill>
              <a:schemeClr val="bg1"/>
            </a:solidFill>
            <a:latin typeface="+mj-lt"/>
          </a:endParaRPr>
        </a:p>
      </xdr:txBody>
    </xdr:sp>
    <xdr:clientData/>
  </xdr:twoCellAnchor>
  <xdr:twoCellAnchor>
    <xdr:from>
      <xdr:col>3</xdr:col>
      <xdr:colOff>542397</xdr:colOff>
      <xdr:row>32</xdr:row>
      <xdr:rowOff>52737</xdr:rowOff>
    </xdr:from>
    <xdr:to>
      <xdr:col>34</xdr:col>
      <xdr:colOff>508267</xdr:colOff>
      <xdr:row>53</xdr:row>
      <xdr:rowOff>80202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2368022" y="5926487"/>
          <a:ext cx="18420558" cy="3916840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0</xdr:colOff>
      <xdr:row>31</xdr:row>
      <xdr:rowOff>175108</xdr:rowOff>
    </xdr:from>
    <xdr:to>
      <xdr:col>12</xdr:col>
      <xdr:colOff>81643</xdr:colOff>
      <xdr:row>34</xdr:row>
      <xdr:rowOff>58484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2434167" y="5863650"/>
          <a:ext cx="4949976" cy="43900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Billable Hours Location wise</a:t>
          </a:r>
        </a:p>
      </xdr:txBody>
    </xdr:sp>
    <xdr:clientData/>
  </xdr:twoCellAnchor>
  <xdr:twoCellAnchor>
    <xdr:from>
      <xdr:col>23</xdr:col>
      <xdr:colOff>434630</xdr:colOff>
      <xdr:row>37</xdr:row>
      <xdr:rowOff>43092</xdr:rowOff>
    </xdr:from>
    <xdr:to>
      <xdr:col>23</xdr:col>
      <xdr:colOff>434630</xdr:colOff>
      <xdr:row>48</xdr:row>
      <xdr:rowOff>172272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CxnSpPr/>
      </xdr:nvCxnSpPr>
      <xdr:spPr>
        <a:xfrm>
          <a:off x="14166505" y="6842884"/>
          <a:ext cx="0" cy="2166471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555625</xdr:colOff>
      <xdr:row>54</xdr:row>
      <xdr:rowOff>30745</xdr:rowOff>
    </xdr:from>
    <xdr:to>
      <xdr:col>34</xdr:col>
      <xdr:colOff>503464</xdr:colOff>
      <xdr:row>75</xdr:row>
      <xdr:rowOff>52919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2381250" y="9979078"/>
          <a:ext cx="18402527" cy="3911549"/>
        </a:xfrm>
        <a:prstGeom prst="roundRect">
          <a:avLst>
            <a:gd name="adj" fmla="val 1953"/>
          </a:avLst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410683</xdr:colOff>
      <xdr:row>55</xdr:row>
      <xdr:rowOff>1799</xdr:rowOff>
    </xdr:from>
    <xdr:to>
      <xdr:col>12</xdr:col>
      <xdr:colOff>272144</xdr:colOff>
      <xdr:row>57</xdr:row>
      <xdr:rowOff>51829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2844850" y="10135341"/>
          <a:ext cx="4729794" cy="42044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Top 5 Clients by Billable Hours</a:t>
          </a:r>
        </a:p>
      </xdr:txBody>
    </xdr:sp>
    <xdr:clientData/>
  </xdr:twoCellAnchor>
  <xdr:twoCellAnchor>
    <xdr:from>
      <xdr:col>2</xdr:col>
      <xdr:colOff>100854</xdr:colOff>
      <xdr:row>18</xdr:row>
      <xdr:rowOff>78441</xdr:rowOff>
    </xdr:from>
    <xdr:to>
      <xdr:col>3</xdr:col>
      <xdr:colOff>369795</xdr:colOff>
      <xdr:row>20</xdr:row>
      <xdr:rowOff>0</xdr:rowOff>
    </xdr:to>
    <xdr:sp macro="" textlink="">
      <xdr:nvSpPr>
        <xdr:cNvPr id="78" name="TextBox 7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 txBox="1"/>
      </xdr:nvSpPr>
      <xdr:spPr>
        <a:xfrm>
          <a:off x="1320054" y="3440766"/>
          <a:ext cx="878541" cy="302559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</a:rPr>
            <a:t>Cases</a:t>
          </a:r>
        </a:p>
      </xdr:txBody>
    </xdr:sp>
    <xdr:clientData/>
  </xdr:twoCellAnchor>
  <xdr:twoCellAnchor>
    <xdr:from>
      <xdr:col>2</xdr:col>
      <xdr:colOff>11206</xdr:colOff>
      <xdr:row>22</xdr:row>
      <xdr:rowOff>11206</xdr:rowOff>
    </xdr:from>
    <xdr:to>
      <xdr:col>3</xdr:col>
      <xdr:colOff>280147</xdr:colOff>
      <xdr:row>23</xdr:row>
      <xdr:rowOff>123265</xdr:rowOff>
    </xdr:to>
    <xdr:sp macro="" textlink="">
      <xdr:nvSpPr>
        <xdr:cNvPr id="79" name="TextBox 7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 txBox="1"/>
      </xdr:nvSpPr>
      <xdr:spPr>
        <a:xfrm>
          <a:off x="1230406" y="4135531"/>
          <a:ext cx="878541" cy="302559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</a:rPr>
            <a:t>Lawyers</a:t>
          </a:r>
        </a:p>
      </xdr:txBody>
    </xdr:sp>
    <xdr:clientData/>
  </xdr:twoCellAnchor>
  <xdr:twoCellAnchor>
    <xdr:from>
      <xdr:col>2</xdr:col>
      <xdr:colOff>0</xdr:colOff>
      <xdr:row>25</xdr:row>
      <xdr:rowOff>123264</xdr:rowOff>
    </xdr:from>
    <xdr:to>
      <xdr:col>3</xdr:col>
      <xdr:colOff>268941</xdr:colOff>
      <xdr:row>27</xdr:row>
      <xdr:rowOff>44823</xdr:rowOff>
    </xdr:to>
    <xdr:sp macro="" textlink="">
      <xdr:nvSpPr>
        <xdr:cNvPr id="80" name="TextBox 7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 txBox="1"/>
      </xdr:nvSpPr>
      <xdr:spPr>
        <a:xfrm>
          <a:off x="1210235" y="4818529"/>
          <a:ext cx="874059" cy="302559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bg1"/>
              </a:solidFill>
            </a:rPr>
            <a:t>Clients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52917</xdr:colOff>
          <xdr:row>14</xdr:row>
          <xdr:rowOff>81643</xdr:rowOff>
        </xdr:from>
        <xdr:to>
          <xdr:col>11</xdr:col>
          <xdr:colOff>489858</xdr:colOff>
          <xdr:row>30</xdr:row>
          <xdr:rowOff>95249</xdr:rowOff>
        </xdr:to>
        <xdr:pic>
          <xdr:nvPicPr>
            <xdr:cNvPr id="82" name="Picture 81">
              <a:extLst>
                <a:ext uri="{FF2B5EF4-FFF2-40B4-BE49-F238E27FC236}">
                  <a16:creationId xmlns:a16="http://schemas.microsoft.com/office/drawing/2014/main" id="{00000000-0008-0000-0300-00005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J$332:$L$346" spid="_x0000_s99381"/>
                </a:ext>
              </a:extLst>
            </xdr:cNvPicPr>
          </xdr:nvPicPr>
          <xdr:blipFill rotWithShape="1">
            <a:blip xmlns:r="http://schemas.openxmlformats.org/officeDocument/2006/relationships" r:embed="rId8"/>
            <a:srcRect b="17658"/>
            <a:stretch>
              <a:fillRect/>
            </a:stretch>
          </xdr:blipFill>
          <xdr:spPr bwMode="auto">
            <a:xfrm>
              <a:off x="2487084" y="2621643"/>
              <a:ext cx="4696732" cy="2976939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176893</xdr:colOff>
          <xdr:row>14</xdr:row>
          <xdr:rowOff>68715</xdr:rowOff>
        </xdr:from>
        <xdr:to>
          <xdr:col>18</xdr:col>
          <xdr:colOff>340177</xdr:colOff>
          <xdr:row>30</xdr:row>
          <xdr:rowOff>119063</xdr:rowOff>
        </xdr:to>
        <xdr:pic>
          <xdr:nvPicPr>
            <xdr:cNvPr id="84" name="Picture 83">
              <a:extLst>
                <a:ext uri="{FF2B5EF4-FFF2-40B4-BE49-F238E27FC236}">
                  <a16:creationId xmlns:a16="http://schemas.microsoft.com/office/drawing/2014/main" id="{00000000-0008-0000-0300-00005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L$304:$N$316" spid="_x0000_s99382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7524750" y="2667679"/>
              <a:ext cx="3837213" cy="309834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4083</xdr:colOff>
          <xdr:row>19</xdr:row>
          <xdr:rowOff>38780</xdr:rowOff>
        </xdr:from>
        <xdr:to>
          <xdr:col>24</xdr:col>
          <xdr:colOff>489858</xdr:colOff>
          <xdr:row>25</xdr:row>
          <xdr:rowOff>148998</xdr:rowOff>
        </xdr:to>
        <xdr:pic>
          <xdr:nvPicPr>
            <xdr:cNvPr id="85" name="Picture 84">
              <a:extLst>
                <a:ext uri="{FF2B5EF4-FFF2-40B4-BE49-F238E27FC236}">
                  <a16:creationId xmlns:a16="http://schemas.microsoft.com/office/drawing/2014/main" id="{00000000-0008-0000-0300-00005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Q$304:$S$309" spid="_x0000_s99383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1638190" y="3590244"/>
              <a:ext cx="3111954" cy="1253218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25</xdr:col>
      <xdr:colOff>573014</xdr:colOff>
      <xdr:row>14</xdr:row>
      <xdr:rowOff>0</xdr:rowOff>
    </xdr:from>
    <xdr:to>
      <xdr:col>34</xdr:col>
      <xdr:colOff>163287</xdr:colOff>
      <xdr:row>30</xdr:row>
      <xdr:rowOff>108857</xdr:rowOff>
    </xdr:to>
    <xdr:graphicFrame macro="">
      <xdr:nvGraphicFramePr>
        <xdr:cNvPr id="86" name="Chart 85"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342901</xdr:colOff>
          <xdr:row>38</xdr:row>
          <xdr:rowOff>164028</xdr:rowOff>
        </xdr:from>
        <xdr:to>
          <xdr:col>11</xdr:col>
          <xdr:colOff>342901</xdr:colOff>
          <xdr:row>47</xdr:row>
          <xdr:rowOff>173553</xdr:rowOff>
        </xdr:to>
        <xdr:pic>
          <xdr:nvPicPr>
            <xdr:cNvPr id="87" name="Picture 86">
              <a:extLst>
                <a:ext uri="{FF2B5EF4-FFF2-40B4-BE49-F238E27FC236}">
                  <a16:creationId xmlns:a16="http://schemas.microsoft.com/office/drawing/2014/main" id="{00000000-0008-0000-0300-000057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F$332:$H$340" spid="_x0000_s99384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2792187" y="7334992"/>
              <a:ext cx="4286250" cy="17240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12</xdr:col>
      <xdr:colOff>89622</xdr:colOff>
      <xdr:row>33</xdr:row>
      <xdr:rowOff>144058</xdr:rowOff>
    </xdr:from>
    <xdr:to>
      <xdr:col>22</xdr:col>
      <xdr:colOff>137247</xdr:colOff>
      <xdr:row>52</xdr:row>
      <xdr:rowOff>43091</xdr:rowOff>
    </xdr:to>
    <xdr:graphicFrame macro="">
      <xdr:nvGraphicFramePr>
        <xdr:cNvPr id="88" name="Chart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479228</xdr:colOff>
          <xdr:row>34</xdr:row>
          <xdr:rowOff>170529</xdr:rowOff>
        </xdr:from>
        <xdr:to>
          <xdr:col>34</xdr:col>
          <xdr:colOff>321303</xdr:colOff>
          <xdr:row>50</xdr:row>
          <xdr:rowOff>119440</xdr:rowOff>
        </xdr:to>
        <xdr:pic>
          <xdr:nvPicPr>
            <xdr:cNvPr id="89" name="Picture 88">
              <a:extLst>
                <a:ext uri="{FF2B5EF4-FFF2-40B4-BE49-F238E27FC236}">
                  <a16:creationId xmlns:a16="http://schemas.microsoft.com/office/drawing/2014/main" id="{00000000-0008-0000-0300-000059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J$332:$L$346" spid="_x0000_s99385"/>
                </a:ext>
              </a:extLst>
            </xdr:cNvPicPr>
          </xdr:nvPicPr>
          <xdr:blipFill rotWithShape="1">
            <a:blip xmlns:r="http://schemas.openxmlformats.org/officeDocument/2006/relationships" r:embed="rId14"/>
            <a:srcRect b="17574"/>
            <a:stretch>
              <a:fillRect/>
            </a:stretch>
          </xdr:blipFill>
          <xdr:spPr bwMode="auto">
            <a:xfrm>
              <a:off x="14674124" y="6414696"/>
              <a:ext cx="5927492" cy="2912244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24</xdr:col>
      <xdr:colOff>361763</xdr:colOff>
      <xdr:row>32</xdr:row>
      <xdr:rowOff>40490</xdr:rowOff>
    </xdr:from>
    <xdr:to>
      <xdr:col>32</xdr:col>
      <xdr:colOff>443406</xdr:colOff>
      <xdr:row>34</xdr:row>
      <xdr:rowOff>109074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/>
      </xdr:nvSpPr>
      <xdr:spPr>
        <a:xfrm>
          <a:off x="14556659" y="5914240"/>
          <a:ext cx="4949976" cy="439001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Billable Hours Case Type wise</a:t>
          </a:r>
        </a:p>
      </xdr:txBody>
    </xdr:sp>
    <xdr:clientData/>
  </xdr:twoCellAnchor>
  <xdr:twoCellAnchor>
    <xdr:from>
      <xdr:col>4</xdr:col>
      <xdr:colOff>79376</xdr:colOff>
      <xdr:row>33</xdr:row>
      <xdr:rowOff>171271</xdr:rowOff>
    </xdr:from>
    <xdr:to>
      <xdr:col>22</xdr:col>
      <xdr:colOff>503466</xdr:colOff>
      <xdr:row>52</xdr:row>
      <xdr:rowOff>97520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/>
      </xdr:nvSpPr>
      <xdr:spPr>
        <a:xfrm>
          <a:off x="2513543" y="6230229"/>
          <a:ext cx="11060340" cy="3445208"/>
        </a:xfrm>
        <a:prstGeom prst="roundRect">
          <a:avLst>
            <a:gd name="adj" fmla="val 1802"/>
          </a:avLst>
        </a:prstGeom>
        <a:noFill/>
        <a:ln>
          <a:solidFill>
            <a:schemeClr val="bg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567418</xdr:colOff>
          <xdr:row>57</xdr:row>
          <xdr:rowOff>92379</xdr:rowOff>
        </xdr:from>
        <xdr:to>
          <xdr:col>11</xdr:col>
          <xdr:colOff>174171</xdr:colOff>
          <xdr:row>63</xdr:row>
          <xdr:rowOff>101904</xdr:rowOff>
        </xdr:to>
        <xdr:pic>
          <xdr:nvPicPr>
            <xdr:cNvPr id="92" name="Picture 91">
              <a:extLst>
                <a:ext uri="{FF2B5EF4-FFF2-40B4-BE49-F238E27FC236}">
                  <a16:creationId xmlns:a16="http://schemas.microsoft.com/office/drawing/2014/main" id="{00000000-0008-0000-0300-00005C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A$322:$C$327" spid="_x0000_s99386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3001585" y="10596337"/>
              <a:ext cx="3866544" cy="1120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597353</xdr:colOff>
          <xdr:row>67</xdr:row>
          <xdr:rowOff>135921</xdr:rowOff>
        </xdr:from>
        <xdr:to>
          <xdr:col>11</xdr:col>
          <xdr:colOff>204106</xdr:colOff>
          <xdr:row>73</xdr:row>
          <xdr:rowOff>145446</xdr:rowOff>
        </xdr:to>
        <xdr:pic>
          <xdr:nvPicPr>
            <xdr:cNvPr id="93" name="Picture 92">
              <a:extLst>
                <a:ext uri="{FF2B5EF4-FFF2-40B4-BE49-F238E27FC236}">
                  <a16:creationId xmlns:a16="http://schemas.microsoft.com/office/drawing/2014/main" id="{00000000-0008-0000-0300-00005D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Analysis!$A$330:$C$335" spid="_x0000_s99387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3031520" y="12491963"/>
              <a:ext cx="3866544" cy="1120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477173</xdr:colOff>
      <xdr:row>65</xdr:row>
      <xdr:rowOff>57959</xdr:rowOff>
    </xdr:from>
    <xdr:to>
      <xdr:col>12</xdr:col>
      <xdr:colOff>338634</xdr:colOff>
      <xdr:row>67</xdr:row>
      <xdr:rowOff>102697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/>
      </xdr:nvSpPr>
      <xdr:spPr>
        <a:xfrm>
          <a:off x="2911340" y="12043584"/>
          <a:ext cx="4729794" cy="4151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Bottom 5 Clients by Billable Hours</a:t>
          </a:r>
        </a:p>
      </xdr:txBody>
    </xdr:sp>
    <xdr:clientData/>
  </xdr:twoCellAnchor>
  <xdr:twoCellAnchor>
    <xdr:from>
      <xdr:col>13</xdr:col>
      <xdr:colOff>436349</xdr:colOff>
      <xdr:row>57</xdr:row>
      <xdr:rowOff>17138</xdr:rowOff>
    </xdr:from>
    <xdr:to>
      <xdr:col>23</xdr:col>
      <xdr:colOff>108855</xdr:colOff>
      <xdr:row>73</xdr:row>
      <xdr:rowOff>107346</xdr:rowOff>
    </xdr:to>
    <xdr:graphicFrame macro="">
      <xdr:nvGraphicFramePr>
        <xdr:cNvPr id="75" name="Chart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24</xdr:col>
      <xdr:colOff>354706</xdr:colOff>
      <xdr:row>57</xdr:row>
      <xdr:rowOff>3531</xdr:rowOff>
    </xdr:from>
    <xdr:to>
      <xdr:col>33</xdr:col>
      <xdr:colOff>604533</xdr:colOff>
      <xdr:row>73</xdr:row>
      <xdr:rowOff>120954</xdr:rowOff>
    </xdr:to>
    <xdr:graphicFrame macro="">
      <xdr:nvGraphicFramePr>
        <xdr:cNvPr id="76" name="Chart 75"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327494</xdr:colOff>
      <xdr:row>55</xdr:row>
      <xdr:rowOff>1799</xdr:rowOff>
    </xdr:from>
    <xdr:to>
      <xdr:col>23</xdr:col>
      <xdr:colOff>68036</xdr:colOff>
      <xdr:row>57</xdr:row>
      <xdr:rowOff>51829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8238536" y="10135341"/>
          <a:ext cx="5561375" cy="42044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Top 5 Clients by Billable Hours </a:t>
          </a:r>
        </a:p>
      </xdr:txBody>
    </xdr:sp>
    <xdr:clientData/>
  </xdr:twoCellAnchor>
  <xdr:twoCellAnchor>
    <xdr:from>
      <xdr:col>24</xdr:col>
      <xdr:colOff>300278</xdr:colOff>
      <xdr:row>55</xdr:row>
      <xdr:rowOff>1799</xdr:rowOff>
    </xdr:from>
    <xdr:to>
      <xdr:col>34</xdr:col>
      <xdr:colOff>299357</xdr:colOff>
      <xdr:row>57</xdr:row>
      <xdr:rowOff>51829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/>
      </xdr:nvSpPr>
      <xdr:spPr>
        <a:xfrm>
          <a:off x="14495174" y="10135341"/>
          <a:ext cx="6084496" cy="42044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>
              <a:solidFill>
                <a:schemeClr val="bg1"/>
              </a:solidFill>
              <a:latin typeface="+mj-lt"/>
            </a:rPr>
            <a:t>Bottom 5 Clients by Billable Hours </a:t>
          </a:r>
        </a:p>
      </xdr:txBody>
    </xdr:sp>
    <xdr:clientData/>
  </xdr:twoCellAnchor>
  <xdr:twoCellAnchor>
    <xdr:from>
      <xdr:col>12</xdr:col>
      <xdr:colOff>436351</xdr:colOff>
      <xdr:row>59</xdr:row>
      <xdr:rowOff>175131</xdr:rowOff>
    </xdr:from>
    <xdr:to>
      <xdr:col>12</xdr:col>
      <xdr:colOff>436351</xdr:colOff>
      <xdr:row>71</xdr:row>
      <xdr:rowOff>119102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CxnSpPr/>
      </xdr:nvCxnSpPr>
      <xdr:spPr>
        <a:xfrm>
          <a:off x="7738851" y="11049506"/>
          <a:ext cx="0" cy="2166471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96172</xdr:colOff>
      <xdr:row>59</xdr:row>
      <xdr:rowOff>79882</xdr:rowOff>
    </xdr:from>
    <xdr:to>
      <xdr:col>24</xdr:col>
      <xdr:colOff>96172</xdr:colOff>
      <xdr:row>71</xdr:row>
      <xdr:rowOff>29145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CxnSpPr/>
      </xdr:nvCxnSpPr>
      <xdr:spPr>
        <a:xfrm>
          <a:off x="14291068" y="10954257"/>
          <a:ext cx="0" cy="2171763"/>
        </a:xfrm>
        <a:prstGeom prst="line">
          <a:avLst/>
        </a:prstGeom>
        <a:ln w="9525" cap="flat" cmpd="sng" algn="ctr">
          <a:solidFill>
            <a:schemeClr val="bg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244926</xdr:colOff>
      <xdr:row>2</xdr:row>
      <xdr:rowOff>13605</xdr:rowOff>
    </xdr:from>
    <xdr:to>
      <xdr:col>3</xdr:col>
      <xdr:colOff>204105</xdr:colOff>
      <xdr:row>9</xdr:row>
      <xdr:rowOff>169715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GrpSpPr/>
      </xdr:nvGrpSpPr>
      <xdr:grpSpPr>
        <a:xfrm>
          <a:off x="244926" y="394605"/>
          <a:ext cx="1796143" cy="1489610"/>
          <a:chOff x="244928" y="394608"/>
          <a:chExt cx="1796143" cy="1489610"/>
        </a:xfrm>
      </xdr:grpSpPr>
      <xdr:pic>
        <xdr:nvPicPr>
          <xdr:cNvPr id="99" name="Graphic 98" descr="Scales of justice">
            <a:extLst>
              <a:ext uri="{FF2B5EF4-FFF2-40B4-BE49-F238E27FC236}">
                <a16:creationId xmlns:a16="http://schemas.microsoft.com/office/drawing/2014/main" id="{00000000-0008-0000-0300-00006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0"/>
              </a:ext>
            </a:extLst>
          </a:blip>
          <a:stretch>
            <a:fillRect/>
          </a:stretch>
        </xdr:blipFill>
        <xdr:spPr>
          <a:xfrm>
            <a:off x="745190" y="708366"/>
            <a:ext cx="795618" cy="807138"/>
          </a:xfrm>
          <a:prstGeom prst="rect">
            <a:avLst/>
          </a:prstGeom>
        </xdr:spPr>
      </xdr:pic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00000000-0008-0000-0300-000064000000}"/>
              </a:ext>
            </a:extLst>
          </xdr:cNvPr>
          <xdr:cNvSpPr/>
        </xdr:nvSpPr>
        <xdr:spPr>
          <a:xfrm>
            <a:off x="244928" y="394608"/>
            <a:ext cx="1796143" cy="1380492"/>
          </a:xfrm>
          <a:prstGeom prst="rect">
            <a:avLst/>
          </a:prstGeom>
          <a:noFill/>
        </xdr:spPr>
        <xdr:txBody>
          <a:bodyPr wrap="none" lIns="91440" tIns="45720" rIns="91440" bIns="45720">
            <a:prstTxWarp prst="textArchUp">
              <a:avLst>
                <a:gd name="adj" fmla="val 10432309"/>
              </a:avLst>
            </a:prstTxWarp>
            <a:spAutoFit/>
          </a:bodyPr>
          <a:lstStyle/>
          <a:p>
            <a:pPr algn="ctr"/>
            <a:r>
              <a:rPr lang="en-US" sz="2800" b="1" cap="none" spc="50">
                <a:ln w="0">
                  <a:solidFill>
                    <a:schemeClr val="bg1"/>
                  </a:solidFill>
                </a:ln>
                <a:solidFill>
                  <a:schemeClr val="bg1"/>
                </a:solidFill>
                <a:effectLst>
                  <a:innerShdw blurRad="63500" dist="50800" dir="13500000">
                    <a:schemeClr val="bg1">
                      <a:alpha val="50000"/>
                    </a:schemeClr>
                  </a:innerShdw>
                </a:effectLst>
              </a:rPr>
              <a:t>Law</a:t>
            </a:r>
            <a:r>
              <a:rPr lang="en-US" sz="2800" b="1" cap="none" spc="50" baseline="0">
                <a:ln w="0">
                  <a:solidFill>
                    <a:schemeClr val="bg1"/>
                  </a:solidFill>
                </a:ln>
                <a:solidFill>
                  <a:schemeClr val="bg1"/>
                </a:solidFill>
                <a:effectLst>
                  <a:innerShdw blurRad="63500" dist="50800" dir="13500000">
                    <a:schemeClr val="bg1">
                      <a:alpha val="50000"/>
                    </a:schemeClr>
                  </a:innerShdw>
                </a:effectLst>
              </a:rPr>
              <a:t> Firm</a:t>
            </a:r>
            <a:endParaRPr lang="en-US" sz="6000" b="1" cap="none" spc="50">
              <a:ln w="0">
                <a:solidFill>
                  <a:schemeClr val="bg1"/>
                </a:solidFill>
              </a:ln>
              <a:solidFill>
                <a:schemeClr val="bg1"/>
              </a:solidFill>
              <a:effectLst>
                <a:innerShdw blurRad="63500" dist="50800" dir="13500000">
                  <a:schemeClr val="bg1">
                    <a:alpha val="50000"/>
                  </a:schemeClr>
                </a:innerShdw>
              </a:effectLst>
            </a:endParaRPr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SpPr/>
        </xdr:nvSpPr>
        <xdr:spPr>
          <a:xfrm>
            <a:off x="244928" y="503474"/>
            <a:ext cx="1796143" cy="1380744"/>
          </a:xfrm>
          <a:prstGeom prst="rect">
            <a:avLst/>
          </a:prstGeom>
          <a:noFill/>
        </xdr:spPr>
        <xdr:txBody>
          <a:bodyPr wrap="none" lIns="91440" tIns="45720" rIns="91440" bIns="45720">
            <a:prstTxWarp prst="textArchDown">
              <a:avLst/>
            </a:prstTxWarp>
            <a:spAutoFit/>
          </a:bodyPr>
          <a:lstStyle/>
          <a:p>
            <a:pPr algn="ctr"/>
            <a:r>
              <a:rPr lang="en-US" sz="1800" b="1" cap="none" spc="50" baseline="0">
                <a:ln w="0">
                  <a:solidFill>
                    <a:schemeClr val="bg1"/>
                  </a:solidFill>
                </a:ln>
                <a:solidFill>
                  <a:schemeClr val="bg1"/>
                </a:solidFill>
                <a:effectLst>
                  <a:innerShdw blurRad="63500" dist="50800" dir="13500000">
                    <a:schemeClr val="bg1">
                      <a:alpha val="50000"/>
                    </a:schemeClr>
                  </a:innerShdw>
                </a:effectLst>
              </a:rPr>
              <a:t>Dashboard</a:t>
            </a:r>
            <a:endParaRPr lang="en-US" sz="4400" b="1" cap="none" spc="50">
              <a:ln w="0">
                <a:solidFill>
                  <a:schemeClr val="bg1"/>
                </a:solidFill>
              </a:ln>
              <a:solidFill>
                <a:schemeClr val="bg1"/>
              </a:solidFill>
              <a:effectLst>
                <a:innerShdw blurRad="63500" dist="50800" dir="13500000">
                  <a:schemeClr val="bg1">
                    <a:alpha val="50000"/>
                  </a:schemeClr>
                </a:innerShdw>
              </a:effectLst>
            </a:endParaRPr>
          </a:p>
        </xdr:txBody>
      </xdr:sp>
    </xdr:grpSp>
    <xdr:clientData/>
  </xdr:twoCellAnchor>
  <xdr:twoCellAnchor>
    <xdr:from>
      <xdr:col>16</xdr:col>
      <xdr:colOff>75272</xdr:colOff>
      <xdr:row>3</xdr:row>
      <xdr:rowOff>136071</xdr:rowOff>
    </xdr:from>
    <xdr:to>
      <xdr:col>21</xdr:col>
      <xdr:colOff>277982</xdr:colOff>
      <xdr:row>9</xdr:row>
      <xdr:rowOff>48018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pSpPr/>
      </xdr:nvGrpSpPr>
      <xdr:grpSpPr>
        <a:xfrm>
          <a:off x="9872415" y="707571"/>
          <a:ext cx="2937746" cy="1054947"/>
          <a:chOff x="9811939" y="691696"/>
          <a:chExt cx="2927918" cy="1023197"/>
        </a:xfrm>
      </xdr:grpSpPr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GrpSpPr/>
        </xdr:nvGrpSpPr>
        <xdr:grpSpPr>
          <a:xfrm>
            <a:off x="9811939" y="691696"/>
            <a:ext cx="2927918" cy="1023197"/>
            <a:chOff x="9341031" y="707571"/>
            <a:chExt cx="2921665" cy="1054947"/>
          </a:xfrm>
        </xdr:grpSpPr>
        <xdr:grpSp>
          <xdr:nvGrpSpPr>
            <xdr:cNvPr id="9" name="Group 8">
              <a:extLst>
                <a:ext uri="{FF2B5EF4-FFF2-40B4-BE49-F238E27FC236}">
                  <a16:creationId xmlns:a16="http://schemas.microsoft.com/office/drawing/2014/main" id="{00000000-0008-0000-0300-000009000000}"/>
                </a:ext>
              </a:extLst>
            </xdr:cNvPr>
            <xdr:cNvGrpSpPr/>
          </xdr:nvGrpSpPr>
          <xdr:grpSpPr>
            <a:xfrm>
              <a:off x="9341031" y="707571"/>
              <a:ext cx="2921665" cy="1054947"/>
              <a:chOff x="9676190" y="786190"/>
              <a:chExt cx="2914792" cy="1091233"/>
            </a:xfrm>
          </xdr:grpSpPr>
          <xdr:sp macro="" textlink="">
            <xdr:nvSpPr>
              <xdr:cNvPr id="14" name="Rectangle: Top Corners Rounded 13">
                <a:extLst>
                  <a:ext uri="{FF2B5EF4-FFF2-40B4-BE49-F238E27FC236}">
                    <a16:creationId xmlns:a16="http://schemas.microsoft.com/office/drawing/2014/main" id="{00000000-0008-0000-0300-00000E000000}"/>
                  </a:ext>
                </a:extLst>
              </xdr:cNvPr>
              <xdr:cNvSpPr/>
            </xdr:nvSpPr>
            <xdr:spPr>
              <a:xfrm rot="5400000">
                <a:off x="10688128" y="-25430"/>
                <a:ext cx="1091233" cy="2714474"/>
              </a:xfrm>
              <a:prstGeom prst="round2SameRect">
                <a:avLst/>
              </a:prstGeom>
              <a:ln>
                <a:noFill/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15" name="Rectangle: Top Corners Rounded 14">
                <a:extLst>
                  <a:ext uri="{FF2B5EF4-FFF2-40B4-BE49-F238E27FC236}">
                    <a16:creationId xmlns:a16="http://schemas.microsoft.com/office/drawing/2014/main" id="{00000000-0008-0000-0300-00000F000000}"/>
                  </a:ext>
                </a:extLst>
              </xdr:cNvPr>
              <xdr:cNvSpPr/>
            </xdr:nvSpPr>
            <xdr:spPr>
              <a:xfrm rot="16200000">
                <a:off x="9224973" y="1237407"/>
                <a:ext cx="1091233" cy="188799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chemeClr val="accent4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 txBox="1"/>
          </xdr:nvSpPr>
          <xdr:spPr>
            <a:xfrm>
              <a:off x="10683163" y="753834"/>
              <a:ext cx="1212273" cy="3129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600" b="1" baseline="0">
                  <a:solidFill>
                    <a:schemeClr val="accent4">
                      <a:lumMod val="75000"/>
                    </a:schemeClr>
                  </a:solidFill>
                </a:rPr>
                <a:t>Total Billed</a:t>
              </a:r>
              <a:endParaRPr lang="en-US" sz="1600" b="1">
                <a:solidFill>
                  <a:schemeClr val="accent4">
                    <a:lumMod val="75000"/>
                  </a:schemeClr>
                </a:solidFill>
              </a:endParaRPr>
            </a:p>
          </xdr:txBody>
        </xdr:sp>
        <xdr:cxnSp macro="">
          <xdr:nvCxnSpPr>
            <xdr:cNvPr id="12" name="Straight Connector 11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CxnSpPr/>
          </xdr:nvCxnSpPr>
          <xdr:spPr>
            <a:xfrm>
              <a:off x="10309762" y="944336"/>
              <a:ext cx="0" cy="557893"/>
            </a:xfrm>
            <a:prstGeom prst="line">
              <a:avLst/>
            </a:prstGeom>
            <a:ln w="9525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Analysis!$D$308">
          <xdr:nvSpPr>
            <xdr:cNvPr id="13" name="Rectangle: Rounded Corners 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/>
          </xdr:nvSpPr>
          <xdr:spPr>
            <a:xfrm>
              <a:off x="10335246" y="1118251"/>
              <a:ext cx="1908108" cy="476695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fld id="{15042663-CCED-46E0-84E7-6965BD27C9CD}" type="TxLink">
                <a:rPr lang="en-US" sz="2400" b="1" i="0" u="none" strike="noStrike">
                  <a:solidFill>
                    <a:srgbClr val="000000"/>
                  </a:solidFill>
                  <a:latin typeface="+mj-lt"/>
                  <a:ea typeface="Calibri"/>
                  <a:cs typeface="Calibri"/>
                </a:rPr>
                <a:pPr algn="ctr"/>
                <a:t> 6,635,698.80 </a:t>
              </a:fld>
              <a:endParaRPr lang="en-US" sz="2400" b="1">
                <a:latin typeface="+mj-lt"/>
              </a:endParaRPr>
            </a:p>
          </xdr:txBody>
        </xdr:sp>
      </xdr:grpSp>
      <xdr:pic>
        <xdr:nvPicPr>
          <xdr:cNvPr id="97" name="Graphic 96" descr="Piggy Bank">
            <a:extLst>
              <a:ext uri="{FF2B5EF4-FFF2-40B4-BE49-F238E27FC236}">
                <a16:creationId xmlns:a16="http://schemas.microsoft.com/office/drawing/2014/main" id="{00000000-0008-0000-0300-00006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2"/>
              </a:ext>
            </a:extLst>
          </a:blip>
          <a:stretch>
            <a:fillRect/>
          </a:stretch>
        </xdr:blipFill>
        <xdr:spPr>
          <a:xfrm>
            <a:off x="10063294" y="850446"/>
            <a:ext cx="685233" cy="685233"/>
          </a:xfrm>
          <a:prstGeom prst="rect">
            <a:avLst/>
          </a:prstGeom>
        </xdr:spPr>
      </xdr:pic>
    </xdr:grpSp>
    <xdr:clientData/>
  </xdr:twoCellAnchor>
  <xdr:twoCellAnchor>
    <xdr:from>
      <xdr:col>29</xdr:col>
      <xdr:colOff>132059</xdr:colOff>
      <xdr:row>3</xdr:row>
      <xdr:rowOff>100692</xdr:rowOff>
    </xdr:from>
    <xdr:to>
      <xdr:col>34</xdr:col>
      <xdr:colOff>18505</xdr:colOff>
      <xdr:row>9</xdr:row>
      <xdr:rowOff>12639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GrpSpPr/>
      </xdr:nvGrpSpPr>
      <xdr:grpSpPr>
        <a:xfrm>
          <a:off x="17453952" y="672192"/>
          <a:ext cx="2948053" cy="1054947"/>
          <a:chOff x="17369663" y="656317"/>
          <a:chExt cx="2929155" cy="1023197"/>
        </a:xfrm>
      </xdr:grpSpPr>
      <xdr:grpSp>
        <xdr:nvGrpSpPr>
          <xdr:cNvPr id="24" name="Group 23">
            <a:extLst>
              <a:ext uri="{FF2B5EF4-FFF2-40B4-BE49-F238E27FC236}">
                <a16:creationId xmlns:a16="http://schemas.microsoft.com/office/drawing/2014/main" id="{00000000-0008-0000-0300-000018000000}"/>
              </a:ext>
            </a:extLst>
          </xdr:cNvPr>
          <xdr:cNvGrpSpPr/>
        </xdr:nvGrpSpPr>
        <xdr:grpSpPr>
          <a:xfrm>
            <a:off x="17369663" y="656317"/>
            <a:ext cx="2929155" cy="1023197"/>
            <a:chOff x="16480422" y="707571"/>
            <a:chExt cx="2917128" cy="1054947"/>
          </a:xfrm>
        </xdr:grpSpPr>
        <xdr:grpSp>
          <xdr:nvGrpSpPr>
            <xdr:cNvPr id="25" name="Group 24">
              <a:extLst>
                <a:ext uri="{FF2B5EF4-FFF2-40B4-BE49-F238E27FC236}">
                  <a16:creationId xmlns:a16="http://schemas.microsoft.com/office/drawing/2014/main" id="{00000000-0008-0000-0300-000019000000}"/>
                </a:ext>
              </a:extLst>
            </xdr:cNvPr>
            <xdr:cNvGrpSpPr/>
          </xdr:nvGrpSpPr>
          <xdr:grpSpPr>
            <a:xfrm>
              <a:off x="16480422" y="707571"/>
              <a:ext cx="2917128" cy="1054947"/>
              <a:chOff x="12987262" y="786190"/>
              <a:chExt cx="2910256" cy="1091233"/>
            </a:xfrm>
          </xdr:grpSpPr>
          <xdr:sp macro="" textlink="">
            <xdr:nvSpPr>
              <xdr:cNvPr id="30" name="Rectangle: Top Corners Rounded 29">
                <a:extLst>
                  <a:ext uri="{FF2B5EF4-FFF2-40B4-BE49-F238E27FC236}">
                    <a16:creationId xmlns:a16="http://schemas.microsoft.com/office/drawing/2014/main" id="{00000000-0008-0000-0300-00001E000000}"/>
                  </a:ext>
                </a:extLst>
              </xdr:cNvPr>
              <xdr:cNvSpPr/>
            </xdr:nvSpPr>
            <xdr:spPr>
              <a:xfrm rot="5400000">
                <a:off x="13996932" y="-23162"/>
                <a:ext cx="1091233" cy="2709938"/>
              </a:xfrm>
              <a:prstGeom prst="round2SameRect">
                <a:avLst/>
              </a:prstGeom>
              <a:ln>
                <a:noFill/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31" name="Rectangle: Top Corners Rounded 30">
                <a:extLst>
                  <a:ext uri="{FF2B5EF4-FFF2-40B4-BE49-F238E27FC236}">
                    <a16:creationId xmlns:a16="http://schemas.microsoft.com/office/drawing/2014/main" id="{00000000-0008-0000-0300-00001F000000}"/>
                  </a:ext>
                </a:extLst>
              </xdr:cNvPr>
              <xdr:cNvSpPr/>
            </xdr:nvSpPr>
            <xdr:spPr>
              <a:xfrm rot="16200000">
                <a:off x="12536045" y="1237407"/>
                <a:ext cx="1091233" cy="188799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chemeClr val="accent2">
                  <a:lumMod val="50000"/>
                </a:schemeClr>
              </a:solidFill>
              <a:ln>
                <a:noFill/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300-00001B000000}"/>
                </a:ext>
              </a:extLst>
            </xdr:cNvPr>
            <xdr:cNvSpPr txBox="1"/>
          </xdr:nvSpPr>
          <xdr:spPr>
            <a:xfrm>
              <a:off x="17408150" y="753834"/>
              <a:ext cx="1915757" cy="33201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en-US" sz="1600" b="1">
                  <a:solidFill>
                    <a:schemeClr val="accent2">
                      <a:lumMod val="50000"/>
                    </a:schemeClr>
                  </a:solidFill>
                </a:rPr>
                <a:t>Highest Billed Value</a:t>
              </a:r>
            </a:p>
          </xdr:txBody>
        </xdr:sp>
        <xdr:cxnSp macro="">
          <xdr:nvCxnSpPr>
            <xdr:cNvPr id="28" name="Straight Connector 27">
              <a:extLst>
                <a:ext uri="{FF2B5EF4-FFF2-40B4-BE49-F238E27FC236}">
                  <a16:creationId xmlns:a16="http://schemas.microsoft.com/office/drawing/2014/main" id="{00000000-0008-0000-0300-00001C000000}"/>
                </a:ext>
              </a:extLst>
            </xdr:cNvPr>
            <xdr:cNvCxnSpPr/>
          </xdr:nvCxnSpPr>
          <xdr:spPr>
            <a:xfrm>
              <a:off x="17309276" y="922566"/>
              <a:ext cx="0" cy="557893"/>
            </a:xfrm>
            <a:prstGeom prst="line">
              <a:avLst/>
            </a:prstGeom>
            <a:ln w="9525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Analysis!$D$310">
          <xdr:nvSpPr>
            <xdr:cNvPr id="29" name="Rectangle: Rounded Corners 28">
              <a:extLst>
                <a:ext uri="{FF2B5EF4-FFF2-40B4-BE49-F238E27FC236}">
                  <a16:creationId xmlns:a16="http://schemas.microsoft.com/office/drawing/2014/main" id="{00000000-0008-0000-0300-00001D000000}"/>
                </a:ext>
              </a:extLst>
            </xdr:cNvPr>
            <xdr:cNvSpPr/>
          </xdr:nvSpPr>
          <xdr:spPr>
            <a:xfrm>
              <a:off x="17430252" y="1118252"/>
              <a:ext cx="1871552" cy="476694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fld id="{06F3C504-4839-4D0E-A36B-48B1C27E6CE8}" type="TxLink">
                <a:rPr lang="en-US" sz="2400" b="1" i="0" u="none" strike="noStrike">
                  <a:solidFill>
                    <a:srgbClr val="000000"/>
                  </a:solidFill>
                  <a:latin typeface="+mj-lt"/>
                  <a:ea typeface="Calibri"/>
                  <a:cs typeface="Calibri"/>
                </a:rPr>
                <a:pPr algn="ctr"/>
                <a:t> 146,448.00 </a:t>
              </a:fld>
              <a:endParaRPr lang="en-US" sz="2400" b="1">
                <a:latin typeface="+mj-lt"/>
              </a:endParaRPr>
            </a:p>
          </xdr:txBody>
        </xdr:sp>
      </xdr:grpSp>
      <xdr:pic>
        <xdr:nvPicPr>
          <xdr:cNvPr id="37" name="Graphic 36" descr="Money">
            <a:extLst>
              <a:ext uri="{FF2B5EF4-FFF2-40B4-BE49-F238E27FC236}">
                <a16:creationId xmlns:a16="http://schemas.microsoft.com/office/drawing/2014/main" id="{00000000-0008-0000-03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4"/>
              </a:ext>
            </a:extLst>
          </a:blip>
          <a:stretch>
            <a:fillRect/>
          </a:stretch>
        </xdr:blipFill>
        <xdr:spPr>
          <a:xfrm>
            <a:off x="17568333" y="835024"/>
            <a:ext cx="608542" cy="608542"/>
          </a:xfrm>
          <a:prstGeom prst="rect">
            <a:avLst/>
          </a:prstGeom>
        </xdr:spPr>
      </xdr:pic>
    </xdr:grpSp>
    <xdr:clientData/>
  </xdr:twoCellAnchor>
  <xdr:twoCellAnchor>
    <xdr:from>
      <xdr:col>22</xdr:col>
      <xdr:colOff>379942</xdr:colOff>
      <xdr:row>3</xdr:row>
      <xdr:rowOff>135041</xdr:rowOff>
    </xdr:from>
    <xdr:to>
      <xdr:col>28</xdr:col>
      <xdr:colOff>24439</xdr:colOff>
      <xdr:row>9</xdr:row>
      <xdr:rowOff>48019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GrpSpPr/>
      </xdr:nvGrpSpPr>
      <xdr:grpSpPr>
        <a:xfrm>
          <a:off x="13524442" y="706541"/>
          <a:ext cx="3209568" cy="1055978"/>
          <a:chOff x="13450359" y="690666"/>
          <a:chExt cx="3203143" cy="1024228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GrpSpPr/>
        </xdr:nvGrpSpPr>
        <xdr:grpSpPr>
          <a:xfrm>
            <a:off x="13450359" y="690666"/>
            <a:ext cx="3203143" cy="1024228"/>
            <a:chOff x="12786404" y="707571"/>
            <a:chExt cx="3177451" cy="1054947"/>
          </a:xfrm>
        </xdr:grpSpPr>
        <xdr:grpSp>
          <xdr:nvGrpSpPr>
            <xdr:cNvPr id="17" name="Group 16">
              <a:extLst>
                <a:ext uri="{FF2B5EF4-FFF2-40B4-BE49-F238E27FC236}">
                  <a16:creationId xmlns:a16="http://schemas.microsoft.com/office/drawing/2014/main" id="{00000000-0008-0000-0300-000011000000}"/>
                </a:ext>
              </a:extLst>
            </xdr:cNvPr>
            <xdr:cNvGrpSpPr/>
          </xdr:nvGrpSpPr>
          <xdr:grpSpPr>
            <a:xfrm>
              <a:off x="12786404" y="707571"/>
              <a:ext cx="3177451" cy="1054947"/>
              <a:chOff x="12987262" y="786190"/>
              <a:chExt cx="2910256" cy="1091233"/>
            </a:xfrm>
          </xdr:grpSpPr>
          <xdr:sp macro="" textlink="">
            <xdr:nvSpPr>
              <xdr:cNvPr id="22" name="Rectangle: Top Corners Rounded 21">
                <a:extLst>
                  <a:ext uri="{FF2B5EF4-FFF2-40B4-BE49-F238E27FC236}">
                    <a16:creationId xmlns:a16="http://schemas.microsoft.com/office/drawing/2014/main" id="{00000000-0008-0000-0300-000016000000}"/>
                  </a:ext>
                </a:extLst>
              </xdr:cNvPr>
              <xdr:cNvSpPr/>
            </xdr:nvSpPr>
            <xdr:spPr>
              <a:xfrm rot="5400000">
                <a:off x="13996932" y="-23162"/>
                <a:ext cx="1091233" cy="2709938"/>
              </a:xfrm>
              <a:prstGeom prst="round2SameRect">
                <a:avLst/>
              </a:prstGeom>
              <a:ln>
                <a:noFill/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23" name="Rectangle: Top Corners Rounded 22">
                <a:extLst>
                  <a:ext uri="{FF2B5EF4-FFF2-40B4-BE49-F238E27FC236}">
                    <a16:creationId xmlns:a16="http://schemas.microsoft.com/office/drawing/2014/main" id="{00000000-0008-0000-0300-000017000000}"/>
                  </a:ext>
                </a:extLst>
              </xdr:cNvPr>
              <xdr:cNvSpPr/>
            </xdr:nvSpPr>
            <xdr:spPr>
              <a:xfrm rot="16200000">
                <a:off x="12536045" y="1237407"/>
                <a:ext cx="1091233" cy="188799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chemeClr val="accent6">
                  <a:lumMod val="75000"/>
                </a:schemeClr>
              </a:solidFill>
              <a:ln>
                <a:noFill/>
              </a:ln>
            </xdr:spPr>
            <xdr:style>
              <a:lnRef idx="2">
                <a:schemeClr val="accent3"/>
              </a:lnRef>
              <a:fillRef idx="1">
                <a:schemeClr val="lt1"/>
              </a:fillRef>
              <a:effectRef idx="0">
                <a:schemeClr val="accent3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SpPr txBox="1"/>
          </xdr:nvSpPr>
          <xdr:spPr>
            <a:xfrm>
              <a:off x="14116496" y="740322"/>
              <a:ext cx="1765704" cy="38682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600" b="1">
                  <a:solidFill>
                    <a:schemeClr val="accent6">
                      <a:lumMod val="75000"/>
                    </a:schemeClr>
                  </a:solidFill>
                </a:rPr>
                <a:t>Billed Value/Case</a:t>
              </a:r>
              <a:endParaRPr lang="en-US" sz="1200" b="1">
                <a:solidFill>
                  <a:schemeClr val="accent6">
                    <a:lumMod val="75000"/>
                  </a:schemeClr>
                </a:solidFill>
              </a:endParaRPr>
            </a:p>
          </xdr:txBody>
        </xdr:sp>
        <xdr:cxnSp macro="">
          <xdr:nvCxnSpPr>
            <xdr:cNvPr id="20" name="Straight Connector 19">
              <a:extLst>
                <a:ext uri="{FF2B5EF4-FFF2-40B4-BE49-F238E27FC236}">
                  <a16:creationId xmlns:a16="http://schemas.microsoft.com/office/drawing/2014/main" id="{00000000-0008-0000-0300-000014000000}"/>
                </a:ext>
              </a:extLst>
            </xdr:cNvPr>
            <xdr:cNvCxnSpPr/>
          </xdr:nvCxnSpPr>
          <xdr:spPr>
            <a:xfrm>
              <a:off x="13811993" y="933451"/>
              <a:ext cx="0" cy="557893"/>
            </a:xfrm>
            <a:prstGeom prst="line">
              <a:avLst/>
            </a:prstGeom>
            <a:ln w="9525" cap="flat" cmpd="sng" algn="ctr">
              <a:solidFill>
                <a:schemeClr val="dk1"/>
              </a:solidFill>
              <a:prstDash val="dash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</xdr:cxnSp>
        <xdr:sp macro="" textlink="Analysis!$D$309">
          <xdr:nvSpPr>
            <xdr:cNvPr id="21" name="Rectangle: Rounded Corners 20">
              <a:extLst>
                <a:ext uri="{FF2B5EF4-FFF2-40B4-BE49-F238E27FC236}">
                  <a16:creationId xmlns:a16="http://schemas.microsoft.com/office/drawing/2014/main" id="{00000000-0008-0000-0300-000015000000}"/>
                </a:ext>
              </a:extLst>
            </xdr:cNvPr>
            <xdr:cNvSpPr/>
          </xdr:nvSpPr>
          <xdr:spPr>
            <a:xfrm>
              <a:off x="14198021" y="1091840"/>
              <a:ext cx="1602654" cy="543927"/>
            </a:xfrm>
            <a:prstGeom prst="round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b"/>
            <a:lstStyle/>
            <a:p>
              <a:pPr algn="ctr"/>
              <a:fld id="{37D849E7-5C4F-4E3E-A61B-276ACE632697}" type="TxLink">
                <a:rPr lang="en-US" sz="2400" b="1" i="0" u="none" strike="noStrike">
                  <a:solidFill>
                    <a:srgbClr val="000000"/>
                  </a:solidFill>
                  <a:latin typeface="+mj-lt"/>
                  <a:ea typeface="Calibri"/>
                  <a:cs typeface="Calibri"/>
                </a:rPr>
                <a:pPr algn="ctr"/>
                <a:t> 13,244.91 </a:t>
              </a:fld>
              <a:endParaRPr lang="en-US" sz="2400" b="1">
                <a:latin typeface="+mj-lt"/>
              </a:endParaRPr>
            </a:p>
          </xdr:txBody>
        </xdr:sp>
      </xdr:grpSp>
      <xdr:pic>
        <xdr:nvPicPr>
          <xdr:cNvPr id="58" name="Graphic 57" descr="Credit card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6"/>
              </a:ext>
            </a:extLst>
          </a:blip>
          <a:stretch>
            <a:fillRect/>
          </a:stretch>
        </xdr:blipFill>
        <xdr:spPr>
          <a:xfrm>
            <a:off x="13749584" y="870441"/>
            <a:ext cx="683437" cy="683437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590550</xdr:colOff>
          <xdr:row>284</xdr:row>
          <xdr:rowOff>171450</xdr:rowOff>
        </xdr:from>
        <xdr:to>
          <xdr:col>12</xdr:col>
          <xdr:colOff>1504950</xdr:colOff>
          <xdr:row>286</xdr:row>
          <xdr:rowOff>38100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4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E0DF-94FB-4EF5-8B11-A82BDACF4EF8}">
  <sheetPr>
    <tabColor theme="1"/>
  </sheetPr>
  <dimension ref="A1:AI93"/>
  <sheetViews>
    <sheetView showGridLines="0" tabSelected="1" zoomScale="70" zoomScaleNormal="70" workbookViewId="0"/>
  </sheetViews>
  <sheetFormatPr defaultColWidth="0" defaultRowHeight="15" zeroHeight="1" x14ac:dyDescent="0.25"/>
  <cols>
    <col min="1" max="20" width="9.140625" style="37" customWidth="1"/>
    <col min="21" max="21" width="4.28515625" style="37" customWidth="1"/>
    <col min="22" max="22" width="9.140625" style="37" customWidth="1"/>
    <col min="23" max="23" width="9.85546875" style="37" customWidth="1"/>
    <col min="24" max="24" width="6.85546875" style="37" customWidth="1"/>
    <col min="25" max="35" width="9.140625" style="37" customWidth="1"/>
    <col min="36" max="16384" width="9.140625" style="37" hidden="1"/>
  </cols>
  <sheetData>
    <row r="1" spans="15:32" x14ac:dyDescent="0.25"/>
    <row r="2" spans="15:32" x14ac:dyDescent="0.25"/>
    <row r="3" spans="15:32" x14ac:dyDescent="0.25"/>
    <row r="4" spans="15:32" x14ac:dyDescent="0.25"/>
    <row r="5" spans="15:32" x14ac:dyDescent="0.25"/>
    <row r="6" spans="15:32" x14ac:dyDescent="0.25"/>
    <row r="7" spans="15:32" x14ac:dyDescent="0.25"/>
    <row r="8" spans="15:32" x14ac:dyDescent="0.25"/>
    <row r="9" spans="15:32" x14ac:dyDescent="0.25"/>
    <row r="10" spans="15:32" x14ac:dyDescent="0.25"/>
    <row r="11" spans="15:32" ht="5.25" customHeight="1" thickBot="1" x14ac:dyDescent="0.3"/>
    <row r="12" spans="15:32" ht="19.5" thickBot="1" x14ac:dyDescent="0.35">
      <c r="O12" s="209" t="s">
        <v>331</v>
      </c>
      <c r="P12" s="210"/>
      <c r="Q12" s="207">
        <v>2022</v>
      </c>
      <c r="R12" s="208"/>
      <c r="W12" s="209" t="s">
        <v>332</v>
      </c>
      <c r="X12" s="210"/>
      <c r="Y12" s="211" t="s">
        <v>312</v>
      </c>
      <c r="Z12" s="212"/>
      <c r="AC12" s="209" t="s">
        <v>331</v>
      </c>
      <c r="AD12" s="210"/>
      <c r="AE12" s="207">
        <v>2022</v>
      </c>
      <c r="AF12" s="208"/>
    </row>
    <row r="13" spans="15:32" x14ac:dyDescent="0.25"/>
    <row r="14" spans="15:32" x14ac:dyDescent="0.25"/>
    <row r="15" spans="15:32" x14ac:dyDescent="0.25"/>
    <row r="16" spans="15:32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ht="17.25" customHeight="1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ht="14.25" customHeight="1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</sheetData>
  <mergeCells count="6">
    <mergeCell ref="AE12:AF12"/>
    <mergeCell ref="O12:P12"/>
    <mergeCell ref="W12:X12"/>
    <mergeCell ref="Q12:R12"/>
    <mergeCell ref="Y12:Z12"/>
    <mergeCell ref="AC12:AD1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0513" r:id="rId4" name="Drop Down 1361">
              <controlPr defaultSize="0" autoLine="0" autoPict="0">
                <anchor moveWithCells="1">
                  <from>
                    <xdr:col>12</xdr:col>
                    <xdr:colOff>104775</xdr:colOff>
                    <xdr:row>33</xdr:row>
                    <xdr:rowOff>171450</xdr:rowOff>
                  </from>
                  <to>
                    <xdr:col>14</xdr:col>
                    <xdr:colOff>381000</xdr:colOff>
                    <xdr:row>35</xdr:row>
                    <xdr:rowOff>85725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3A90FB5-36E6-4BB4-A470-ED2CD8003762}">
          <x14:formula1>
            <xm:f>Analysis!$Q$14:$Q$25</xm:f>
          </x14:formula1>
          <xm:sqref>Y12:Z12</xm:sqref>
        </x14:dataValidation>
        <x14:dataValidation type="list" allowBlank="1" showInputMessage="1" showErrorMessage="1" xr:uid="{C7F54134-AE02-4AA2-95BD-2F8754DCC2DC}">
          <x14:formula1>
            <xm:f>Analysis!$P$14:$P$19</xm:f>
          </x14:formula1>
          <xm:sqref>Q12:R12 AE12:AF12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C0F4-CC40-4643-9284-9241BBC1C8D7}">
  <sheetPr>
    <tabColor theme="1"/>
  </sheetPr>
  <dimension ref="A1:AI78"/>
  <sheetViews>
    <sheetView showGridLines="0" zoomScale="70" zoomScaleNormal="70" workbookViewId="0"/>
  </sheetViews>
  <sheetFormatPr defaultColWidth="0" defaultRowHeight="15" zeroHeight="1" x14ac:dyDescent="0.25"/>
  <cols>
    <col min="1" max="20" width="9.140625" style="37" customWidth="1"/>
    <col min="21" max="21" width="4.28515625" style="37" customWidth="1"/>
    <col min="22" max="22" width="9.140625" style="37" customWidth="1"/>
    <col min="23" max="23" width="9.85546875" style="37" customWidth="1"/>
    <col min="24" max="24" width="6.85546875" style="37" customWidth="1"/>
    <col min="25" max="35" width="9.140625" style="37" customWidth="1"/>
    <col min="36" max="16384" width="9.140625" style="37" hidden="1"/>
  </cols>
  <sheetData>
    <row r="1" spans="15:26" x14ac:dyDescent="0.25"/>
    <row r="2" spans="15:26" x14ac:dyDescent="0.25"/>
    <row r="3" spans="15:26" x14ac:dyDescent="0.25"/>
    <row r="4" spans="15:26" x14ac:dyDescent="0.25"/>
    <row r="5" spans="15:26" x14ac:dyDescent="0.25"/>
    <row r="6" spans="15:26" x14ac:dyDescent="0.25"/>
    <row r="7" spans="15:26" x14ac:dyDescent="0.25"/>
    <row r="8" spans="15:26" x14ac:dyDescent="0.25"/>
    <row r="9" spans="15:26" x14ac:dyDescent="0.25"/>
    <row r="10" spans="15:26" x14ac:dyDescent="0.25"/>
    <row r="11" spans="15:26" ht="5.25" customHeight="1" thickBot="1" x14ac:dyDescent="0.3"/>
    <row r="12" spans="15:26" ht="19.5" thickBot="1" x14ac:dyDescent="0.35">
      <c r="O12" s="209" t="s">
        <v>331</v>
      </c>
      <c r="P12" s="210"/>
      <c r="Q12" s="207">
        <v>2021</v>
      </c>
      <c r="R12" s="208"/>
      <c r="W12" s="209" t="s">
        <v>332</v>
      </c>
      <c r="X12" s="210"/>
      <c r="Y12" s="211" t="s">
        <v>315</v>
      </c>
      <c r="Z12" s="212"/>
    </row>
    <row r="13" spans="15:26" x14ac:dyDescent="0.25"/>
    <row r="14" spans="15:26" x14ac:dyDescent="0.25"/>
    <row r="15" spans="15:26" x14ac:dyDescent="0.25"/>
    <row r="16" spans="15:2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</sheetData>
  <mergeCells count="4">
    <mergeCell ref="O12:P12"/>
    <mergeCell ref="Q12:R12"/>
    <mergeCell ref="W12:X12"/>
    <mergeCell ref="Y12:Z12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649FC28-E050-4E65-9C30-8FE7319279C4}">
          <x14:formula1>
            <xm:f>Analysis!$Q$14:$Q$25</xm:f>
          </x14:formula1>
          <xm:sqref>Y12:Z12</xm:sqref>
        </x14:dataValidation>
        <x14:dataValidation type="list" allowBlank="1" showInputMessage="1" showErrorMessage="1" xr:uid="{AA06434E-C8C2-4185-8A32-F1300D7CB270}">
          <x14:formula1>
            <xm:f>Analysis!$P$14:$P$19</xm:f>
          </x14:formula1>
          <xm:sqref>Q12:R12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DFAB-7888-4F1E-B3C2-CBA705F85E39}">
  <sheetPr>
    <tabColor theme="1"/>
  </sheetPr>
  <dimension ref="A1:AI61"/>
  <sheetViews>
    <sheetView showGridLines="0" zoomScale="70" zoomScaleNormal="70" workbookViewId="0"/>
  </sheetViews>
  <sheetFormatPr defaultColWidth="0" defaultRowHeight="15" zeroHeight="1" x14ac:dyDescent="0.25"/>
  <cols>
    <col min="1" max="20" width="9.140625" style="37" customWidth="1"/>
    <col min="21" max="21" width="4.28515625" style="37" customWidth="1"/>
    <col min="22" max="22" width="9.140625" style="37" customWidth="1"/>
    <col min="23" max="23" width="9.85546875" style="37" customWidth="1"/>
    <col min="24" max="24" width="6.85546875" style="37" customWidth="1"/>
    <col min="25" max="35" width="9.140625" style="37" customWidth="1"/>
    <col min="36" max="16384" width="9.140625" style="37" hidden="1"/>
  </cols>
  <sheetData>
    <row r="1" spans="15:26" x14ac:dyDescent="0.25"/>
    <row r="2" spans="15:26" x14ac:dyDescent="0.25"/>
    <row r="3" spans="15:26" x14ac:dyDescent="0.25"/>
    <row r="4" spans="15:26" x14ac:dyDescent="0.25"/>
    <row r="5" spans="15:26" x14ac:dyDescent="0.25"/>
    <row r="6" spans="15:26" x14ac:dyDescent="0.25"/>
    <row r="7" spans="15:26" x14ac:dyDescent="0.25"/>
    <row r="8" spans="15:26" x14ac:dyDescent="0.25"/>
    <row r="9" spans="15:26" x14ac:dyDescent="0.25"/>
    <row r="10" spans="15:26" x14ac:dyDescent="0.25"/>
    <row r="11" spans="15:26" ht="5.25" customHeight="1" thickBot="1" x14ac:dyDescent="0.3"/>
    <row r="12" spans="15:26" ht="19.5" thickBot="1" x14ac:dyDescent="0.35">
      <c r="O12" s="209" t="s">
        <v>331</v>
      </c>
      <c r="P12" s="210"/>
      <c r="Q12" s="207">
        <v>2022</v>
      </c>
      <c r="R12" s="208"/>
      <c r="W12" s="209" t="s">
        <v>332</v>
      </c>
      <c r="X12" s="210"/>
      <c r="Y12" s="211" t="s">
        <v>310</v>
      </c>
      <c r="Z12" s="212"/>
    </row>
    <row r="13" spans="15:26" x14ac:dyDescent="0.25"/>
    <row r="14" spans="15:26" x14ac:dyDescent="0.25"/>
    <row r="15" spans="15:26" x14ac:dyDescent="0.25"/>
    <row r="16" spans="15:2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</sheetData>
  <mergeCells count="4">
    <mergeCell ref="O12:P12"/>
    <mergeCell ref="Q12:R12"/>
    <mergeCell ref="W12:X12"/>
    <mergeCell ref="Y12:Z12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F579D6C-5F73-4CAD-99A1-83D72057D5AE}">
          <x14:formula1>
            <xm:f>Analysis!$Q$14:$Q$25</xm:f>
          </x14:formula1>
          <xm:sqref>Y12:Z12</xm:sqref>
        </x14:dataValidation>
        <x14:dataValidation type="list" allowBlank="1" showInputMessage="1" showErrorMessage="1" xr:uid="{C81B1176-9964-4AEC-BE99-063ED1377ED7}">
          <x14:formula1>
            <xm:f>Analysis!$P$14:$P$19</xm:f>
          </x14:formula1>
          <xm:sqref>Q12:R12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5038-491A-4F8B-B98A-C2DB646B1926}">
  <sheetPr>
    <tabColor theme="1"/>
  </sheetPr>
  <dimension ref="A1:AI76"/>
  <sheetViews>
    <sheetView showGridLines="0" zoomScale="70" zoomScaleNormal="70" workbookViewId="0"/>
  </sheetViews>
  <sheetFormatPr defaultColWidth="0" defaultRowHeight="15" zeroHeight="1" x14ac:dyDescent="0.25"/>
  <cols>
    <col min="1" max="20" width="9.140625" style="37" customWidth="1"/>
    <col min="21" max="21" width="4.28515625" style="37" customWidth="1"/>
    <col min="22" max="22" width="9.140625" style="37" customWidth="1"/>
    <col min="23" max="23" width="9.85546875" style="37" customWidth="1"/>
    <col min="24" max="24" width="6.85546875" style="37" customWidth="1"/>
    <col min="25" max="35" width="9.140625" style="37" customWidth="1"/>
    <col min="36" max="16384" width="9.140625" style="37" hidden="1"/>
  </cols>
  <sheetData>
    <row r="1" spans="15:18" x14ac:dyDescent="0.25"/>
    <row r="2" spans="15:18" x14ac:dyDescent="0.25"/>
    <row r="3" spans="15:18" x14ac:dyDescent="0.25"/>
    <row r="4" spans="15:18" x14ac:dyDescent="0.25"/>
    <row r="5" spans="15:18" x14ac:dyDescent="0.25"/>
    <row r="6" spans="15:18" x14ac:dyDescent="0.25"/>
    <row r="7" spans="15:18" x14ac:dyDescent="0.25"/>
    <row r="8" spans="15:18" x14ac:dyDescent="0.25"/>
    <row r="9" spans="15:18" x14ac:dyDescent="0.25"/>
    <row r="10" spans="15:18" x14ac:dyDescent="0.25"/>
    <row r="11" spans="15:18" ht="5.25" customHeight="1" thickBot="1" x14ac:dyDescent="0.3"/>
    <row r="12" spans="15:18" ht="19.5" thickBot="1" x14ac:dyDescent="0.35">
      <c r="O12" s="209" t="s">
        <v>331</v>
      </c>
      <c r="P12" s="210"/>
      <c r="Q12" s="207">
        <v>2022</v>
      </c>
      <c r="R12" s="208"/>
    </row>
    <row r="13" spans="15:18" x14ac:dyDescent="0.25"/>
    <row r="14" spans="15:18" x14ac:dyDescent="0.25"/>
    <row r="15" spans="15:18" x14ac:dyDescent="0.25"/>
    <row r="16" spans="15:18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</sheetData>
  <mergeCells count="2">
    <mergeCell ref="O12:P12"/>
    <mergeCell ref="Q12:R12"/>
  </mergeCells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258CF5-FC54-40EC-84C3-B8CD30A601DC}">
          <x14:formula1>
            <xm:f>Analysis!$P$14:$P$19</xm:f>
          </x14:formula1>
          <xm:sqref>Q12:R12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5107-AECC-4D51-839B-AE7D5BF963A5}">
  <sheetPr>
    <tabColor rgb="FF4B5D75"/>
  </sheetPr>
  <dimension ref="A1:BG346"/>
  <sheetViews>
    <sheetView showGridLines="0" zoomScale="70" zoomScaleNormal="70" workbookViewId="0">
      <selection activeCell="R292" sqref="R292"/>
    </sheetView>
  </sheetViews>
  <sheetFormatPr defaultRowHeight="15" x14ac:dyDescent="0.25"/>
  <cols>
    <col min="1" max="1" width="7.42578125" bestFit="1" customWidth="1"/>
    <col min="2" max="2" width="27.28515625" bestFit="1" customWidth="1"/>
    <col min="3" max="3" width="18.85546875" bestFit="1" customWidth="1"/>
    <col min="4" max="4" width="24.42578125" bestFit="1" customWidth="1"/>
    <col min="5" max="5" width="14.42578125" bestFit="1" customWidth="1"/>
    <col min="6" max="6" width="18.5703125" bestFit="1" customWidth="1"/>
    <col min="7" max="7" width="20" bestFit="1" customWidth="1"/>
    <col min="8" max="8" width="27.28515625" bestFit="1" customWidth="1"/>
    <col min="9" max="9" width="17.140625" bestFit="1" customWidth="1"/>
    <col min="10" max="10" width="27.7109375" bestFit="1" customWidth="1"/>
    <col min="11" max="11" width="27.28515625" bestFit="1" customWidth="1"/>
    <col min="12" max="12" width="20" bestFit="1" customWidth="1"/>
    <col min="13" max="13" width="23.85546875" bestFit="1" customWidth="1"/>
    <col min="14" max="14" width="26.7109375" bestFit="1" customWidth="1"/>
    <col min="15" max="15" width="17.28515625" bestFit="1" customWidth="1"/>
    <col min="16" max="16" width="23.85546875" bestFit="1" customWidth="1"/>
    <col min="18" max="18" width="25.85546875" bestFit="1" customWidth="1"/>
    <col min="19" max="19" width="24" bestFit="1" customWidth="1"/>
    <col min="20" max="20" width="24.42578125" bestFit="1" customWidth="1"/>
    <col min="21" max="21" width="14.42578125" bestFit="1" customWidth="1"/>
    <col min="24" max="24" width="22.5703125" bestFit="1" customWidth="1"/>
    <col min="25" max="25" width="15.28515625" bestFit="1" customWidth="1"/>
    <col min="26" max="26" width="24.42578125" bestFit="1" customWidth="1"/>
    <col min="28" max="28" width="15.85546875" customWidth="1"/>
    <col min="29" max="29" width="23.5703125" bestFit="1" customWidth="1"/>
    <col min="30" max="30" width="20.28515625" bestFit="1" customWidth="1"/>
    <col min="31" max="31" width="13.85546875" bestFit="1" customWidth="1"/>
    <col min="32" max="32" width="21" bestFit="1" customWidth="1"/>
    <col min="33" max="33" width="30.140625" bestFit="1" customWidth="1"/>
    <col min="34" max="34" width="30" bestFit="1" customWidth="1"/>
    <col min="35" max="35" width="33.42578125" bestFit="1" customWidth="1"/>
    <col min="38" max="38" width="23.5703125" bestFit="1" customWidth="1"/>
    <col min="39" max="39" width="15" bestFit="1" customWidth="1"/>
    <col min="40" max="40" width="9.85546875" customWidth="1"/>
    <col min="41" max="41" width="8.7109375" customWidth="1"/>
    <col min="42" max="43" width="10.7109375" bestFit="1" customWidth="1"/>
    <col min="49" max="49" width="23.85546875" bestFit="1" customWidth="1"/>
    <col min="50" max="50" width="19.28515625" bestFit="1" customWidth="1"/>
    <col min="51" max="52" width="12.140625" bestFit="1" customWidth="1"/>
    <col min="53" max="53" width="10" bestFit="1" customWidth="1"/>
    <col min="54" max="54" width="10.7109375" bestFit="1" customWidth="1"/>
    <col min="55" max="55" width="23.5703125" bestFit="1" customWidth="1"/>
    <col min="56" max="56" width="19.140625" bestFit="1" customWidth="1"/>
    <col min="57" max="57" width="12" bestFit="1" customWidth="1"/>
    <col min="58" max="58" width="11.140625" customWidth="1"/>
    <col min="59" max="59" width="12.140625" customWidth="1"/>
    <col min="60" max="60" width="10.85546875" bestFit="1" customWidth="1"/>
    <col min="61" max="61" width="10.7109375" customWidth="1"/>
    <col min="62" max="62" width="11" bestFit="1" customWidth="1"/>
    <col min="63" max="63" width="9.5703125" customWidth="1"/>
  </cols>
  <sheetData>
    <row r="1" spans="2:59" ht="15.75" thickBot="1" x14ac:dyDescent="0.3"/>
    <row r="2" spans="2:59" x14ac:dyDescent="0.25">
      <c r="C2" s="12" t="s">
        <v>275</v>
      </c>
      <c r="D2" s="39">
        <f>COUNTA(Tracker!$C$3:$C$503)</f>
        <v>501</v>
      </c>
    </row>
    <row r="3" spans="2:59" x14ac:dyDescent="0.25">
      <c r="C3" s="13" t="s">
        <v>280</v>
      </c>
      <c r="D3" s="40">
        <f>COUNTA($J$44:$J$92)</f>
        <v>49</v>
      </c>
    </row>
    <row r="4" spans="2:59" x14ac:dyDescent="0.25">
      <c r="C4" s="13" t="s">
        <v>290</v>
      </c>
      <c r="D4" s="42" t="str">
        <f>(ROUND((SUM(Tracker!$Z$3:$Z$503)/Analysis!$D$2),1)&amp;" "&amp;"hrs")</f>
        <v>121.9 hrs</v>
      </c>
    </row>
    <row r="5" spans="2:59" x14ac:dyDescent="0.25">
      <c r="C5" s="13" t="s">
        <v>291</v>
      </c>
      <c r="D5" s="41" t="str">
        <f ca="1">ROUND(AVERAGE(Tracker!$W$3:$W$503),1) &amp; " " &amp; "Days"</f>
        <v>253.8 Days</v>
      </c>
    </row>
    <row r="6" spans="2:59" ht="15.75" thickBot="1" x14ac:dyDescent="0.3">
      <c r="C6" s="14" t="s">
        <v>282</v>
      </c>
      <c r="D6" s="43">
        <f>COUNTA($R$44:$R$65)</f>
        <v>22</v>
      </c>
    </row>
    <row r="7" spans="2:59" ht="15.75" thickBot="1" x14ac:dyDescent="0.3"/>
    <row r="8" spans="2:59" ht="15.75" thickBot="1" x14ac:dyDescent="0.3">
      <c r="C8" s="11" t="s">
        <v>276</v>
      </c>
    </row>
    <row r="9" spans="2:59" x14ac:dyDescent="0.25">
      <c r="C9" s="10" t="s">
        <v>16</v>
      </c>
      <c r="D9" s="9" t="s">
        <v>277</v>
      </c>
    </row>
    <row r="10" spans="2:59" x14ac:dyDescent="0.25">
      <c r="C10" s="2" t="s">
        <v>20</v>
      </c>
      <c r="D10" s="2">
        <f>COUNTIF(Tracker!$S$3:$S$503,Analysis!$C10)</f>
        <v>442</v>
      </c>
    </row>
    <row r="11" spans="2:59" x14ac:dyDescent="0.25">
      <c r="C11" s="2" t="s">
        <v>163</v>
      </c>
      <c r="D11" s="2">
        <f>COUNTIF(Tracker!$S$3:$S$503,Analysis!$C11)</f>
        <v>22</v>
      </c>
    </row>
    <row r="12" spans="2:59" x14ac:dyDescent="0.25">
      <c r="C12" s="2" t="s">
        <v>167</v>
      </c>
      <c r="D12" s="2">
        <f>COUNTIF(Tracker!$S$3:$S$503,Analysis!$C12)</f>
        <v>37</v>
      </c>
    </row>
    <row r="13" spans="2:59" x14ac:dyDescent="0.25">
      <c r="B13" s="15"/>
      <c r="C13" s="15"/>
      <c r="D13" s="15"/>
    </row>
    <row r="14" spans="2:59" x14ac:dyDescent="0.25">
      <c r="B14" s="213" t="s">
        <v>293</v>
      </c>
      <c r="C14" s="213"/>
      <c r="D14" s="213"/>
      <c r="E14" s="213"/>
      <c r="F14" s="213"/>
      <c r="H14" s="213" t="s">
        <v>309</v>
      </c>
      <c r="I14" s="213"/>
      <c r="J14" s="213"/>
      <c r="K14" s="36"/>
      <c r="M14" s="213" t="s">
        <v>327</v>
      </c>
      <c r="N14" s="213"/>
      <c r="O14" s="213"/>
      <c r="P14">
        <f ca="1">YEAR(TODAY())</f>
        <v>2024</v>
      </c>
      <c r="Q14" t="s">
        <v>310</v>
      </c>
      <c r="R14" s="213" t="s">
        <v>333</v>
      </c>
      <c r="S14" s="213"/>
      <c r="T14" s="213"/>
      <c r="X14" s="213" t="s">
        <v>334</v>
      </c>
      <c r="Y14" s="213"/>
      <c r="Z14" s="213"/>
    </row>
    <row r="15" spans="2:59" x14ac:dyDescent="0.25">
      <c r="H15" s="44">
        <f>'Case Dashboard'!$Q$12</f>
        <v>2022</v>
      </c>
      <c r="I15" s="44" t="str">
        <f>'Case Dashboard'!$Y$12</f>
        <v>Mar</v>
      </c>
      <c r="P15">
        <f ca="1">$P14-1</f>
        <v>2023</v>
      </c>
      <c r="Q15" t="s">
        <v>311</v>
      </c>
      <c r="AX15" s="44">
        <f>'Case Dashboard'!$Q$12</f>
        <v>2022</v>
      </c>
      <c r="AY15" s="44" t="str">
        <f>'Case Dashboard'!$Y$12</f>
        <v>Mar</v>
      </c>
    </row>
    <row r="16" spans="2:59" x14ac:dyDescent="0.25">
      <c r="B16" s="17" t="s">
        <v>14</v>
      </c>
      <c r="C16" s="17" t="s">
        <v>20</v>
      </c>
      <c r="D16" s="17" t="s">
        <v>163</v>
      </c>
      <c r="E16" s="17" t="s">
        <v>167</v>
      </c>
      <c r="F16" s="17" t="s">
        <v>344</v>
      </c>
      <c r="H16" s="17" t="s">
        <v>14</v>
      </c>
      <c r="I16" s="46" t="s">
        <v>324</v>
      </c>
      <c r="J16" s="46" t="s">
        <v>325</v>
      </c>
      <c r="K16" s="46" t="s">
        <v>335</v>
      </c>
      <c r="M16" s="17" t="s">
        <v>14</v>
      </c>
      <c r="N16" s="46" t="s">
        <v>324</v>
      </c>
      <c r="O16" s="46" t="s">
        <v>325</v>
      </c>
      <c r="P16">
        <f ca="1">$P15-1</f>
        <v>2022</v>
      </c>
      <c r="Q16" t="s">
        <v>312</v>
      </c>
      <c r="R16" s="17" t="s">
        <v>14</v>
      </c>
      <c r="S16" s="123" t="s">
        <v>328</v>
      </c>
      <c r="T16" s="123" t="s">
        <v>330</v>
      </c>
      <c r="X16" s="17" t="s">
        <v>14</v>
      </c>
      <c r="Y16" s="34" t="s">
        <v>328</v>
      </c>
      <c r="Z16" s="34" t="s">
        <v>330</v>
      </c>
      <c r="AC16" s="17" t="s">
        <v>14</v>
      </c>
      <c r="AD16" s="46" t="s">
        <v>438</v>
      </c>
      <c r="AE16" s="123" t="s">
        <v>328</v>
      </c>
      <c r="AF16" s="123" t="s">
        <v>343</v>
      </c>
      <c r="AG16" s="123" t="s">
        <v>348</v>
      </c>
      <c r="AH16" s="123" t="s">
        <v>439</v>
      </c>
      <c r="AI16" s="123" t="s">
        <v>437</v>
      </c>
      <c r="AL16" s="17" t="s">
        <v>14</v>
      </c>
      <c r="AM16" s="46" t="s">
        <v>344</v>
      </c>
      <c r="AN16" s="46" t="s">
        <v>165</v>
      </c>
      <c r="AO16" s="46" t="s">
        <v>164</v>
      </c>
      <c r="AP16" s="46" t="s">
        <v>163</v>
      </c>
      <c r="AQ16" s="46" t="s">
        <v>167</v>
      </c>
      <c r="AR16" s="46" t="s">
        <v>162</v>
      </c>
      <c r="AS16" s="46" t="s">
        <v>353</v>
      </c>
      <c r="AW16" s="17" t="s">
        <v>14</v>
      </c>
      <c r="AX16" s="23" t="s">
        <v>409</v>
      </c>
      <c r="AY16" s="23" t="s">
        <v>410</v>
      </c>
      <c r="AZ16" s="23" t="s">
        <v>411</v>
      </c>
      <c r="BA16" s="23" t="s">
        <v>162</v>
      </c>
      <c r="BC16" s="17" t="s">
        <v>14</v>
      </c>
      <c r="BD16" s="23" t="s">
        <v>412</v>
      </c>
      <c r="BE16" s="23" t="s">
        <v>407</v>
      </c>
      <c r="BF16" s="23" t="s">
        <v>408</v>
      </c>
      <c r="BG16" s="23" t="s">
        <v>162</v>
      </c>
    </row>
    <row r="17" spans="2:59" ht="15.75" x14ac:dyDescent="0.25">
      <c r="B17" t="str">
        <f t="array" ref="B17">IFERROR(INDEX(Tracker!$Q$3:$Q$503,MATCH(0,COUNTIF($B$16:B16,Tracker!$Q$3:$Q$503),0)),"")</f>
        <v>Civil</v>
      </c>
      <c r="C17">
        <f>IF($B17="","",COUNTIFS(Tracker!$Q$3:$Q$503,Analysis!$B17,Tracker!$S$3:$S$503,Analysis!C$16))</f>
        <v>221</v>
      </c>
      <c r="D17">
        <f>IF($B17="","",COUNTIFS(Tracker!$Q$3:$Q$503,Analysis!$B17,Tracker!$S$3:$S$503,Analysis!D$16))</f>
        <v>13</v>
      </c>
      <c r="E17">
        <f>IF($B17="","",COUNTIFS(Tracker!$Q$3:$Q$503,Analysis!$B17,Tracker!$S$3:$S$503,Analysis!E$16))</f>
        <v>25</v>
      </c>
      <c r="F17">
        <f>SUM(C17:E17)</f>
        <v>259</v>
      </c>
      <c r="H17" t="str">
        <f t="array" ref="H17">IFERROR(INDEX(Tracker!$Q$3:$Q$503,MATCH(0,COUNTIF($B$16:H16,Tracker!$Q$3:$Q$503),0)),"")</f>
        <v>Civil</v>
      </c>
      <c r="I17" s="44">
        <f>IF($H17="","",COUNTIFS(Tracker!$Q$3:$Q$503,Analysis!$H17,Tracker!$I$3:$I$503,$H$15,Tracker!$J$3:$J$503,$I$15))</f>
        <v>9</v>
      </c>
      <c r="J17" s="44">
        <f>IF($H17="","",COUNTIFS(Tracker!$Q$3:$Q$503,Analysis!$H17,Tracker!$U$3:$U$503,$H$15,Tracker!$V$3:$V$503,$I$15))</f>
        <v>1</v>
      </c>
      <c r="K17" s="75">
        <f>IF(ISERROR($I17/SUM($I$17:$I$30)),0,($I17/SUM($I$17:$I$30)))</f>
        <v>0.5625</v>
      </c>
      <c r="L17" t="s">
        <v>326</v>
      </c>
      <c r="M17" t="str">
        <f t="array" ref="M17">IFERROR(INDEX(Tracker!$Q$3:$Q$503,MATCH(0,COUNTIF($B$16:M16,Tracker!$Q$3:$Q$503),0)),"")</f>
        <v>Civil</v>
      </c>
      <c r="N17" s="44">
        <f>IF($M17="","",COUNTIFS(Tracker!$Q$3:$Q$503,Analysis!$M17,Tracker!$I$3:$I$503,$H$15))</f>
        <v>62</v>
      </c>
      <c r="O17" s="44">
        <f>IF($M17="","",COUNTIFS(Tracker!$Q$3:$Q$503,Analysis!$M17,Tracker!$U$3:$U$503,$H$15))</f>
        <v>48</v>
      </c>
      <c r="P17">
        <f ca="1">$P16-1</f>
        <v>2021</v>
      </c>
      <c r="Q17" t="s">
        <v>313</v>
      </c>
      <c r="R17" t="str">
        <f t="array" aca="1" ref="R17" ca="1">IFERROR(INDEX(Tracker!$Q$3:$Q$503,MATCH(0,COUNTIF($B$16:R16,Tracker!$Q$3:$Q$503),0)),"")</f>
        <v>Civil</v>
      </c>
      <c r="S17" s="131">
        <f ca="1">COUNTIFS(Tracker!$Q$3:$Q$503,Analysis!$R17,Tracker!$S$3:$S$503,"Closed")</f>
        <v>221</v>
      </c>
      <c r="T17" s="134">
        <f ca="1">AVERAGEIFS(Tracker!$W$3:$W$503,Tracker!$Q$3:$Q$503,Analysis!$R17,Tracker!$S$3:$S$503,"Closed")</f>
        <v>211.58823529411765</v>
      </c>
      <c r="X17" t="str">
        <f t="array" aca="1" ref="X17" ca="1">IFERROR(INDEX(Tracker!$Q$3:$Q$503,MATCH(0,COUNTIF($B$16:X16,Tracker!$Q$3:$Q$503),0)),"")</f>
        <v>Civil</v>
      </c>
      <c r="Y17" s="44">
        <f ca="1">COUNTIFS(Tracker!$Q$3:$Q$503,Analysis!$R17,Tracker!$S$3:$S$503,"In Progress")</f>
        <v>13</v>
      </c>
      <c r="Z17" s="127">
        <f ca="1">IFERROR(AVERAGEIFS(Tracker!$W$3:$W$503,Tracker!$Q$3:$Q$503,Analysis!$R17,Tracker!$S$3:$S$503,"In Progress"),"0")</f>
        <v>381</v>
      </c>
      <c r="AC17" t="str">
        <f t="array" aca="1" ref="AC17" ca="1">IFERROR(INDEX(Tracker!$Q$3:$Q$503,MATCH(0,COUNTIF($B$16:AC16,Tracker!$Q$3:$Q$503),0)),"")</f>
        <v>Civil</v>
      </c>
      <c r="AD17" s="131">
        <v>150</v>
      </c>
      <c r="AE17" s="131">
        <f ca="1">COUNTIF(Tracker!$Q$3:$Q$503,Analysis!$AC17)</f>
        <v>259</v>
      </c>
      <c r="AF17" s="133">
        <f ca="1">SUMIF(Tracker!$Q$3:$Q$503,Analysis!$AC17,Tracker!$AA$3:$AA$503)</f>
        <v>5089896</v>
      </c>
      <c r="AG17" s="132">
        <f t="shared" ref="AG17:AG27" ca="1" si="0">AF17/SUM($AF$17:$AF$30)</f>
        <v>0.76704747358333991</v>
      </c>
      <c r="AH17" s="133">
        <f ca="1">SUMIFS(Tracker!$AA$3:$AA$503,Tracker!$Q$3:$Q$503,Analysis!$AC17,Tracker!$S$3:$S$503,"In Progress")</f>
        <v>415872</v>
      </c>
      <c r="AI17" s="133">
        <f ca="1">SUMIFS(Tracker!$AA$3:$AA$503,Tracker!$Q$3:$Q$503,Analysis!$AC17,Tracker!$S$3:$S$503,"Closed")</f>
        <v>3288492</v>
      </c>
      <c r="AL17" t="str">
        <f t="array" aca="1" ref="AL17" ca="1">IFERROR(INDEX(Tracker!$Q$3:$Q$503,MATCH(0,COUNTIF($B$16:AL16,Tracker!$Q$3:$Q$503),0)),"")</f>
        <v>Civil</v>
      </c>
      <c r="AM17" s="131">
        <f ca="1">COUNTIF(Tracker!$Q$3:$Q$503,Analysis!$AL17)</f>
        <v>259</v>
      </c>
      <c r="AN17" s="131">
        <f ca="1">COUNTIFS(Tracker!$Q$3:$Q$503,Analysis!$AL17,Tracker!$P$3:$P$503,Analysis!$AN$16)</f>
        <v>68</v>
      </c>
      <c r="AO17" s="131">
        <f ca="1">COUNTIFS(Tracker!$Q$3:$Q$503,Analysis!$AL17,Tracker!$P$3:$P$503,Analysis!$AO$16)</f>
        <v>78</v>
      </c>
      <c r="AP17" s="131">
        <f ca="1">COUNTIFS(Tracker!$Q$3:$Q$503,Analysis!$AL17,Tracker!$P$3:$P$503,Analysis!$AP$16)</f>
        <v>13</v>
      </c>
      <c r="AQ17" s="131">
        <f ca="1">COUNTIFS(Tracker!$Q$3:$Q$503,Analysis!$AL17,Tracker!$P$3:$P$503,Analysis!$AQ$16)</f>
        <v>25</v>
      </c>
      <c r="AR17" s="131">
        <f ca="1">COUNTIFS(Tracker!$Q$3:$Q$503,Analysis!$AL17,Tracker!$P$3:$P$503,Analysis!$AR$16)</f>
        <v>75</v>
      </c>
      <c r="AS17" s="132">
        <f ca="1">AN17/AM17</f>
        <v>0.26254826254826252</v>
      </c>
      <c r="AW17" t="str">
        <f t="array" aca="1" ref="AW17" ca="1">IFERROR(INDEX(Tracker!$Q$3:$Q$503,MATCH(0,COUNTIF($B$16:AW16,Tracker!$Q$3:$Q$503),0)),"")</f>
        <v>Civil</v>
      </c>
      <c r="AX17" s="131">
        <f ca="1">COUNTIFS(Tracker!$Q$3:$Q$503,Analysis!$AW17,Tracker!$I$3:$I$503,Analysis!$AX$15,Tracker!$J$3:$J$503,Analysis!$AY$15)</f>
        <v>9</v>
      </c>
      <c r="AY17" s="131">
        <f ca="1">COUNTIFS(Tracker!$Q$3:$Q$503,Analysis!$AW17,Tracker!$P$3:$P$503,"won",Tracker!$U$3:$U$503,Analysis!$AX$15,Tracker!$V$3:$V$503,Analysis!$AY$15)</f>
        <v>0</v>
      </c>
      <c r="AZ17" s="131">
        <f ca="1">COUNTIFS(Tracker!$Q$3:$Q$503,Analysis!$AW17,Tracker!$P$3:$P$503,"Lost",Tracker!$U$3:$U$503,Analysis!$AX$15,Tracker!$V$3:$V$503,Analysis!$AY$15)</f>
        <v>0</v>
      </c>
      <c r="BA17" s="131">
        <f ca="1">COUNTIFS(Tracker!$Q$3:$Q$503,Analysis!$AW17,Tracker!$P$3:$P$503,"Settled",Tracker!$U$3:$U$503,Analysis!$AX$15,Tracker!$V$3:$V$503,Analysis!$AY$15)</f>
        <v>1</v>
      </c>
      <c r="BC17" t="str">
        <f t="array" aca="1" ref="BC17" ca="1">IFERROR(INDEX(Tracker!$Q$3:$Q$503,MATCH(0,COUNTIF($B$16:BC16,Tracker!$Q$3:$Q$503),0)),"")</f>
        <v>Civil</v>
      </c>
      <c r="BD17" s="131">
        <f ca="1">COUNTIFS(Tracker!$Q$3:$Q$503,Analysis!$BC17,Tracker!$I$3:$I$503,Analysis!$AX$15)</f>
        <v>62</v>
      </c>
      <c r="BE17" s="131">
        <f ca="1">COUNTIFS(Tracker!$Q$3:$Q$503,Analysis!$BC17,Tracker!$P$3:$P$503,"won",Tracker!$U$3:$U$503,Analysis!$AX$15)</f>
        <v>14</v>
      </c>
      <c r="BF17" s="131">
        <f ca="1">COUNTIFS(Tracker!$Q$3:$Q$503,Analysis!$BC17,Tracker!$P$3:$P$503,"Lost",Tracker!$U$3:$U$503,Analysis!$AX$15)</f>
        <v>14</v>
      </c>
      <c r="BG17" s="131">
        <f ca="1">COUNTIFS(Tracker!$Q$3:$Q$503,Analysis!$BC17,Tracker!$P$3:$P$503,"Settled",Tracker!$U$3:$U$503,Analysis!$AX$15)</f>
        <v>20</v>
      </c>
    </row>
    <row r="18" spans="2:59" ht="15.75" x14ac:dyDescent="0.25">
      <c r="B18" t="str">
        <f t="array" ref="B18">IFERROR(INDEX(Tracker!$Q$3:$Q$503,MATCH(0,COUNTIF($B$16:B17,Tracker!$Q$3:$Q$503),0)),"")</f>
        <v>Federal</v>
      </c>
      <c r="C18">
        <f>IF($B18="","",COUNTIFS(Tracker!$Q$3:$Q$503,Analysis!$B18,Tracker!$S$3:$S$503,Analysis!C$16))</f>
        <v>92</v>
      </c>
      <c r="D18">
        <f>IF($B18="","",COUNTIFS(Tracker!$Q$3:$Q$503,Analysis!$B18,Tracker!$S$3:$S$503,Analysis!D$16))</f>
        <v>6</v>
      </c>
      <c r="E18">
        <f>IF($B18="","",COUNTIFS(Tracker!$Q$3:$Q$503,Analysis!$B18,Tracker!$S$3:$S$503,Analysis!E$16))</f>
        <v>5</v>
      </c>
      <c r="F18">
        <f t="shared" ref="F18:F27" si="1">SUM(C18:E18)</f>
        <v>103</v>
      </c>
      <c r="H18" t="str">
        <f t="array" ref="H18">IFERROR(INDEX(Tracker!$Q$3:$Q$503,MATCH(0,COUNTIF($B$16:H17,Tracker!$Q$3:$Q$503),0)),"")</f>
        <v>Federal</v>
      </c>
      <c r="I18" s="44">
        <f>IF($H18="","",COUNTIFS(Tracker!$Q$3:$Q$503,Analysis!$H18,Tracker!$I$3:$I$503,$H$15,Tracker!$J$3:$J$503,$I$15))</f>
        <v>5</v>
      </c>
      <c r="J18" s="44">
        <f>IF($H18="","",COUNTIFS(Tracker!$Q$3:$Q$503,Analysis!$H18,Tracker!$U$3:$U$503,$H$15,Tracker!$V$3:$V$503,$I$15))</f>
        <v>2</v>
      </c>
      <c r="K18" s="75">
        <f t="shared" ref="K18:K27" si="2">IF(ISERROR($I18/SUM($I$17:$I$30)),0,($I18/SUM($I$17:$I$30)))</f>
        <v>0.3125</v>
      </c>
      <c r="M18" t="str">
        <f t="array" ref="M18">IFERROR(INDEX(Tracker!$Q$3:$Q$503,MATCH(0,COUNTIF($B$16:M17,Tracker!$Q$3:$Q$503),0)),"")</f>
        <v>Federal</v>
      </c>
      <c r="N18" s="44">
        <f>IF($M18="","",COUNTIFS(Tracker!$Q$3:$Q$503,Analysis!$M18,Tracker!$I$3:$I$503,$H$15))</f>
        <v>36</v>
      </c>
      <c r="O18" s="44">
        <f>IF($M18="","",COUNTIFS(Tracker!$Q$3:$Q$503,Analysis!$M18,Tracker!$U$3:$U$503,$H$15))</f>
        <v>27</v>
      </c>
      <c r="P18">
        <f ca="1">$P17-1</f>
        <v>2020</v>
      </c>
      <c r="Q18" t="s">
        <v>314</v>
      </c>
      <c r="R18" t="str">
        <f t="array" aca="1" ref="R18" ca="1">IFERROR(INDEX(Tracker!$Q$3:$Q$503,MATCH(0,COUNTIF($B$16:R17,Tracker!$Q$3:$Q$503),0)),"")</f>
        <v>Federal</v>
      </c>
      <c r="S18" s="131">
        <f ca="1">COUNTIFS(Tracker!$Q$3:$Q$503,Analysis!$R18,Tracker!$S$3:$S$503,"Closed")</f>
        <v>92</v>
      </c>
      <c r="T18" s="134">
        <f ca="1">AVERAGEIFS(Tracker!$W$3:$W$503,Tracker!$Q$3:$Q$503,Analysis!$R18,Tracker!$S$3:$S$503,"Closed")</f>
        <v>217.29347826086956</v>
      </c>
      <c r="X18" t="str">
        <f t="array" aca="1" ref="X18" ca="1">IFERROR(INDEX(Tracker!$Q$3:$Q$503,MATCH(0,COUNTIF($B$16:X17,Tracker!$Q$3:$Q$503),0)),"")</f>
        <v>Federal</v>
      </c>
      <c r="Y18" s="44">
        <f ca="1">COUNTIFS(Tracker!$Q$3:$Q$503,Analysis!$R18,Tracker!$S$3:$S$503,"In Progress")</f>
        <v>6</v>
      </c>
      <c r="Z18" s="127">
        <f ca="1">IFERROR(AVERAGEIFS(Tracker!$W$3:$W$503,Tracker!$Q$3:$Q$503,Analysis!$R18,Tracker!$S$3:$S$503,"In Progress"),"0")</f>
        <v>276.5</v>
      </c>
      <c r="AC18" t="str">
        <f t="array" aca="1" ref="AC18" ca="1">IFERROR(INDEX(Tracker!$Q$3:$Q$503,MATCH(0,COUNTIF($B$16:AC17,Tracker!$Q$3:$Q$503),0)),"")</f>
        <v>Federal</v>
      </c>
      <c r="AD18" s="131">
        <v>50</v>
      </c>
      <c r="AE18" s="131">
        <f ca="1">COUNTIF(Tracker!$Q$3:$Q$503,Analysis!$AC18)</f>
        <v>103</v>
      </c>
      <c r="AF18" s="133">
        <f ca="1">SUMIF(Tracker!$Q$3:$Q$503,Analysis!$AC18,Tracker!$AA$3:$AA$503)</f>
        <v>611520</v>
      </c>
      <c r="AG18" s="132">
        <f t="shared" ca="1" si="0"/>
        <v>9.2156081587066618E-2</v>
      </c>
      <c r="AH18" s="133">
        <f ca="1">SUMIFS(Tracker!$AA$3:$AA$503,Tracker!$Q$3:$Q$503,Analysis!$AC18,Tracker!$S$3:$S$503,"In Progress")</f>
        <v>40932</v>
      </c>
      <c r="AI18" s="133">
        <f ca="1">SUMIFS(Tracker!$AA$3:$AA$503,Tracker!$Q$3:$Q$503,Analysis!$AC18,Tracker!$S$3:$S$503,"Closed")</f>
        <v>470784</v>
      </c>
      <c r="AL18" t="str">
        <f t="array" aca="1" ref="AL18" ca="1">IFERROR(INDEX(Tracker!$Q$3:$Q$503,MATCH(0,COUNTIF($B$16:AL17,Tracker!$Q$3:$Q$503),0)),"")</f>
        <v>Federal</v>
      </c>
      <c r="AM18" s="131">
        <f ca="1">COUNTIF(Tracker!$Q$3:$Q$503,Analysis!$AL18)</f>
        <v>103</v>
      </c>
      <c r="AN18" s="131">
        <f ca="1">COUNTIFS(Tracker!$Q$3:$Q$503,Analysis!$AL18,Tracker!$P$3:$P$503,Analysis!$AN$16)</f>
        <v>29</v>
      </c>
      <c r="AO18" s="131">
        <f ca="1">COUNTIFS(Tracker!$Q$3:$Q$503,Analysis!$AL18,Tracker!$P$3:$P$503,Analysis!$AO$16)</f>
        <v>33</v>
      </c>
      <c r="AP18" s="131">
        <f ca="1">COUNTIFS(Tracker!$Q$3:$Q$503,Analysis!$AL18,Tracker!$P$3:$P$503,Analysis!$AP$16)</f>
        <v>6</v>
      </c>
      <c r="AQ18" s="131">
        <f ca="1">COUNTIFS(Tracker!$Q$3:$Q$503,Analysis!$AL18,Tracker!$P$3:$P$503,Analysis!$AQ$16)</f>
        <v>5</v>
      </c>
      <c r="AR18" s="131">
        <f ca="1">COUNTIFS(Tracker!$Q$3:$Q$503,Analysis!$AL18,Tracker!$P$3:$P$503,Analysis!$AR$16)</f>
        <v>30</v>
      </c>
      <c r="AS18" s="132">
        <f t="shared" ref="AS18:AS27" ca="1" si="3">AN18/AM18</f>
        <v>0.28155339805825241</v>
      </c>
      <c r="AW18" t="str">
        <f t="array" aca="1" ref="AW18" ca="1">IFERROR(INDEX(Tracker!$Q$3:$Q$503,MATCH(0,COUNTIF($B$16:AW17,Tracker!$Q$3:$Q$503),0)),"")</f>
        <v>Federal</v>
      </c>
      <c r="AX18" s="131">
        <f ca="1">COUNTIFS(Tracker!$Q$3:$Q$503,Analysis!$AW18,Tracker!$I$3:$I$503,Analysis!$AX$15,Tracker!$J$3:$J$503,Analysis!$AY$15)</f>
        <v>5</v>
      </c>
      <c r="AY18" s="131">
        <f ca="1">COUNTIFS(Tracker!$Q$3:$Q$503,Analysis!$AW18,Tracker!$P$3:$P$503,"won",Tracker!$U$3:$U$503,Analysis!$AX$15,Tracker!$V$3:$V$503,Analysis!$AY$15)</f>
        <v>0</v>
      </c>
      <c r="AZ18" s="131">
        <f ca="1">COUNTIFS(Tracker!$Q$3:$Q$503,Analysis!$AW18,Tracker!$P$3:$P$503,"Lost",Tracker!$U$3:$U$503,Analysis!$AX$15,Tracker!$V$3:$V$503,Analysis!$AY$15)</f>
        <v>1</v>
      </c>
      <c r="BA18" s="131">
        <f ca="1">COUNTIFS(Tracker!$Q$3:$Q$503,Analysis!$AW18,Tracker!$P$3:$P$503,"Settled",Tracker!$U$3:$U$503,Analysis!$AX$15,Tracker!$V$3:$V$503,Analysis!$AY$15)</f>
        <v>1</v>
      </c>
      <c r="BC18" t="str">
        <f t="array" aca="1" ref="BC18" ca="1">IFERROR(INDEX(Tracker!$Q$3:$Q$503,MATCH(0,COUNTIF($B$16:BC17,Tracker!$Q$3:$Q$503),0)),"")</f>
        <v>Federal</v>
      </c>
      <c r="BD18" s="131">
        <f ca="1">COUNTIFS(Tracker!$Q$3:$Q$503,Analysis!$BC18,Tracker!$I$3:$I$503,Analysis!$AX$15)</f>
        <v>36</v>
      </c>
      <c r="BE18" s="131">
        <f ca="1">COUNTIFS(Tracker!$Q$3:$Q$503,Analysis!$BC18,Tracker!$P$3:$P$503,"won",Tracker!$U$3:$U$503,Analysis!$AX$15)</f>
        <v>4</v>
      </c>
      <c r="BF18" s="131">
        <f ca="1">COUNTIFS(Tracker!$Q$3:$Q$503,Analysis!$BC18,Tracker!$P$3:$P$503,"Lost",Tracker!$U$3:$U$503,Analysis!$AX$15)</f>
        <v>12</v>
      </c>
      <c r="BG18" s="131">
        <f ca="1">COUNTIFS(Tracker!$Q$3:$Q$503,Analysis!$BC18,Tracker!$P$3:$P$503,"Settled",Tracker!$U$3:$U$503,Analysis!$AX$15)</f>
        <v>11</v>
      </c>
    </row>
    <row r="19" spans="2:59" ht="15.75" x14ac:dyDescent="0.25">
      <c r="B19" t="str">
        <f t="array" ref="B19">IFERROR(INDEX(Tracker!$Q$3:$Q$503,MATCH(0,COUNTIF($B$16:B18,Tracker!$Q$3:$Q$503),0)),"")</f>
        <v>Employment Tribunal</v>
      </c>
      <c r="C19">
        <f>IF($B19="","",COUNTIFS(Tracker!$Q$3:$Q$503,Analysis!$B19,Tracker!$S$3:$S$503,Analysis!C$16))</f>
        <v>11</v>
      </c>
      <c r="D19">
        <f>IF($B19="","",COUNTIFS(Tracker!$Q$3:$Q$503,Analysis!$B19,Tracker!$S$3:$S$503,Analysis!D$16))</f>
        <v>1</v>
      </c>
      <c r="E19">
        <f>IF($B19="","",COUNTIFS(Tracker!$Q$3:$Q$503,Analysis!$B19,Tracker!$S$3:$S$503,Analysis!E$16))</f>
        <v>1</v>
      </c>
      <c r="F19">
        <f t="shared" si="1"/>
        <v>13</v>
      </c>
      <c r="H19" t="str">
        <f t="array" ref="H19">IFERROR(INDEX(Tracker!$Q$3:$Q$503,MATCH(0,COUNTIF($B$16:H18,Tracker!$Q$3:$Q$503),0)),"")</f>
        <v>Employment Tribunal</v>
      </c>
      <c r="I19" s="44">
        <f>IF($H19="","",COUNTIFS(Tracker!$Q$3:$Q$503,Analysis!$H19,Tracker!$I$3:$I$503,$H$15,Tracker!$J$3:$J$503,$I$15))</f>
        <v>0</v>
      </c>
      <c r="J19" s="44">
        <f>IF($H19="","",COUNTIFS(Tracker!$Q$3:$Q$503,Analysis!$H19,Tracker!$U$3:$U$503,$H$15,Tracker!$V$3:$V$503,$I$15))</f>
        <v>0</v>
      </c>
      <c r="K19" s="75">
        <f t="shared" si="2"/>
        <v>0</v>
      </c>
      <c r="M19" t="str">
        <f t="array" ref="M19">IFERROR(INDEX(Tracker!$Q$3:$Q$503,MATCH(0,COUNTIF($B$16:M18,Tracker!$Q$3:$Q$503),0)),"")</f>
        <v>Employment Tribunal</v>
      </c>
      <c r="N19" s="44">
        <f>IF($M19="","",COUNTIFS(Tracker!$Q$3:$Q$503,Analysis!$M19,Tracker!$I$3:$I$503,$H$15))</f>
        <v>1</v>
      </c>
      <c r="O19" s="44">
        <f>IF($M19="","",COUNTIFS(Tracker!$Q$3:$Q$503,Analysis!$M19,Tracker!$U$3:$U$503,$H$15))</f>
        <v>2</v>
      </c>
      <c r="P19">
        <f ca="1">$P18-1</f>
        <v>2019</v>
      </c>
      <c r="Q19" t="s">
        <v>315</v>
      </c>
      <c r="R19" t="str">
        <f t="array" aca="1" ref="R19" ca="1">IFERROR(INDEX(Tracker!$Q$3:$Q$503,MATCH(0,COUNTIF($B$16:R18,Tracker!$Q$3:$Q$503),0)),"")</f>
        <v>Employment Tribunal</v>
      </c>
      <c r="S19" s="131">
        <f ca="1">COUNTIFS(Tracker!$Q$3:$Q$503,Analysis!$R19,Tracker!$S$3:$S$503,"Closed")</f>
        <v>11</v>
      </c>
      <c r="T19" s="134">
        <f ca="1">AVERAGEIFS(Tracker!$W$3:$W$503,Tracker!$Q$3:$Q$503,Analysis!$R19,Tracker!$S$3:$S$503,"Closed")</f>
        <v>240.36363636363637</v>
      </c>
      <c r="X19" t="str">
        <f t="array" aca="1" ref="X19" ca="1">IFERROR(INDEX(Tracker!$Q$3:$Q$503,MATCH(0,COUNTIF($B$16:X18,Tracker!$Q$3:$Q$503),0)),"")</f>
        <v>Employment Tribunal</v>
      </c>
      <c r="Y19" s="44">
        <f ca="1">COUNTIFS(Tracker!$Q$3:$Q$503,Analysis!$R19,Tracker!$S$3:$S$503,"In Progress")</f>
        <v>1</v>
      </c>
      <c r="Z19" s="127">
        <f ca="1">IFERROR(AVERAGEIFS(Tracker!$W$3:$W$503,Tracker!$Q$3:$Q$503,Analysis!$R19,Tracker!$S$3:$S$503,"In Progress"),"0")</f>
        <v>367</v>
      </c>
      <c r="AC19" t="str">
        <f t="array" aca="1" ref="AC19" ca="1">IFERROR(INDEX(Tracker!$Q$3:$Q$503,MATCH(0,COUNTIF($B$16:AC18,Tracker!$Q$3:$Q$503),0)),"")</f>
        <v>Employment Tribunal</v>
      </c>
      <c r="AD19" s="131">
        <v>30</v>
      </c>
      <c r="AE19" s="131">
        <f ca="1">COUNTIF(Tracker!$Q$3:$Q$503,Analysis!$AC19)</f>
        <v>13</v>
      </c>
      <c r="AF19" s="133">
        <f ca="1">SUMIF(Tracker!$Q$3:$Q$503,Analysis!$AC19,Tracker!$AA$3:$AA$503)</f>
        <v>46987.19999999999</v>
      </c>
      <c r="AG19" s="132">
        <f t="shared" ca="1" si="0"/>
        <v>7.0809723913327696E-3</v>
      </c>
      <c r="AH19" s="133">
        <f ca="1">SUMIFS(Tracker!$AA$3:$AA$503,Tracker!$Q$3:$Q$503,Analysis!$AC19,Tracker!$S$3:$S$503,"In Progress")</f>
        <v>2628.0000000000005</v>
      </c>
      <c r="AI19" s="133">
        <f ca="1">SUMIFS(Tracker!$AA$3:$AA$503,Tracker!$Q$3:$Q$503,Analysis!$AC19,Tracker!$S$3:$S$503,"Closed")</f>
        <v>36403.199999999997</v>
      </c>
      <c r="AL19" t="str">
        <f t="array" aca="1" ref="AL19" ca="1">IFERROR(INDEX(Tracker!$Q$3:$Q$503,MATCH(0,COUNTIF($B$16:AL18,Tracker!$Q$3:$Q$503),0)),"")</f>
        <v>Employment Tribunal</v>
      </c>
      <c r="AM19" s="131">
        <f ca="1">COUNTIF(Tracker!$Q$3:$Q$503,Analysis!$AL19)</f>
        <v>13</v>
      </c>
      <c r="AN19" s="131">
        <f ca="1">COUNTIFS(Tracker!$Q$3:$Q$503,Analysis!$AL19,Tracker!$P$3:$P$503,Analysis!$AN$16)</f>
        <v>3</v>
      </c>
      <c r="AO19" s="131">
        <f ca="1">COUNTIFS(Tracker!$Q$3:$Q$503,Analysis!$AL19,Tracker!$P$3:$P$503,Analysis!$AO$16)</f>
        <v>4</v>
      </c>
      <c r="AP19" s="131">
        <f ca="1">COUNTIFS(Tracker!$Q$3:$Q$503,Analysis!$AL19,Tracker!$P$3:$P$503,Analysis!$AP$16)</f>
        <v>1</v>
      </c>
      <c r="AQ19" s="131">
        <f ca="1">COUNTIFS(Tracker!$Q$3:$Q$503,Analysis!$AL19,Tracker!$P$3:$P$503,Analysis!$AQ$16)</f>
        <v>1</v>
      </c>
      <c r="AR19" s="131">
        <f ca="1">COUNTIFS(Tracker!$Q$3:$Q$503,Analysis!$AL19,Tracker!$P$3:$P$503,Analysis!$AR$16)</f>
        <v>4</v>
      </c>
      <c r="AS19" s="132">
        <f t="shared" ca="1" si="3"/>
        <v>0.23076923076923078</v>
      </c>
      <c r="AW19" t="str">
        <f t="array" aca="1" ref="AW19" ca="1">IFERROR(INDEX(Tracker!$Q$3:$Q$503,MATCH(0,COUNTIF($B$16:AW18,Tracker!$Q$3:$Q$503),0)),"")</f>
        <v>Employment Tribunal</v>
      </c>
      <c r="AX19" s="131">
        <f ca="1">COUNTIFS(Tracker!$Q$3:$Q$503,Analysis!$AW19,Tracker!$I$3:$I$503,Analysis!$AX$15,Tracker!$J$3:$J$503,Analysis!$AY$15)</f>
        <v>0</v>
      </c>
      <c r="AY19" s="131">
        <f ca="1">COUNTIFS(Tracker!$Q$3:$Q$503,Analysis!$AW19,Tracker!$P$3:$P$503,"won",Tracker!$U$3:$U$503,Analysis!$AX$15,Tracker!$V$3:$V$503,Analysis!$AY$15)</f>
        <v>0</v>
      </c>
      <c r="AZ19" s="131">
        <f ca="1">COUNTIFS(Tracker!$Q$3:$Q$503,Analysis!$AW19,Tracker!$P$3:$P$503,"Lost",Tracker!$U$3:$U$503,Analysis!$AX$15,Tracker!$V$3:$V$503,Analysis!$AY$15)</f>
        <v>0</v>
      </c>
      <c r="BA19" s="131">
        <f ca="1">COUNTIFS(Tracker!$Q$3:$Q$503,Analysis!$AW19,Tracker!$P$3:$P$503,"Settled",Tracker!$U$3:$U$503,Analysis!$AX$15,Tracker!$V$3:$V$503,Analysis!$AY$15)</f>
        <v>0</v>
      </c>
      <c r="BC19" t="str">
        <f t="array" aca="1" ref="BC19" ca="1">IFERROR(INDEX(Tracker!$Q$3:$Q$503,MATCH(0,COUNTIF($B$16:BC18,Tracker!$Q$3:$Q$503),0)),"")</f>
        <v>Employment Tribunal</v>
      </c>
      <c r="BD19" s="131">
        <f ca="1">COUNTIFS(Tracker!$Q$3:$Q$503,Analysis!$BC19,Tracker!$I$3:$I$503,Analysis!$AX$15)</f>
        <v>1</v>
      </c>
      <c r="BE19" s="131">
        <f ca="1">COUNTIFS(Tracker!$Q$3:$Q$503,Analysis!$BC19,Tracker!$P$3:$P$503,"won",Tracker!$U$3:$U$503,Analysis!$AX$15)</f>
        <v>0</v>
      </c>
      <c r="BF19" s="131">
        <f ca="1">COUNTIFS(Tracker!$Q$3:$Q$503,Analysis!$BC19,Tracker!$P$3:$P$503,"Lost",Tracker!$U$3:$U$503,Analysis!$AX$15)</f>
        <v>2</v>
      </c>
      <c r="BG19" s="131">
        <f ca="1">COUNTIFS(Tracker!$Q$3:$Q$503,Analysis!$BC19,Tracker!$P$3:$P$503,"Settled",Tracker!$U$3:$U$503,Analysis!$AX$15)</f>
        <v>0</v>
      </c>
    </row>
    <row r="20" spans="2:59" ht="15.75" x14ac:dyDescent="0.25">
      <c r="B20" t="str">
        <f t="array" ref="B20">IFERROR(INDEX(Tracker!$Q$3:$Q$503,MATCH(0,COUNTIF($B$16:B19,Tracker!$Q$3:$Q$503),0)),"")</f>
        <v>Bankruptcy</v>
      </c>
      <c r="C20">
        <f>IF($B20="","",COUNTIFS(Tracker!$Q$3:$Q$503,Analysis!$B20,Tracker!$S$3:$S$503,Analysis!C$16))</f>
        <v>17</v>
      </c>
      <c r="D20">
        <f>IF($B20="","",COUNTIFS(Tracker!$Q$3:$Q$503,Analysis!$B20,Tracker!$S$3:$S$503,Analysis!D$16))</f>
        <v>2</v>
      </c>
      <c r="E20">
        <f>IF($B20="","",COUNTIFS(Tracker!$Q$3:$Q$503,Analysis!$B20,Tracker!$S$3:$S$503,Analysis!E$16))</f>
        <v>0</v>
      </c>
      <c r="F20">
        <f t="shared" si="1"/>
        <v>19</v>
      </c>
      <c r="H20" t="str">
        <f t="array" ref="H20">IFERROR(INDEX(Tracker!$Q$3:$Q$503,MATCH(0,COUNTIF($B$16:H19,Tracker!$Q$3:$Q$503),0)),"")</f>
        <v>Bankruptcy</v>
      </c>
      <c r="I20" s="44">
        <f>IF($H20="","",COUNTIFS(Tracker!$Q$3:$Q$503,Analysis!$H20,Tracker!$I$3:$I$503,$H$15,Tracker!$J$3:$J$503,$I$15))</f>
        <v>0</v>
      </c>
      <c r="J20" s="44">
        <f>IF($H20="","",COUNTIFS(Tracker!$Q$3:$Q$503,Analysis!$H20,Tracker!$U$3:$U$503,$H$15,Tracker!$V$3:$V$503,$I$15))</f>
        <v>2</v>
      </c>
      <c r="K20" s="75">
        <f t="shared" si="2"/>
        <v>0</v>
      </c>
      <c r="M20" t="str">
        <f t="array" ref="M20">IFERROR(INDEX(Tracker!$Q$3:$Q$503,MATCH(0,COUNTIF($B$16:M19,Tracker!$Q$3:$Q$503),0)),"")</f>
        <v>Bankruptcy</v>
      </c>
      <c r="N20" s="44">
        <f>IF($M20="","",COUNTIFS(Tracker!$Q$3:$Q$503,Analysis!$M20,Tracker!$I$3:$I$503,$H$15))</f>
        <v>2</v>
      </c>
      <c r="O20" s="44">
        <f>IF($M20="","",COUNTIFS(Tracker!$Q$3:$Q$503,Analysis!$M20,Tracker!$U$3:$U$503,$H$15))</f>
        <v>2</v>
      </c>
      <c r="Q20" t="s">
        <v>316</v>
      </c>
      <c r="R20" t="str">
        <f t="array" aca="1" ref="R20" ca="1">IFERROR(INDEX(Tracker!$Q$3:$Q$503,MATCH(0,COUNTIF($B$16:R19,Tracker!$Q$3:$Q$503),0)),"")</f>
        <v>Bankruptcy</v>
      </c>
      <c r="S20" s="131">
        <f ca="1">COUNTIFS(Tracker!$Q$3:$Q$503,Analysis!$R20,Tracker!$S$3:$S$503,"Closed")</f>
        <v>17</v>
      </c>
      <c r="T20" s="134">
        <f ca="1">AVERAGEIFS(Tracker!$W$3:$W$503,Tracker!$Q$3:$Q$503,Analysis!$R20,Tracker!$S$3:$S$503,"Closed")</f>
        <v>197.1764705882353</v>
      </c>
      <c r="X20" t="str">
        <f t="array" aca="1" ref="X20" ca="1">IFERROR(INDEX(Tracker!$Q$3:$Q$503,MATCH(0,COUNTIF($B$16:X19,Tracker!$Q$3:$Q$503),0)),"")</f>
        <v>Bankruptcy</v>
      </c>
      <c r="Y20" s="44">
        <f ca="1">COUNTIFS(Tracker!$Q$3:$Q$503,Analysis!$R20,Tracker!$S$3:$S$503,"In Progress")</f>
        <v>2</v>
      </c>
      <c r="Z20" s="127">
        <f ca="1">IFERROR(AVERAGEIFS(Tracker!$W$3:$W$503,Tracker!$Q$3:$Q$503,Analysis!$R20,Tracker!$S$3:$S$503,"In Progress"),"0")</f>
        <v>296.5</v>
      </c>
      <c r="AC20" t="str">
        <f t="array" aca="1" ref="AC20" ca="1">IFERROR(INDEX(Tracker!$Q$3:$Q$503,MATCH(0,COUNTIF($B$16:AC19,Tracker!$Q$3:$Q$503),0)),"")</f>
        <v>Bankruptcy</v>
      </c>
      <c r="AD20" s="131">
        <v>100</v>
      </c>
      <c r="AE20" s="131">
        <f ca="1">COUNTIF(Tracker!$Q$3:$Q$503,Analysis!$AC20)</f>
        <v>19</v>
      </c>
      <c r="AF20" s="133">
        <f ca="1">SUMIF(Tracker!$Q$3:$Q$503,Analysis!$AC20,Tracker!$AA$3:$AA$503)</f>
        <v>185976</v>
      </c>
      <c r="AG20" s="132">
        <f t="shared" ca="1" si="0"/>
        <v>2.8026588548594158E-2</v>
      </c>
      <c r="AH20" s="133">
        <f ca="1">SUMIFS(Tracker!$AA$3:$AA$503,Tracker!$Q$3:$Q$503,Analysis!$AC20,Tracker!$S$3:$S$503,"In Progress")</f>
        <v>37896</v>
      </c>
      <c r="AI20" s="133">
        <f ca="1">SUMIFS(Tracker!$AA$3:$AA$503,Tracker!$Q$3:$Q$503,Analysis!$AC20,Tracker!$S$3:$S$503,"Closed")</f>
        <v>148080</v>
      </c>
      <c r="AL20" t="str">
        <f t="array" aca="1" ref="AL20" ca="1">IFERROR(INDEX(Tracker!$Q$3:$Q$503,MATCH(0,COUNTIF($B$16:AL19,Tracker!$Q$3:$Q$503),0)),"")</f>
        <v>Bankruptcy</v>
      </c>
      <c r="AM20" s="131">
        <f ca="1">COUNTIF(Tracker!$Q$3:$Q$503,Analysis!$AL20)</f>
        <v>19</v>
      </c>
      <c r="AN20" s="131">
        <f ca="1">COUNTIFS(Tracker!$Q$3:$Q$503,Analysis!$AL20,Tracker!$P$3:$P$503,Analysis!$AN$16)</f>
        <v>6</v>
      </c>
      <c r="AO20" s="131">
        <f ca="1">COUNTIFS(Tracker!$Q$3:$Q$503,Analysis!$AL20,Tracker!$P$3:$P$503,Analysis!$AO$16)</f>
        <v>6</v>
      </c>
      <c r="AP20" s="131">
        <f ca="1">COUNTIFS(Tracker!$Q$3:$Q$503,Analysis!$AL20,Tracker!$P$3:$P$503,Analysis!$AP$16)</f>
        <v>2</v>
      </c>
      <c r="AQ20" s="131">
        <f ca="1">COUNTIFS(Tracker!$Q$3:$Q$503,Analysis!$AL20,Tracker!$P$3:$P$503,Analysis!$AQ$16)</f>
        <v>0</v>
      </c>
      <c r="AR20" s="131">
        <f ca="1">COUNTIFS(Tracker!$Q$3:$Q$503,Analysis!$AL20,Tracker!$P$3:$P$503,Analysis!$AR$16)</f>
        <v>5</v>
      </c>
      <c r="AS20" s="132">
        <f t="shared" ca="1" si="3"/>
        <v>0.31578947368421051</v>
      </c>
      <c r="AW20" t="str">
        <f t="array" aca="1" ref="AW20" ca="1">IFERROR(INDEX(Tracker!$Q$3:$Q$503,MATCH(0,COUNTIF($B$16:AW19,Tracker!$Q$3:$Q$503),0)),"")</f>
        <v>Bankruptcy</v>
      </c>
      <c r="AX20" s="131">
        <f ca="1">COUNTIFS(Tracker!$Q$3:$Q$503,Analysis!$AW20,Tracker!$I$3:$I$503,Analysis!$AX$15,Tracker!$J$3:$J$503,Analysis!$AY$15)</f>
        <v>0</v>
      </c>
      <c r="AY20" s="131">
        <f ca="1">COUNTIFS(Tracker!$Q$3:$Q$503,Analysis!$AW20,Tracker!$P$3:$P$503,"won",Tracker!$U$3:$U$503,Analysis!$AX$15,Tracker!$V$3:$V$503,Analysis!$AY$15)</f>
        <v>0</v>
      </c>
      <c r="AZ20" s="131">
        <f ca="1">COUNTIFS(Tracker!$Q$3:$Q$503,Analysis!$AW20,Tracker!$P$3:$P$503,"Lost",Tracker!$U$3:$U$503,Analysis!$AX$15,Tracker!$V$3:$V$503,Analysis!$AY$15)</f>
        <v>1</v>
      </c>
      <c r="BA20" s="131">
        <f ca="1">COUNTIFS(Tracker!$Q$3:$Q$503,Analysis!$AW20,Tracker!$P$3:$P$503,"Settled",Tracker!$U$3:$U$503,Analysis!$AX$15,Tracker!$V$3:$V$503,Analysis!$AY$15)</f>
        <v>1</v>
      </c>
      <c r="BC20" t="str">
        <f t="array" aca="1" ref="BC20" ca="1">IFERROR(INDEX(Tracker!$Q$3:$Q$503,MATCH(0,COUNTIF($B$16:BC19,Tracker!$Q$3:$Q$503),0)),"")</f>
        <v>Bankruptcy</v>
      </c>
      <c r="BD20" s="131">
        <f ca="1">COUNTIFS(Tracker!$Q$3:$Q$503,Analysis!$BC20,Tracker!$I$3:$I$503,Analysis!$AX$15)</f>
        <v>2</v>
      </c>
      <c r="BE20" s="131">
        <f ca="1">COUNTIFS(Tracker!$Q$3:$Q$503,Analysis!$BC20,Tracker!$P$3:$P$503,"won",Tracker!$U$3:$U$503,Analysis!$AX$15)</f>
        <v>0</v>
      </c>
      <c r="BF20" s="131">
        <f ca="1">COUNTIFS(Tracker!$Q$3:$Q$503,Analysis!$BC20,Tracker!$P$3:$P$503,"Lost",Tracker!$U$3:$U$503,Analysis!$AX$15)</f>
        <v>1</v>
      </c>
      <c r="BG20" s="131">
        <f ca="1">COUNTIFS(Tracker!$Q$3:$Q$503,Analysis!$BC20,Tracker!$P$3:$P$503,"Settled",Tracker!$U$3:$U$503,Analysis!$AX$15)</f>
        <v>1</v>
      </c>
    </row>
    <row r="21" spans="2:59" ht="15.75" x14ac:dyDescent="0.25">
      <c r="B21" t="str">
        <f t="array" ref="B21">IFERROR(INDEX(Tracker!$Q$3:$Q$503,MATCH(0,COUNTIF($B$16:B20,Tracker!$Q$3:$Q$503),0)),"")</f>
        <v>Housing</v>
      </c>
      <c r="C21">
        <f>IF($B21="","",COUNTIFS(Tracker!$Q$3:$Q$503,Analysis!$B21,Tracker!$S$3:$S$503,Analysis!C$16))</f>
        <v>19</v>
      </c>
      <c r="D21">
        <f>IF($B21="","",COUNTIFS(Tracker!$Q$3:$Q$503,Analysis!$B21,Tracker!$S$3:$S$503,Analysis!D$16))</f>
        <v>0</v>
      </c>
      <c r="E21">
        <f>IF($B21="","",COUNTIFS(Tracker!$Q$3:$Q$503,Analysis!$B21,Tracker!$S$3:$S$503,Analysis!E$16))</f>
        <v>1</v>
      </c>
      <c r="F21">
        <f t="shared" si="1"/>
        <v>20</v>
      </c>
      <c r="H21" t="str">
        <f t="array" ref="H21">IFERROR(INDEX(Tracker!$Q$3:$Q$503,MATCH(0,COUNTIF($B$16:H20,Tracker!$Q$3:$Q$503),0)),"")</f>
        <v>Housing</v>
      </c>
      <c r="I21" s="44">
        <f>IF($H21="","",COUNTIFS(Tracker!$Q$3:$Q$503,Analysis!$H21,Tracker!$I$3:$I$503,$H$15,Tracker!$J$3:$J$503,$I$15))</f>
        <v>0</v>
      </c>
      <c r="J21" s="44">
        <f>IF($H21="","",COUNTIFS(Tracker!$Q$3:$Q$503,Analysis!$H21,Tracker!$U$3:$U$503,$H$15,Tracker!$V$3:$V$503,$I$15))</f>
        <v>0</v>
      </c>
      <c r="K21" s="75">
        <f t="shared" si="2"/>
        <v>0</v>
      </c>
      <c r="M21" t="str">
        <f t="array" ref="M21">IFERROR(INDEX(Tracker!$Q$3:$Q$503,MATCH(0,COUNTIF($B$16:M20,Tracker!$Q$3:$Q$503),0)),"")</f>
        <v>Housing</v>
      </c>
      <c r="N21" s="44">
        <f>IF($M21="","",COUNTIFS(Tracker!$Q$3:$Q$503,Analysis!$M21,Tracker!$I$3:$I$503,$H$15))</f>
        <v>4</v>
      </c>
      <c r="O21" s="44">
        <f>IF($M21="","",COUNTIFS(Tracker!$Q$3:$Q$503,Analysis!$M21,Tracker!$U$3:$U$503,$H$15))</f>
        <v>5</v>
      </c>
      <c r="Q21" t="s">
        <v>317</v>
      </c>
      <c r="R21" t="str">
        <f t="array" aca="1" ref="R21" ca="1">IFERROR(INDEX(Tracker!$Q$3:$Q$503,MATCH(0,COUNTIF($B$16:R20,Tracker!$Q$3:$Q$503),0)),"")</f>
        <v>Housing</v>
      </c>
      <c r="S21" s="131">
        <f ca="1">COUNTIFS(Tracker!$Q$3:$Q$503,Analysis!$R21,Tracker!$S$3:$S$503,"Closed")</f>
        <v>19</v>
      </c>
      <c r="T21" s="134">
        <f ca="1">AVERAGEIFS(Tracker!$W$3:$W$503,Tracker!$Q$3:$Q$503,Analysis!$R21,Tracker!$S$3:$S$503,"Closed")</f>
        <v>227</v>
      </c>
      <c r="X21" t="str">
        <f t="array" aca="1" ref="X21" ca="1">IFERROR(INDEX(Tracker!$Q$3:$Q$503,MATCH(0,COUNTIF($B$16:X20,Tracker!$Q$3:$Q$503),0)),"")</f>
        <v>Housing</v>
      </c>
      <c r="Y21" s="44">
        <f ca="1">COUNTIFS(Tracker!$Q$3:$Q$503,Analysis!$R21,Tracker!$S$3:$S$503,"In Progress")</f>
        <v>0</v>
      </c>
      <c r="Z21" s="127" t="str">
        <f ca="1">IFERROR(AVERAGEIFS(Tracker!$W$3:$W$503,Tracker!$Q$3:$Q$503,Analysis!$R21,Tracker!$S$3:$S$503,"In Progress"),"0")</f>
        <v>0</v>
      </c>
      <c r="AC21" t="str">
        <f t="array" aca="1" ref="AC21" ca="1">IFERROR(INDEX(Tracker!$Q$3:$Q$503,MATCH(0,COUNTIF($B$16:AC20,Tracker!$Q$3:$Q$503),0)),"")</f>
        <v>Housing</v>
      </c>
      <c r="AD21" s="131">
        <v>75</v>
      </c>
      <c r="AE21" s="131">
        <f ca="1">COUNTIF(Tracker!$Q$3:$Q$503,Analysis!$AC21)</f>
        <v>20</v>
      </c>
      <c r="AF21" s="133">
        <f ca="1">SUMIF(Tracker!$Q$3:$Q$503,Analysis!$AC21,Tracker!$AA$3:$AA$503)</f>
        <v>168246</v>
      </c>
      <c r="AG21" s="132">
        <f t="shared" ca="1" si="0"/>
        <v>2.5354677038686567E-2</v>
      </c>
      <c r="AH21" s="133">
        <f ca="1">SUMIFS(Tracker!$AA$3:$AA$503,Tracker!$Q$3:$Q$503,Analysis!$AC21,Tracker!$S$3:$S$503,"In Progress")</f>
        <v>0</v>
      </c>
      <c r="AI21" s="133">
        <f ca="1">SUMIFS(Tracker!$AA$3:$AA$503,Tracker!$Q$3:$Q$503,Analysis!$AC21,Tracker!$S$3:$S$503,"Closed")</f>
        <v>154638</v>
      </c>
      <c r="AL21" t="str">
        <f t="array" aca="1" ref="AL21" ca="1">IFERROR(INDEX(Tracker!$Q$3:$Q$503,MATCH(0,COUNTIF($B$16:AL20,Tracker!$Q$3:$Q$503),0)),"")</f>
        <v>Housing</v>
      </c>
      <c r="AM21" s="131">
        <f ca="1">COUNTIF(Tracker!$Q$3:$Q$503,Analysis!$AL21)</f>
        <v>20</v>
      </c>
      <c r="AN21" s="131">
        <f ca="1">COUNTIFS(Tracker!$Q$3:$Q$503,Analysis!$AL21,Tracker!$P$3:$P$503,Analysis!$AN$16)</f>
        <v>4</v>
      </c>
      <c r="AO21" s="131">
        <f ca="1">COUNTIFS(Tracker!$Q$3:$Q$503,Analysis!$AL21,Tracker!$P$3:$P$503,Analysis!$AO$16)</f>
        <v>8</v>
      </c>
      <c r="AP21" s="131">
        <f ca="1">COUNTIFS(Tracker!$Q$3:$Q$503,Analysis!$AL21,Tracker!$P$3:$P$503,Analysis!$AP$16)</f>
        <v>0</v>
      </c>
      <c r="AQ21" s="131">
        <f ca="1">COUNTIFS(Tracker!$Q$3:$Q$503,Analysis!$AL21,Tracker!$P$3:$P$503,Analysis!$AQ$16)</f>
        <v>1</v>
      </c>
      <c r="AR21" s="131">
        <f ca="1">COUNTIFS(Tracker!$Q$3:$Q$503,Analysis!$AL21,Tracker!$P$3:$P$503,Analysis!$AR$16)</f>
        <v>7</v>
      </c>
      <c r="AS21" s="132">
        <f t="shared" ca="1" si="3"/>
        <v>0.2</v>
      </c>
      <c r="AW21" t="str">
        <f t="array" aca="1" ref="AW21" ca="1">IFERROR(INDEX(Tracker!$Q$3:$Q$503,MATCH(0,COUNTIF($B$16:AW20,Tracker!$Q$3:$Q$503),0)),"")</f>
        <v>Housing</v>
      </c>
      <c r="AX21" s="131">
        <f ca="1">COUNTIFS(Tracker!$Q$3:$Q$503,Analysis!$AW21,Tracker!$I$3:$I$503,Analysis!$AX$15,Tracker!$J$3:$J$503,Analysis!$AY$15)</f>
        <v>0</v>
      </c>
      <c r="AY21" s="131">
        <f ca="1">COUNTIFS(Tracker!$Q$3:$Q$503,Analysis!$AW21,Tracker!$P$3:$P$503,"won",Tracker!$U$3:$U$503,Analysis!$AX$15,Tracker!$V$3:$V$503,Analysis!$AY$15)</f>
        <v>0</v>
      </c>
      <c r="AZ21" s="131">
        <f ca="1">COUNTIFS(Tracker!$Q$3:$Q$503,Analysis!$AW21,Tracker!$P$3:$P$503,"Lost",Tracker!$U$3:$U$503,Analysis!$AX$15,Tracker!$V$3:$V$503,Analysis!$AY$15)</f>
        <v>0</v>
      </c>
      <c r="BA21" s="131">
        <f ca="1">COUNTIFS(Tracker!$Q$3:$Q$503,Analysis!$AW21,Tracker!$P$3:$P$503,"Settled",Tracker!$U$3:$U$503,Analysis!$AX$15,Tracker!$V$3:$V$503,Analysis!$AY$15)</f>
        <v>0</v>
      </c>
      <c r="BC21" t="str">
        <f t="array" aca="1" ref="BC21" ca="1">IFERROR(INDEX(Tracker!$Q$3:$Q$503,MATCH(0,COUNTIF($B$16:BC20,Tracker!$Q$3:$Q$503),0)),"")</f>
        <v>Housing</v>
      </c>
      <c r="BD21" s="131">
        <f ca="1">COUNTIFS(Tracker!$Q$3:$Q$503,Analysis!$BC21,Tracker!$I$3:$I$503,Analysis!$AX$15)</f>
        <v>4</v>
      </c>
      <c r="BE21" s="131">
        <f ca="1">COUNTIFS(Tracker!$Q$3:$Q$503,Analysis!$BC21,Tracker!$P$3:$P$503,"won",Tracker!$U$3:$U$503,Analysis!$AX$15)</f>
        <v>1</v>
      </c>
      <c r="BF21" s="131">
        <f ca="1">COUNTIFS(Tracker!$Q$3:$Q$503,Analysis!$BC21,Tracker!$P$3:$P$503,"Lost",Tracker!$U$3:$U$503,Analysis!$AX$15)</f>
        <v>2</v>
      </c>
      <c r="BG21" s="131">
        <f ca="1">COUNTIFS(Tracker!$Q$3:$Q$503,Analysis!$BC21,Tracker!$P$3:$P$503,"Settled",Tracker!$U$3:$U$503,Analysis!$AX$15)</f>
        <v>2</v>
      </c>
    </row>
    <row r="22" spans="2:59" ht="15.75" x14ac:dyDescent="0.25">
      <c r="B22" t="str">
        <f t="array" ref="B22">IFERROR(INDEX(Tracker!$Q$3:$Q$503,MATCH(0,COUNTIF($B$16:B21,Tracker!$Q$3:$Q$503),0)),"")</f>
        <v>Environmental</v>
      </c>
      <c r="C22">
        <f>IF($B22="","",COUNTIFS(Tracker!$Q$3:$Q$503,Analysis!$B22,Tracker!$S$3:$S$503,Analysis!C$16))</f>
        <v>17</v>
      </c>
      <c r="D22">
        <f>IF($B22="","",COUNTIFS(Tracker!$Q$3:$Q$503,Analysis!$B22,Tracker!$S$3:$S$503,Analysis!D$16))</f>
        <v>0</v>
      </c>
      <c r="E22">
        <f>IF($B22="","",COUNTIFS(Tracker!$Q$3:$Q$503,Analysis!$B22,Tracker!$S$3:$S$503,Analysis!E$16))</f>
        <v>1</v>
      </c>
      <c r="F22">
        <f t="shared" si="1"/>
        <v>18</v>
      </c>
      <c r="H22" t="str">
        <f t="array" ref="H22">IFERROR(INDEX(Tracker!$Q$3:$Q$503,MATCH(0,COUNTIF($B$16:H21,Tracker!$Q$3:$Q$503),0)),"")</f>
        <v>Environmental</v>
      </c>
      <c r="I22" s="44">
        <f>IF($H22="","",COUNTIFS(Tracker!$Q$3:$Q$503,Analysis!$H22,Tracker!$I$3:$I$503,$H$15,Tracker!$J$3:$J$503,$I$15))</f>
        <v>0</v>
      </c>
      <c r="J22" s="44">
        <f>IF($H22="","",COUNTIFS(Tracker!$Q$3:$Q$503,Analysis!$H22,Tracker!$U$3:$U$503,$H$15,Tracker!$V$3:$V$503,$I$15))</f>
        <v>0</v>
      </c>
      <c r="K22" s="75">
        <f t="shared" si="2"/>
        <v>0</v>
      </c>
      <c r="M22" t="str">
        <f t="array" ref="M22">IFERROR(INDEX(Tracker!$Q$3:$Q$503,MATCH(0,COUNTIF($B$16:M21,Tracker!$Q$3:$Q$503),0)),"")</f>
        <v>Environmental</v>
      </c>
      <c r="N22" s="44">
        <f>IF($M22="","",COUNTIFS(Tracker!$Q$3:$Q$503,Analysis!$M22,Tracker!$I$3:$I$503,$H$15))</f>
        <v>4</v>
      </c>
      <c r="O22" s="44">
        <f>IF($M22="","",COUNTIFS(Tracker!$Q$3:$Q$503,Analysis!$M22,Tracker!$U$3:$U$503,$H$15))</f>
        <v>5</v>
      </c>
      <c r="Q22" t="s">
        <v>318</v>
      </c>
      <c r="R22" t="str">
        <f t="array" aca="1" ref="R22" ca="1">IFERROR(INDEX(Tracker!$Q$3:$Q$503,MATCH(0,COUNTIF($B$16:R21,Tracker!$Q$3:$Q$503),0)),"")</f>
        <v>Environmental</v>
      </c>
      <c r="S22" s="131">
        <f ca="1">COUNTIFS(Tracker!$Q$3:$Q$503,Analysis!$R22,Tracker!$S$3:$S$503,"Closed")</f>
        <v>17</v>
      </c>
      <c r="T22" s="134">
        <f ca="1">AVERAGEIFS(Tracker!$W$3:$W$503,Tracker!$Q$3:$Q$503,Analysis!$R22,Tracker!$S$3:$S$503,"Closed")</f>
        <v>197.41176470588235</v>
      </c>
      <c r="X22" t="str">
        <f t="array" aca="1" ref="X22" ca="1">IFERROR(INDEX(Tracker!$Q$3:$Q$503,MATCH(0,COUNTIF($B$16:X21,Tracker!$Q$3:$Q$503),0)),"")</f>
        <v>Environmental</v>
      </c>
      <c r="Y22" s="44">
        <f ca="1">COUNTIFS(Tracker!$Q$3:$Q$503,Analysis!$R22,Tracker!$S$3:$S$503,"In Progress")</f>
        <v>0</v>
      </c>
      <c r="Z22" s="127" t="str">
        <f ca="1">IFERROR(AVERAGEIFS(Tracker!$W$3:$W$503,Tracker!$Q$3:$Q$503,Analysis!$R22,Tracker!$S$3:$S$503,"In Progress"),"0")</f>
        <v>0</v>
      </c>
      <c r="AC22" t="str">
        <f t="array" aca="1" ref="AC22" ca="1">IFERROR(INDEX(Tracker!$Q$3:$Q$503,MATCH(0,COUNTIF($B$16:AC21,Tracker!$Q$3:$Q$503),0)),"")</f>
        <v>Environmental</v>
      </c>
      <c r="AD22" s="131">
        <v>120</v>
      </c>
      <c r="AE22" s="131">
        <f ca="1">COUNTIF(Tracker!$Q$3:$Q$503,Analysis!$AC22)</f>
        <v>18</v>
      </c>
      <c r="AF22" s="133">
        <f ca="1">SUMIF(Tracker!$Q$3:$Q$503,Analysis!$AC22,Tracker!$AA$3:$AA$503)</f>
        <v>197481.60000000006</v>
      </c>
      <c r="AG22" s="132">
        <f t="shared" ca="1" si="0"/>
        <v>2.9760482799490548E-2</v>
      </c>
      <c r="AH22" s="133">
        <f ca="1">SUMIFS(Tracker!$AA$3:$AA$503,Tracker!$Q$3:$Q$503,Analysis!$AC22,Tracker!$S$3:$S$503,"In Progress")</f>
        <v>0</v>
      </c>
      <c r="AI22" s="133">
        <f ca="1">SUMIFS(Tracker!$AA$3:$AA$503,Tracker!$Q$3:$Q$503,Analysis!$AC22,Tracker!$S$3:$S$503,"Closed")</f>
        <v>174038.40000000005</v>
      </c>
      <c r="AL22" t="str">
        <f t="array" aca="1" ref="AL22" ca="1">IFERROR(INDEX(Tracker!$Q$3:$Q$503,MATCH(0,COUNTIF($B$16:AL21,Tracker!$Q$3:$Q$503),0)),"")</f>
        <v>Environmental</v>
      </c>
      <c r="AM22" s="131">
        <f ca="1">COUNTIF(Tracker!$Q$3:$Q$503,Analysis!$AL22)</f>
        <v>18</v>
      </c>
      <c r="AN22" s="131">
        <f ca="1">COUNTIFS(Tracker!$Q$3:$Q$503,Analysis!$AL22,Tracker!$P$3:$P$503,Analysis!$AN$16)</f>
        <v>4</v>
      </c>
      <c r="AO22" s="131">
        <f ca="1">COUNTIFS(Tracker!$Q$3:$Q$503,Analysis!$AL22,Tracker!$P$3:$P$503,Analysis!$AO$16)</f>
        <v>7</v>
      </c>
      <c r="AP22" s="131">
        <f ca="1">COUNTIFS(Tracker!$Q$3:$Q$503,Analysis!$AL22,Tracker!$P$3:$P$503,Analysis!$AP$16)</f>
        <v>0</v>
      </c>
      <c r="AQ22" s="131">
        <f ca="1">COUNTIFS(Tracker!$Q$3:$Q$503,Analysis!$AL22,Tracker!$P$3:$P$503,Analysis!$AQ$16)</f>
        <v>1</v>
      </c>
      <c r="AR22" s="131">
        <f ca="1">COUNTIFS(Tracker!$Q$3:$Q$503,Analysis!$AL22,Tracker!$P$3:$P$503,Analysis!$AR$16)</f>
        <v>6</v>
      </c>
      <c r="AS22" s="132">
        <f t="shared" ca="1" si="3"/>
        <v>0.22222222222222221</v>
      </c>
      <c r="AW22" t="str">
        <f t="array" aca="1" ref="AW22" ca="1">IFERROR(INDEX(Tracker!$Q$3:$Q$503,MATCH(0,COUNTIF($B$16:AW21,Tracker!$Q$3:$Q$503),0)),"")</f>
        <v>Environmental</v>
      </c>
      <c r="AX22" s="131">
        <f ca="1">COUNTIFS(Tracker!$Q$3:$Q$503,Analysis!$AW22,Tracker!$I$3:$I$503,Analysis!$AX$15,Tracker!$J$3:$J$503,Analysis!$AY$15)</f>
        <v>0</v>
      </c>
      <c r="AY22" s="131">
        <f ca="1">COUNTIFS(Tracker!$Q$3:$Q$503,Analysis!$AW22,Tracker!$P$3:$P$503,"won",Tracker!$U$3:$U$503,Analysis!$AX$15,Tracker!$V$3:$V$503,Analysis!$AY$15)</f>
        <v>0</v>
      </c>
      <c r="AZ22" s="131">
        <f ca="1">COUNTIFS(Tracker!$Q$3:$Q$503,Analysis!$AW22,Tracker!$P$3:$P$503,"Lost",Tracker!$U$3:$U$503,Analysis!$AX$15,Tracker!$V$3:$V$503,Analysis!$AY$15)</f>
        <v>0</v>
      </c>
      <c r="BA22" s="131">
        <f ca="1">COUNTIFS(Tracker!$Q$3:$Q$503,Analysis!$AW22,Tracker!$P$3:$P$503,"Settled",Tracker!$U$3:$U$503,Analysis!$AX$15,Tracker!$V$3:$V$503,Analysis!$AY$15)</f>
        <v>0</v>
      </c>
      <c r="BC22" t="str">
        <f t="array" aca="1" ref="BC22" ca="1">IFERROR(INDEX(Tracker!$Q$3:$Q$503,MATCH(0,COUNTIF($B$16:BC21,Tracker!$Q$3:$Q$503),0)),"")</f>
        <v>Environmental</v>
      </c>
      <c r="BD22" s="131">
        <f ca="1">COUNTIFS(Tracker!$Q$3:$Q$503,Analysis!$BC22,Tracker!$I$3:$I$503,Analysis!$AX$15)</f>
        <v>4</v>
      </c>
      <c r="BE22" s="131">
        <f ca="1">COUNTIFS(Tracker!$Q$3:$Q$503,Analysis!$BC22,Tracker!$P$3:$P$503,"won",Tracker!$U$3:$U$503,Analysis!$AX$15)</f>
        <v>1</v>
      </c>
      <c r="BF22" s="131">
        <f ca="1">COUNTIFS(Tracker!$Q$3:$Q$503,Analysis!$BC22,Tracker!$P$3:$P$503,"Lost",Tracker!$U$3:$U$503,Analysis!$AX$15)</f>
        <v>3</v>
      </c>
      <c r="BG22" s="131">
        <f ca="1">COUNTIFS(Tracker!$Q$3:$Q$503,Analysis!$BC22,Tracker!$P$3:$P$503,"Settled",Tracker!$U$3:$U$503,Analysis!$AX$15)</f>
        <v>1</v>
      </c>
    </row>
    <row r="23" spans="2:59" ht="15.75" x14ac:dyDescent="0.25">
      <c r="B23" t="str">
        <f t="array" ref="B23">IFERROR(INDEX(Tracker!$Q$3:$Q$503,MATCH(0,COUNTIF($B$16:B22,Tracker!$Q$3:$Q$503),0)),"")</f>
        <v>Tax</v>
      </c>
      <c r="C23">
        <f>IF($B23="","",COUNTIFS(Tracker!$Q$3:$Q$503,Analysis!$B23,Tracker!$S$3:$S$503,Analysis!C$16))</f>
        <v>16</v>
      </c>
      <c r="D23">
        <f>IF($B23="","",COUNTIFS(Tracker!$Q$3:$Q$503,Analysis!$B23,Tracker!$S$3:$S$503,Analysis!D$16))</f>
        <v>0</v>
      </c>
      <c r="E23">
        <f>IF($B23="","",COUNTIFS(Tracker!$Q$3:$Q$503,Analysis!$B23,Tracker!$S$3:$S$503,Analysis!E$16))</f>
        <v>0</v>
      </c>
      <c r="F23">
        <f t="shared" si="1"/>
        <v>16</v>
      </c>
      <c r="H23" t="str">
        <f t="array" ref="H23">IFERROR(INDEX(Tracker!$Q$3:$Q$503,MATCH(0,COUNTIF($B$16:H22,Tracker!$Q$3:$Q$503),0)),"")</f>
        <v>Tax</v>
      </c>
      <c r="I23" s="44">
        <f>IF($H23="","",COUNTIFS(Tracker!$Q$3:$Q$503,Analysis!$H23,Tracker!$I$3:$I$503,$H$15,Tracker!$J$3:$J$503,$I$15))</f>
        <v>0</v>
      </c>
      <c r="J23" s="44">
        <f>IF($H23="","",COUNTIFS(Tracker!$Q$3:$Q$503,Analysis!$H23,Tracker!$U$3:$U$503,$H$15,Tracker!$V$3:$V$503,$I$15))</f>
        <v>0</v>
      </c>
      <c r="K23" s="75">
        <f t="shared" si="2"/>
        <v>0</v>
      </c>
      <c r="M23" t="str">
        <f t="array" ref="M23">IFERROR(INDEX(Tracker!$Q$3:$Q$503,MATCH(0,COUNTIF($B$16:M22,Tracker!$Q$3:$Q$503),0)),"")</f>
        <v>Tax</v>
      </c>
      <c r="N23" s="44">
        <f>IF($M23="","",COUNTIFS(Tracker!$Q$3:$Q$503,Analysis!$M23,Tracker!$I$3:$I$503,$H$15))</f>
        <v>3</v>
      </c>
      <c r="O23" s="44">
        <f>IF($M23="","",COUNTIFS(Tracker!$Q$3:$Q$503,Analysis!$M23,Tracker!$U$3:$U$503,$H$15))</f>
        <v>4</v>
      </c>
      <c r="Q23" t="s">
        <v>319</v>
      </c>
      <c r="R23" t="str">
        <f t="array" aca="1" ref="R23" ca="1">IFERROR(INDEX(Tracker!$Q$3:$Q$503,MATCH(0,COUNTIF($B$16:R22,Tracker!$Q$3:$Q$503),0)),"")</f>
        <v>Tax</v>
      </c>
      <c r="S23" s="131">
        <f ca="1">COUNTIFS(Tracker!$Q$3:$Q$503,Analysis!$R23,Tracker!$S$3:$S$503,"Closed")</f>
        <v>16</v>
      </c>
      <c r="T23" s="134">
        <f ca="1">AVERAGEIFS(Tracker!$W$3:$W$503,Tracker!$Q$3:$Q$503,Analysis!$R23,Tracker!$S$3:$S$503,"Closed")</f>
        <v>196.9375</v>
      </c>
      <c r="X23" t="str">
        <f t="array" aca="1" ref="X23" ca="1">IFERROR(INDEX(Tracker!$Q$3:$Q$503,MATCH(0,COUNTIF($B$16:X22,Tracker!$Q$3:$Q$503),0)),"")</f>
        <v>Tax</v>
      </c>
      <c r="Y23" s="44">
        <f ca="1">COUNTIFS(Tracker!$Q$3:$Q$503,Analysis!$R23,Tracker!$S$3:$S$503,"In Progress")</f>
        <v>0</v>
      </c>
      <c r="Z23" s="127" t="str">
        <f ca="1">IFERROR(AVERAGEIFS(Tracker!$W$3:$W$503,Tracker!$Q$3:$Q$503,Analysis!$R23,Tracker!$S$3:$S$503,"In Progress"),"0")</f>
        <v>0</v>
      </c>
      <c r="AC23" t="str">
        <f t="array" aca="1" ref="AC23" ca="1">IFERROR(INDEX(Tracker!$Q$3:$Q$503,MATCH(0,COUNTIF($B$16:AC22,Tracker!$Q$3:$Q$503),0)),"")</f>
        <v>Tax</v>
      </c>
      <c r="AD23" s="131">
        <v>50</v>
      </c>
      <c r="AE23" s="131">
        <f ca="1">COUNTIF(Tracker!$Q$3:$Q$503,Analysis!$AC23)</f>
        <v>16</v>
      </c>
      <c r="AF23" s="133">
        <f ca="1">SUMIF(Tracker!$Q$3:$Q$503,Analysis!$AC23,Tracker!$AA$3:$AA$503)</f>
        <v>93936</v>
      </c>
      <c r="AG23" s="132">
        <f t="shared" ca="1" si="0"/>
        <v>1.4156157901561174E-2</v>
      </c>
      <c r="AH23" s="133">
        <f ca="1">SUMIFS(Tracker!$AA$3:$AA$503,Tracker!$Q$3:$Q$503,Analysis!$AC23,Tracker!$S$3:$S$503,"In Progress")</f>
        <v>0</v>
      </c>
      <c r="AI23" s="133">
        <f ca="1">SUMIFS(Tracker!$AA$3:$AA$503,Tracker!$Q$3:$Q$503,Analysis!$AC23,Tracker!$S$3:$S$503,"Closed")</f>
        <v>93936</v>
      </c>
      <c r="AL23" t="str">
        <f t="array" aca="1" ref="AL23" ca="1">IFERROR(INDEX(Tracker!$Q$3:$Q$503,MATCH(0,COUNTIF($B$16:AL22,Tracker!$Q$3:$Q$503),0)),"")</f>
        <v>Tax</v>
      </c>
      <c r="AM23" s="131">
        <f ca="1">COUNTIF(Tracker!$Q$3:$Q$503,Analysis!$AL23)</f>
        <v>16</v>
      </c>
      <c r="AN23" s="131">
        <f ca="1">COUNTIFS(Tracker!$Q$3:$Q$503,Analysis!$AL23,Tracker!$P$3:$P$503,Analysis!$AN$16)</f>
        <v>7</v>
      </c>
      <c r="AO23" s="131">
        <f ca="1">COUNTIFS(Tracker!$Q$3:$Q$503,Analysis!$AL23,Tracker!$P$3:$P$503,Analysis!$AO$16)</f>
        <v>3</v>
      </c>
      <c r="AP23" s="131">
        <f ca="1">COUNTIFS(Tracker!$Q$3:$Q$503,Analysis!$AL23,Tracker!$P$3:$P$503,Analysis!$AP$16)</f>
        <v>0</v>
      </c>
      <c r="AQ23" s="131">
        <f ca="1">COUNTIFS(Tracker!$Q$3:$Q$503,Analysis!$AL23,Tracker!$P$3:$P$503,Analysis!$AQ$16)</f>
        <v>0</v>
      </c>
      <c r="AR23" s="131">
        <f ca="1">COUNTIFS(Tracker!$Q$3:$Q$503,Analysis!$AL23,Tracker!$P$3:$P$503,Analysis!$AR$16)</f>
        <v>6</v>
      </c>
      <c r="AS23" s="132">
        <f t="shared" ca="1" si="3"/>
        <v>0.4375</v>
      </c>
      <c r="AW23" t="str">
        <f t="array" aca="1" ref="AW23" ca="1">IFERROR(INDEX(Tracker!$Q$3:$Q$503,MATCH(0,COUNTIF($B$16:AW22,Tracker!$Q$3:$Q$503),0)),"")</f>
        <v>Tax</v>
      </c>
      <c r="AX23" s="131">
        <f ca="1">COUNTIFS(Tracker!$Q$3:$Q$503,Analysis!$AW23,Tracker!$I$3:$I$503,Analysis!$AX$15,Tracker!$J$3:$J$503,Analysis!$AY$15)</f>
        <v>0</v>
      </c>
      <c r="AY23" s="131">
        <f ca="1">COUNTIFS(Tracker!$Q$3:$Q$503,Analysis!$AW23,Tracker!$P$3:$P$503,"won",Tracker!$U$3:$U$503,Analysis!$AX$15,Tracker!$V$3:$V$503,Analysis!$AY$15)</f>
        <v>0</v>
      </c>
      <c r="AZ23" s="131">
        <f ca="1">COUNTIFS(Tracker!$Q$3:$Q$503,Analysis!$AW23,Tracker!$P$3:$P$503,"Lost",Tracker!$U$3:$U$503,Analysis!$AX$15,Tracker!$V$3:$V$503,Analysis!$AY$15)</f>
        <v>0</v>
      </c>
      <c r="BA23" s="131">
        <f ca="1">COUNTIFS(Tracker!$Q$3:$Q$503,Analysis!$AW23,Tracker!$P$3:$P$503,"Settled",Tracker!$U$3:$U$503,Analysis!$AX$15,Tracker!$V$3:$V$503,Analysis!$AY$15)</f>
        <v>0</v>
      </c>
      <c r="BC23" t="str">
        <f t="array" aca="1" ref="BC23" ca="1">IFERROR(INDEX(Tracker!$Q$3:$Q$503,MATCH(0,COUNTIF($B$16:BC22,Tracker!$Q$3:$Q$503),0)),"")</f>
        <v>Tax</v>
      </c>
      <c r="BD23" s="131">
        <f ca="1">COUNTIFS(Tracker!$Q$3:$Q$503,Analysis!$BC23,Tracker!$I$3:$I$503,Analysis!$AX$15)</f>
        <v>3</v>
      </c>
      <c r="BE23" s="131">
        <f ca="1">COUNTIFS(Tracker!$Q$3:$Q$503,Analysis!$BC23,Tracker!$P$3:$P$503,"won",Tracker!$U$3:$U$503,Analysis!$AX$15)</f>
        <v>3</v>
      </c>
      <c r="BF23" s="131">
        <f ca="1">COUNTIFS(Tracker!$Q$3:$Q$503,Analysis!$BC23,Tracker!$P$3:$P$503,"Lost",Tracker!$U$3:$U$503,Analysis!$AX$15)</f>
        <v>0</v>
      </c>
      <c r="BG23" s="131">
        <f ca="1">COUNTIFS(Tracker!$Q$3:$Q$503,Analysis!$BC23,Tracker!$P$3:$P$503,"Settled",Tracker!$U$3:$U$503,Analysis!$AX$15)</f>
        <v>1</v>
      </c>
    </row>
    <row r="24" spans="2:59" ht="15.75" x14ac:dyDescent="0.25">
      <c r="B24" t="str">
        <f t="array" ref="B24">IFERROR(INDEX(Tracker!$Q$3:$Q$503,MATCH(0,COUNTIF($B$16:B23,Tracker!$Q$3:$Q$503),0)),"")</f>
        <v>Criminal</v>
      </c>
      <c r="C24">
        <f>IF($B24="","",COUNTIFS(Tracker!$Q$3:$Q$503,Analysis!$B24,Tracker!$S$3:$S$503,Analysis!C$16))</f>
        <v>17</v>
      </c>
      <c r="D24">
        <f>IF($B24="","",COUNTIFS(Tracker!$Q$3:$Q$503,Analysis!$B24,Tracker!$S$3:$S$503,Analysis!D$16))</f>
        <v>0</v>
      </c>
      <c r="E24">
        <f>IF($B24="","",COUNTIFS(Tracker!$Q$3:$Q$503,Analysis!$B24,Tracker!$S$3:$S$503,Analysis!E$16))</f>
        <v>2</v>
      </c>
      <c r="F24">
        <f t="shared" si="1"/>
        <v>19</v>
      </c>
      <c r="H24" t="str">
        <f t="array" ref="H24">IFERROR(INDEX(Tracker!$Q$3:$Q$503,MATCH(0,COUNTIF($B$16:H23,Tracker!$Q$3:$Q$503),0)),"")</f>
        <v>Criminal</v>
      </c>
      <c r="I24" s="44">
        <f>IF($H24="","",COUNTIFS(Tracker!$Q$3:$Q$503,Analysis!$H24,Tracker!$I$3:$I$503,$H$15,Tracker!$J$3:$J$503,$I$15))</f>
        <v>1</v>
      </c>
      <c r="J24" s="44">
        <f>IF($H24="","",COUNTIFS(Tracker!$Q$3:$Q$503,Analysis!$H24,Tracker!$U$3:$U$503,$H$15,Tracker!$V$3:$V$503,$I$15))</f>
        <v>0</v>
      </c>
      <c r="K24" s="75">
        <f t="shared" si="2"/>
        <v>6.25E-2</v>
      </c>
      <c r="M24" t="str">
        <f t="array" ref="M24">IFERROR(INDEX(Tracker!$Q$3:$Q$503,MATCH(0,COUNTIF($B$16:M23,Tracker!$Q$3:$Q$503),0)),"")</f>
        <v>Criminal</v>
      </c>
      <c r="N24" s="44">
        <f>IF($M24="","",COUNTIFS(Tracker!$Q$3:$Q$503,Analysis!$M24,Tracker!$I$3:$I$503,$H$15))</f>
        <v>5</v>
      </c>
      <c r="O24" s="44">
        <f>IF($M24="","",COUNTIFS(Tracker!$Q$3:$Q$503,Analysis!$M24,Tracker!$U$3:$U$503,$H$15))</f>
        <v>3</v>
      </c>
      <c r="Q24" t="s">
        <v>320</v>
      </c>
      <c r="R24" t="str">
        <f t="array" aca="1" ref="R24" ca="1">IFERROR(INDEX(Tracker!$Q$3:$Q$503,MATCH(0,COUNTIF($B$16:R23,Tracker!$Q$3:$Q$503),0)),"")</f>
        <v>Criminal</v>
      </c>
      <c r="S24" s="131">
        <f ca="1">COUNTIFS(Tracker!$Q$3:$Q$503,Analysis!$R24,Tracker!$S$3:$S$503,"Closed")</f>
        <v>17</v>
      </c>
      <c r="T24" s="134">
        <f ca="1">AVERAGEIFS(Tracker!$W$3:$W$503,Tracker!$Q$3:$Q$503,Analysis!$R24,Tracker!$S$3:$S$503,"Closed")</f>
        <v>208.11764705882354</v>
      </c>
      <c r="X24" t="str">
        <f t="array" aca="1" ref="X24" ca="1">IFERROR(INDEX(Tracker!$Q$3:$Q$503,MATCH(0,COUNTIF($B$16:X23,Tracker!$Q$3:$Q$503),0)),"")</f>
        <v>Criminal</v>
      </c>
      <c r="Y24" s="44">
        <f ca="1">COUNTIFS(Tracker!$Q$3:$Q$503,Analysis!$R24,Tracker!$S$3:$S$503,"In Progress")</f>
        <v>0</v>
      </c>
      <c r="Z24" s="127" t="str">
        <f ca="1">IFERROR(AVERAGEIFS(Tracker!$W$3:$W$503,Tracker!$Q$3:$Q$503,Analysis!$R24,Tracker!$S$3:$S$503,"In Progress"),"0")</f>
        <v>0</v>
      </c>
      <c r="AC24" t="str">
        <f t="array" aca="1" ref="AC24" ca="1">IFERROR(INDEX(Tracker!$Q$3:$Q$503,MATCH(0,COUNTIF($B$16:AC23,Tracker!$Q$3:$Q$503),0)),"")</f>
        <v>Criminal</v>
      </c>
      <c r="AD24" s="131">
        <v>30</v>
      </c>
      <c r="AE24" s="131">
        <f ca="1">COUNTIF(Tracker!$Q$3:$Q$503,Analysis!$AC24)</f>
        <v>19</v>
      </c>
      <c r="AF24" s="133">
        <f ca="1">SUMIF(Tracker!$Q$3:$Q$503,Analysis!$AC24,Tracker!$AA$3:$AA$503)</f>
        <v>64936.799999999996</v>
      </c>
      <c r="AG24" s="132">
        <f t="shared" ca="1" si="0"/>
        <v>9.7859776275559703E-3</v>
      </c>
      <c r="AH24" s="133">
        <f ca="1">SUMIFS(Tracker!$AA$3:$AA$503,Tracker!$Q$3:$Q$503,Analysis!$AC24,Tracker!$S$3:$S$503,"In Progress")</f>
        <v>0</v>
      </c>
      <c r="AI24" s="133">
        <f ca="1">SUMIFS(Tracker!$AA$3:$AA$503,Tracker!$Q$3:$Q$503,Analysis!$AC24,Tracker!$S$3:$S$503,"Closed")</f>
        <v>57866.400000000001</v>
      </c>
      <c r="AL24" t="str">
        <f t="array" aca="1" ref="AL24" ca="1">IFERROR(INDEX(Tracker!$Q$3:$Q$503,MATCH(0,COUNTIF($B$16:AL23,Tracker!$Q$3:$Q$503),0)),"")</f>
        <v>Criminal</v>
      </c>
      <c r="AM24" s="131">
        <f ca="1">COUNTIF(Tracker!$Q$3:$Q$503,Analysis!$AL24)</f>
        <v>19</v>
      </c>
      <c r="AN24" s="131">
        <f ca="1">COUNTIFS(Tracker!$Q$3:$Q$503,Analysis!$AL24,Tracker!$P$3:$P$503,Analysis!$AN$16)</f>
        <v>5</v>
      </c>
      <c r="AO24" s="131">
        <f ca="1">COUNTIFS(Tracker!$Q$3:$Q$503,Analysis!$AL24,Tracker!$P$3:$P$503,Analysis!$AO$16)</f>
        <v>5</v>
      </c>
      <c r="AP24" s="131">
        <f ca="1">COUNTIFS(Tracker!$Q$3:$Q$503,Analysis!$AL24,Tracker!$P$3:$P$503,Analysis!$AP$16)</f>
        <v>0</v>
      </c>
      <c r="AQ24" s="131">
        <f ca="1">COUNTIFS(Tracker!$Q$3:$Q$503,Analysis!$AL24,Tracker!$P$3:$P$503,Analysis!$AQ$16)</f>
        <v>2</v>
      </c>
      <c r="AR24" s="131">
        <f ca="1">COUNTIFS(Tracker!$Q$3:$Q$503,Analysis!$AL24,Tracker!$P$3:$P$503,Analysis!$AR$16)</f>
        <v>7</v>
      </c>
      <c r="AS24" s="132">
        <f t="shared" ca="1" si="3"/>
        <v>0.26315789473684209</v>
      </c>
      <c r="AW24" t="str">
        <f t="array" aca="1" ref="AW24" ca="1">IFERROR(INDEX(Tracker!$Q$3:$Q$503,MATCH(0,COUNTIF($B$16:AW23,Tracker!$Q$3:$Q$503),0)),"")</f>
        <v>Criminal</v>
      </c>
      <c r="AX24" s="131">
        <f ca="1">COUNTIFS(Tracker!$Q$3:$Q$503,Analysis!$AW24,Tracker!$I$3:$I$503,Analysis!$AX$15,Tracker!$J$3:$J$503,Analysis!$AY$15)</f>
        <v>1</v>
      </c>
      <c r="AY24" s="131">
        <f ca="1">COUNTIFS(Tracker!$Q$3:$Q$503,Analysis!$AW24,Tracker!$P$3:$P$503,"won",Tracker!$U$3:$U$503,Analysis!$AX$15,Tracker!$V$3:$V$503,Analysis!$AY$15)</f>
        <v>0</v>
      </c>
      <c r="AZ24" s="131">
        <f ca="1">COUNTIFS(Tracker!$Q$3:$Q$503,Analysis!$AW24,Tracker!$P$3:$P$503,"Lost",Tracker!$U$3:$U$503,Analysis!$AX$15,Tracker!$V$3:$V$503,Analysis!$AY$15)</f>
        <v>0</v>
      </c>
      <c r="BA24" s="131">
        <f ca="1">COUNTIFS(Tracker!$Q$3:$Q$503,Analysis!$AW24,Tracker!$P$3:$P$503,"Settled",Tracker!$U$3:$U$503,Analysis!$AX$15,Tracker!$V$3:$V$503,Analysis!$AY$15)</f>
        <v>0</v>
      </c>
      <c r="BC24" t="str">
        <f t="array" aca="1" ref="BC24" ca="1">IFERROR(INDEX(Tracker!$Q$3:$Q$503,MATCH(0,COUNTIF($B$16:BC23,Tracker!$Q$3:$Q$503),0)),"")</f>
        <v>Criminal</v>
      </c>
      <c r="BD24" s="131">
        <f ca="1">COUNTIFS(Tracker!$Q$3:$Q$503,Analysis!$BC24,Tracker!$I$3:$I$503,Analysis!$AX$15)</f>
        <v>5</v>
      </c>
      <c r="BE24" s="131">
        <f ca="1">COUNTIFS(Tracker!$Q$3:$Q$503,Analysis!$BC24,Tracker!$P$3:$P$503,"won",Tracker!$U$3:$U$503,Analysis!$AX$15)</f>
        <v>1</v>
      </c>
      <c r="BF24" s="131">
        <f ca="1">COUNTIFS(Tracker!$Q$3:$Q$503,Analysis!$BC24,Tracker!$P$3:$P$503,"Lost",Tracker!$U$3:$U$503,Analysis!$AX$15)</f>
        <v>2</v>
      </c>
      <c r="BG24" s="131">
        <f ca="1">COUNTIFS(Tracker!$Q$3:$Q$503,Analysis!$BC24,Tracker!$P$3:$P$503,"Settled",Tracker!$U$3:$U$503,Analysis!$AX$15)</f>
        <v>0</v>
      </c>
    </row>
    <row r="25" spans="2:59" ht="15.75" x14ac:dyDescent="0.25">
      <c r="B25" t="str">
        <f t="array" ref="B25">IFERROR(INDEX(Tracker!$Q$3:$Q$503,MATCH(0,COUNTIF($B$16:B24,Tracker!$Q$3:$Q$503),0)),"")</f>
        <v>Workers' Compensation</v>
      </c>
      <c r="C25">
        <f>IF($B25="","",COUNTIFS(Tracker!$Q$3:$Q$503,Analysis!$B25,Tracker!$S$3:$S$503,Analysis!C$16))</f>
        <v>11</v>
      </c>
      <c r="D25">
        <f>IF($B25="","",COUNTIFS(Tracker!$Q$3:$Q$503,Analysis!$B25,Tracker!$S$3:$S$503,Analysis!D$16))</f>
        <v>0</v>
      </c>
      <c r="E25">
        <f>IF($B25="","",COUNTIFS(Tracker!$Q$3:$Q$503,Analysis!$B25,Tracker!$S$3:$S$503,Analysis!E$16))</f>
        <v>1</v>
      </c>
      <c r="F25">
        <f t="shared" si="1"/>
        <v>12</v>
      </c>
      <c r="H25" t="str">
        <f t="array" ref="H25">IFERROR(INDEX(Tracker!$Q$3:$Q$503,MATCH(0,COUNTIF($B$16:H24,Tracker!$Q$3:$Q$503),0)),"")</f>
        <v>Workers' Compensation</v>
      </c>
      <c r="I25" s="44">
        <f>IF($H25="","",COUNTIFS(Tracker!$Q$3:$Q$503,Analysis!$H25,Tracker!$I$3:$I$503,$H$15,Tracker!$J$3:$J$503,$I$15))</f>
        <v>0</v>
      </c>
      <c r="J25" s="44">
        <f>IF($H25="","",COUNTIFS(Tracker!$Q$3:$Q$503,Analysis!$H25,Tracker!$U$3:$U$503,$H$15,Tracker!$V$3:$V$503,$I$15))</f>
        <v>0</v>
      </c>
      <c r="K25" s="75">
        <f t="shared" si="2"/>
        <v>0</v>
      </c>
      <c r="M25" t="str">
        <f t="array" ref="M25">IFERROR(INDEX(Tracker!$Q$3:$Q$503,MATCH(0,COUNTIF($B$16:M24,Tracker!$Q$3:$Q$503),0)),"")</f>
        <v>Workers' Compensation</v>
      </c>
      <c r="N25" s="44">
        <f>IF($M25="","",COUNTIFS(Tracker!$Q$3:$Q$503,Analysis!$M25,Tracker!$I$3:$I$503,$H$15))</f>
        <v>3</v>
      </c>
      <c r="O25" s="44">
        <f>IF($M25="","",COUNTIFS(Tracker!$Q$3:$Q$503,Analysis!$M25,Tracker!$U$3:$U$503,$H$15))</f>
        <v>4</v>
      </c>
      <c r="Q25" t="s">
        <v>321</v>
      </c>
      <c r="R25" t="str">
        <f t="array" aca="1" ref="R25" ca="1">IFERROR(INDEX(Tracker!$Q$3:$Q$503,MATCH(0,COUNTIF($B$16:R24,Tracker!$Q$3:$Q$503),0)),"")</f>
        <v>Workers' Compensation</v>
      </c>
      <c r="S25" s="131">
        <f ca="1">COUNTIFS(Tracker!$Q$3:$Q$503,Analysis!$R25,Tracker!$S$3:$S$503,"Closed")</f>
        <v>11</v>
      </c>
      <c r="T25" s="134">
        <f ca="1">AVERAGEIFS(Tracker!$W$3:$W$503,Tracker!$Q$3:$Q$503,Analysis!$R25,Tracker!$S$3:$S$503,"Closed")</f>
        <v>215.09090909090909</v>
      </c>
      <c r="X25" t="str">
        <f t="array" aca="1" ref="X25" ca="1">IFERROR(INDEX(Tracker!$Q$3:$Q$503,MATCH(0,COUNTIF($B$16:X24,Tracker!$Q$3:$Q$503),0)),"")</f>
        <v>Workers' Compensation</v>
      </c>
      <c r="Y25" s="44">
        <f ca="1">COUNTIFS(Tracker!$Q$3:$Q$503,Analysis!$R25,Tracker!$S$3:$S$503,"In Progress")</f>
        <v>0</v>
      </c>
      <c r="Z25" s="127" t="str">
        <f ca="1">IFERROR(AVERAGEIFS(Tracker!$W$3:$W$503,Tracker!$Q$3:$Q$503,Analysis!$R25,Tracker!$S$3:$S$503,"In Progress"),"0")</f>
        <v>0</v>
      </c>
      <c r="AC25" t="str">
        <f t="array" aca="1" ref="AC25" ca="1">IFERROR(INDEX(Tracker!$Q$3:$Q$503,MATCH(0,COUNTIF($B$16:AC24,Tracker!$Q$3:$Q$503),0)),"")</f>
        <v>Workers' Compensation</v>
      </c>
      <c r="AD25" s="131">
        <v>30</v>
      </c>
      <c r="AE25" s="131">
        <f ca="1">COUNTIF(Tracker!$Q$3:$Q$503,Analysis!$AC25)</f>
        <v>12</v>
      </c>
      <c r="AF25" s="133">
        <f ca="1">SUMIF(Tracker!$Q$3:$Q$503,Analysis!$AC25,Tracker!$AA$3:$AA$503)</f>
        <v>44964</v>
      </c>
      <c r="AG25" s="132">
        <f t="shared" ca="1" si="0"/>
        <v>6.776076093146362E-3</v>
      </c>
      <c r="AH25" s="133">
        <f ca="1">SUMIFS(Tracker!$AA$3:$AA$503,Tracker!$Q$3:$Q$503,Analysis!$AC25,Tracker!$S$3:$S$503,"In Progress")</f>
        <v>0</v>
      </c>
      <c r="AI25" s="133">
        <f ca="1">SUMIFS(Tracker!$AA$3:$AA$503,Tracker!$Q$3:$Q$503,Analysis!$AC25,Tracker!$S$3:$S$503,"Closed")</f>
        <v>39888</v>
      </c>
      <c r="AL25" t="str">
        <f t="array" aca="1" ref="AL25" ca="1">IFERROR(INDEX(Tracker!$Q$3:$Q$503,MATCH(0,COUNTIF($B$16:AL24,Tracker!$Q$3:$Q$503),0)),"")</f>
        <v>Workers' Compensation</v>
      </c>
      <c r="AM25" s="131">
        <f ca="1">COUNTIF(Tracker!$Q$3:$Q$503,Analysis!$AL25)</f>
        <v>12</v>
      </c>
      <c r="AN25" s="131">
        <f ca="1">COUNTIFS(Tracker!$Q$3:$Q$503,Analysis!$AL25,Tracker!$P$3:$P$503,Analysis!$AN$16)</f>
        <v>3</v>
      </c>
      <c r="AO25" s="131">
        <f ca="1">COUNTIFS(Tracker!$Q$3:$Q$503,Analysis!$AL25,Tracker!$P$3:$P$503,Analysis!$AO$16)</f>
        <v>2</v>
      </c>
      <c r="AP25" s="131">
        <f ca="1">COUNTIFS(Tracker!$Q$3:$Q$503,Analysis!$AL25,Tracker!$P$3:$P$503,Analysis!$AP$16)</f>
        <v>0</v>
      </c>
      <c r="AQ25" s="131">
        <f ca="1">COUNTIFS(Tracker!$Q$3:$Q$503,Analysis!$AL25,Tracker!$P$3:$P$503,Analysis!$AQ$16)</f>
        <v>1</v>
      </c>
      <c r="AR25" s="131">
        <f ca="1">COUNTIFS(Tracker!$Q$3:$Q$503,Analysis!$AL25,Tracker!$P$3:$P$503,Analysis!$AR$16)</f>
        <v>6</v>
      </c>
      <c r="AS25" s="132">
        <f t="shared" ca="1" si="3"/>
        <v>0.25</v>
      </c>
      <c r="AW25" t="str">
        <f t="array" aca="1" ref="AW25" ca="1">IFERROR(INDEX(Tracker!$Q$3:$Q$503,MATCH(0,COUNTIF($B$16:AW24,Tracker!$Q$3:$Q$503),0)),"")</f>
        <v>Workers' Compensation</v>
      </c>
      <c r="AX25" s="131">
        <f ca="1">COUNTIFS(Tracker!$Q$3:$Q$503,Analysis!$AW25,Tracker!$I$3:$I$503,Analysis!$AX$15,Tracker!$J$3:$J$503,Analysis!$AY$15)</f>
        <v>0</v>
      </c>
      <c r="AY25" s="131">
        <f ca="1">COUNTIFS(Tracker!$Q$3:$Q$503,Analysis!$AW25,Tracker!$P$3:$P$503,"won",Tracker!$U$3:$U$503,Analysis!$AX$15,Tracker!$V$3:$V$503,Analysis!$AY$15)</f>
        <v>0</v>
      </c>
      <c r="AZ25" s="131">
        <f ca="1">COUNTIFS(Tracker!$Q$3:$Q$503,Analysis!$AW25,Tracker!$P$3:$P$503,"Lost",Tracker!$U$3:$U$503,Analysis!$AX$15,Tracker!$V$3:$V$503,Analysis!$AY$15)</f>
        <v>0</v>
      </c>
      <c r="BA25" s="131">
        <f ca="1">COUNTIFS(Tracker!$Q$3:$Q$503,Analysis!$AW25,Tracker!$P$3:$P$503,"Settled",Tracker!$U$3:$U$503,Analysis!$AX$15,Tracker!$V$3:$V$503,Analysis!$AY$15)</f>
        <v>0</v>
      </c>
      <c r="BC25" t="str">
        <f t="array" aca="1" ref="BC25" ca="1">IFERROR(INDEX(Tracker!$Q$3:$Q$503,MATCH(0,COUNTIF($B$16:BC24,Tracker!$Q$3:$Q$503),0)),"")</f>
        <v>Workers' Compensation</v>
      </c>
      <c r="BD25" s="131">
        <f ca="1">COUNTIFS(Tracker!$Q$3:$Q$503,Analysis!$BC25,Tracker!$I$3:$I$503,Analysis!$AX$15)</f>
        <v>3</v>
      </c>
      <c r="BE25" s="131">
        <f ca="1">COUNTIFS(Tracker!$Q$3:$Q$503,Analysis!$BC25,Tracker!$P$3:$P$503,"won",Tracker!$U$3:$U$503,Analysis!$AX$15)</f>
        <v>1</v>
      </c>
      <c r="BF25" s="131">
        <f ca="1">COUNTIFS(Tracker!$Q$3:$Q$503,Analysis!$BC25,Tracker!$P$3:$P$503,"Lost",Tracker!$U$3:$U$503,Analysis!$AX$15)</f>
        <v>1</v>
      </c>
      <c r="BG25" s="131">
        <f ca="1">COUNTIFS(Tracker!$Q$3:$Q$503,Analysis!$BC25,Tracker!$P$3:$P$503,"Settled",Tracker!$U$3:$U$503,Analysis!$AX$15)</f>
        <v>2</v>
      </c>
    </row>
    <row r="26" spans="2:59" ht="15.75" x14ac:dyDescent="0.25">
      <c r="B26" t="str">
        <f t="array" ref="B26">IFERROR(INDEX(Tracker!$Q$3:$Q$503,MATCH(0,COUNTIF($B$16:B25,Tracker!$Q$3:$Q$503),0)),"")</f>
        <v>Appellate</v>
      </c>
      <c r="C26">
        <f>IF($B26="","",COUNTIFS(Tracker!$Q$3:$Q$503,Analysis!$B26,Tracker!$S$3:$S$503,Analysis!C$16))</f>
        <v>15</v>
      </c>
      <c r="D26">
        <f>IF($B26="","",COUNTIFS(Tracker!$Q$3:$Q$503,Analysis!$B26,Tracker!$S$3:$S$503,Analysis!D$16))</f>
        <v>0</v>
      </c>
      <c r="E26">
        <f>IF($B26="","",COUNTIFS(Tracker!$Q$3:$Q$503,Analysis!$B26,Tracker!$S$3:$S$503,Analysis!E$16))</f>
        <v>0</v>
      </c>
      <c r="F26">
        <f t="shared" si="1"/>
        <v>15</v>
      </c>
      <c r="H26" t="str">
        <f t="array" ref="H26">IFERROR(INDEX(Tracker!$Q$3:$Q$503,MATCH(0,COUNTIF($B$16:H25,Tracker!$Q$3:$Q$503),0)),"")</f>
        <v>Appellate</v>
      </c>
      <c r="I26" s="44">
        <f>IF($H26="","",COUNTIFS(Tracker!$Q$3:$Q$503,Analysis!$H26,Tracker!$I$3:$I$503,$H$15,Tracker!$J$3:$J$503,$I$15))</f>
        <v>0</v>
      </c>
      <c r="J26" s="44">
        <f>IF($H26="","",COUNTIFS(Tracker!$Q$3:$Q$503,Analysis!$H26,Tracker!$U$3:$U$503,$H$15,Tracker!$V$3:$V$503,$I$15))</f>
        <v>3</v>
      </c>
      <c r="K26" s="75">
        <f t="shared" si="2"/>
        <v>0</v>
      </c>
      <c r="M26" t="str">
        <f t="array" ref="M26">IFERROR(INDEX(Tracker!$Q$3:$Q$503,MATCH(0,COUNTIF($B$16:M25,Tracker!$Q$3:$Q$503),0)),"")</f>
        <v>Appellate</v>
      </c>
      <c r="N26" s="44">
        <f>IF($M26="","",COUNTIFS(Tracker!$Q$3:$Q$503,Analysis!$M26,Tracker!$I$3:$I$503,$H$15))</f>
        <v>3</v>
      </c>
      <c r="O26" s="44">
        <f>IF($M26="","",COUNTIFS(Tracker!$Q$3:$Q$503,Analysis!$M26,Tracker!$U$3:$U$503,$H$15))</f>
        <v>7</v>
      </c>
      <c r="R26" t="str">
        <f t="array" aca="1" ref="R26" ca="1">IFERROR(INDEX(Tracker!$Q$3:$Q$503,MATCH(0,COUNTIF($B$16:R25,Tracker!$Q$3:$Q$503),0)),"")</f>
        <v>Appellate</v>
      </c>
      <c r="S26" s="131">
        <f ca="1">COUNTIFS(Tracker!$Q$3:$Q$503,Analysis!$R26,Tracker!$S$3:$S$503,"Closed")</f>
        <v>15</v>
      </c>
      <c r="T26" s="134">
        <f ca="1">AVERAGEIFS(Tracker!$W$3:$W$503,Tracker!$Q$3:$Q$503,Analysis!$R26,Tracker!$S$3:$S$503,"Closed")</f>
        <v>186.33333333333334</v>
      </c>
      <c r="X26" t="str">
        <f t="array" aca="1" ref="X26" ca="1">IFERROR(INDEX(Tracker!$Q$3:$Q$503,MATCH(0,COUNTIF($B$16:X25,Tracker!$Q$3:$Q$503),0)),"")</f>
        <v>Appellate</v>
      </c>
      <c r="Y26" s="44">
        <f ca="1">COUNTIFS(Tracker!$Q$3:$Q$503,Analysis!$R26,Tracker!$S$3:$S$503,"In Progress")</f>
        <v>0</v>
      </c>
      <c r="Z26" s="127" t="str">
        <f ca="1">IFERROR(AVERAGEIFS(Tracker!$W$3:$W$503,Tracker!$Q$3:$Q$503,Analysis!$R26,Tracker!$S$3:$S$503,"In Progress"),"0")</f>
        <v>0</v>
      </c>
      <c r="AC26" t="str">
        <f t="array" aca="1" ref="AC26" ca="1">IFERROR(INDEX(Tracker!$Q$3:$Q$503,MATCH(0,COUNTIF($B$16:AC25,Tracker!$Q$3:$Q$503),0)),"")</f>
        <v>Appellate</v>
      </c>
      <c r="AD26" s="131">
        <v>60</v>
      </c>
      <c r="AE26" s="131">
        <f ca="1">COUNTIF(Tracker!$Q$3:$Q$503,Analysis!$AC26)</f>
        <v>15</v>
      </c>
      <c r="AF26" s="133">
        <f ca="1">SUMIF(Tracker!$Q$3:$Q$503,Analysis!$AC26,Tracker!$AA$3:$AA$503)</f>
        <v>91512</v>
      </c>
      <c r="AG26" s="132">
        <f t="shared" ca="1" si="0"/>
        <v>1.379086103184792E-2</v>
      </c>
      <c r="AH26" s="133">
        <f ca="1">SUMIFS(Tracker!$AA$3:$AA$503,Tracker!$Q$3:$Q$503,Analysis!$AC26,Tracker!$S$3:$S$503,"In Progress")</f>
        <v>0</v>
      </c>
      <c r="AI26" s="133">
        <f ca="1">SUMIFS(Tracker!$AA$3:$AA$503,Tracker!$Q$3:$Q$503,Analysis!$AC26,Tracker!$S$3:$S$503,"Closed")</f>
        <v>91512</v>
      </c>
      <c r="AL26" t="str">
        <f t="array" aca="1" ref="AL26" ca="1">IFERROR(INDEX(Tracker!$Q$3:$Q$503,MATCH(0,COUNTIF($B$16:AL25,Tracker!$Q$3:$Q$503),0)),"")</f>
        <v>Appellate</v>
      </c>
      <c r="AM26" s="131">
        <f ca="1">COUNTIF(Tracker!$Q$3:$Q$503,Analysis!$AL26)</f>
        <v>15</v>
      </c>
      <c r="AN26" s="131">
        <f ca="1">COUNTIFS(Tracker!$Q$3:$Q$503,Analysis!$AL26,Tracker!$P$3:$P$503,Analysis!$AN$16)</f>
        <v>5</v>
      </c>
      <c r="AO26" s="131">
        <f ca="1">COUNTIFS(Tracker!$Q$3:$Q$503,Analysis!$AL26,Tracker!$P$3:$P$503,Analysis!$AO$16)</f>
        <v>2</v>
      </c>
      <c r="AP26" s="131">
        <f ca="1">COUNTIFS(Tracker!$Q$3:$Q$503,Analysis!$AL26,Tracker!$P$3:$P$503,Analysis!$AP$16)</f>
        <v>0</v>
      </c>
      <c r="AQ26" s="131">
        <f ca="1">COUNTIFS(Tracker!$Q$3:$Q$503,Analysis!$AL26,Tracker!$P$3:$P$503,Analysis!$AQ$16)</f>
        <v>0</v>
      </c>
      <c r="AR26" s="131">
        <f ca="1">COUNTIFS(Tracker!$Q$3:$Q$503,Analysis!$AL26,Tracker!$P$3:$P$503,Analysis!$AR$16)</f>
        <v>8</v>
      </c>
      <c r="AS26" s="132">
        <f t="shared" ca="1" si="3"/>
        <v>0.33333333333333331</v>
      </c>
      <c r="AW26" t="str">
        <f t="array" aca="1" ref="AW26" ca="1">IFERROR(INDEX(Tracker!$Q$3:$Q$503,MATCH(0,COUNTIF($B$16:AW25,Tracker!$Q$3:$Q$503),0)),"")</f>
        <v>Appellate</v>
      </c>
      <c r="AX26" s="131">
        <f ca="1">COUNTIFS(Tracker!$Q$3:$Q$503,Analysis!$AW26,Tracker!$I$3:$I$503,Analysis!$AX$15,Tracker!$J$3:$J$503,Analysis!$AY$15)</f>
        <v>0</v>
      </c>
      <c r="AY26" s="131">
        <f ca="1">COUNTIFS(Tracker!$Q$3:$Q$503,Analysis!$AW26,Tracker!$P$3:$P$503,"won",Tracker!$U$3:$U$503,Analysis!$AX$15,Tracker!$V$3:$V$503,Analysis!$AY$15)</f>
        <v>2</v>
      </c>
      <c r="AZ26" s="131">
        <f ca="1">COUNTIFS(Tracker!$Q$3:$Q$503,Analysis!$AW26,Tracker!$P$3:$P$503,"Lost",Tracker!$U$3:$U$503,Analysis!$AX$15,Tracker!$V$3:$V$503,Analysis!$AY$15)</f>
        <v>0</v>
      </c>
      <c r="BA26" s="131">
        <f ca="1">COUNTIFS(Tracker!$Q$3:$Q$503,Analysis!$AW26,Tracker!$P$3:$P$503,"Settled",Tracker!$U$3:$U$503,Analysis!$AX$15,Tracker!$V$3:$V$503,Analysis!$AY$15)</f>
        <v>1</v>
      </c>
      <c r="BC26" t="str">
        <f t="array" aca="1" ref="BC26" ca="1">IFERROR(INDEX(Tracker!$Q$3:$Q$503,MATCH(0,COUNTIF($B$16:BC25,Tracker!$Q$3:$Q$503),0)),"")</f>
        <v>Appellate</v>
      </c>
      <c r="BD26" s="131">
        <f ca="1">COUNTIFS(Tracker!$Q$3:$Q$503,Analysis!$BC26,Tracker!$I$3:$I$503,Analysis!$AX$15)</f>
        <v>3</v>
      </c>
      <c r="BE26" s="131">
        <f ca="1">COUNTIFS(Tracker!$Q$3:$Q$503,Analysis!$BC26,Tracker!$P$3:$P$503,"won",Tracker!$U$3:$U$503,Analysis!$AX$15)</f>
        <v>5</v>
      </c>
      <c r="BF26" s="131">
        <f ca="1">COUNTIFS(Tracker!$Q$3:$Q$503,Analysis!$BC26,Tracker!$P$3:$P$503,"Lost",Tracker!$U$3:$U$503,Analysis!$AX$15)</f>
        <v>1</v>
      </c>
      <c r="BG26" s="131">
        <f ca="1">COUNTIFS(Tracker!$Q$3:$Q$503,Analysis!$BC26,Tracker!$P$3:$P$503,"Settled",Tracker!$U$3:$U$503,Analysis!$AX$15)</f>
        <v>1</v>
      </c>
    </row>
    <row r="27" spans="2:59" ht="15.75" x14ac:dyDescent="0.25">
      <c r="B27" t="str">
        <f t="array" ref="B27">IFERROR(INDEX(Tracker!$Q$3:$Q$503,MATCH(0,COUNTIF($B$16:B26,Tracker!$Q$3:$Q$503),0)),"")</f>
        <v>Specialized Election</v>
      </c>
      <c r="C27">
        <f>IF($B27="","",COUNTIFS(Tracker!$Q$3:$Q$503,Analysis!$B27,Tracker!$S$3:$S$503,Analysis!C$16))</f>
        <v>6</v>
      </c>
      <c r="D27">
        <f>IF($B27="","",COUNTIFS(Tracker!$Q$3:$Q$503,Analysis!$B27,Tracker!$S$3:$S$503,Analysis!D$16))</f>
        <v>0</v>
      </c>
      <c r="E27">
        <f>IF($B27="","",COUNTIFS(Tracker!$Q$3:$Q$503,Analysis!$B27,Tracker!$S$3:$S$503,Analysis!E$16))</f>
        <v>1</v>
      </c>
      <c r="F27">
        <f t="shared" si="1"/>
        <v>7</v>
      </c>
      <c r="H27" t="str">
        <f t="array" ref="H27">IFERROR(INDEX(Tracker!$Q$3:$Q$503,MATCH(0,COUNTIF($B$16:H26,Tracker!$Q$3:$Q$503),0)),"")</f>
        <v>Specialized Election</v>
      </c>
      <c r="I27" s="44">
        <f>IF($H27="","",COUNTIFS(Tracker!$Q$3:$Q$503,Analysis!$H27,Tracker!$I$3:$I$503,$H$15,Tracker!$J$3:$J$503,$I$15))</f>
        <v>1</v>
      </c>
      <c r="J27" s="44">
        <f>IF($H27="","",COUNTIFS(Tracker!$Q$3:$Q$503,Analysis!$H27,Tracker!$U$3:$U$503,$H$15,Tracker!$V$3:$V$503,$I$15))</f>
        <v>0</v>
      </c>
      <c r="K27" s="75">
        <f t="shared" si="2"/>
        <v>6.25E-2</v>
      </c>
      <c r="M27" t="str">
        <f t="array" ref="M27">IFERROR(INDEX(Tracker!$Q$3:$Q$503,MATCH(0,COUNTIF($B$16:M26,Tracker!$Q$3:$Q$503),0)),"")</f>
        <v>Specialized Election</v>
      </c>
      <c r="N27" s="44">
        <f>IF($M27="","",COUNTIFS(Tracker!$Q$3:$Q$503,Analysis!$M27,Tracker!$I$3:$I$503,$H$15))</f>
        <v>2</v>
      </c>
      <c r="O27" s="44">
        <f>IF($M27="","",COUNTIFS(Tracker!$Q$3:$Q$503,Analysis!$M27,Tracker!$U$3:$U$503,$H$15))</f>
        <v>1</v>
      </c>
      <c r="R27" t="str">
        <f t="array" aca="1" ref="R27" ca="1">IFERROR(INDEX(Tracker!$Q$3:$Q$503,MATCH(0,COUNTIF($B$16:R26,Tracker!$Q$3:$Q$503),0)),"")</f>
        <v>Specialized Election</v>
      </c>
      <c r="S27" s="131">
        <f ca="1">COUNTIFS(Tracker!$Q$3:$Q$503,Analysis!$R27,Tracker!$S$3:$S$503,"Closed")</f>
        <v>6</v>
      </c>
      <c r="T27" s="134">
        <f ca="1">AVERAGEIFS(Tracker!$W$3:$W$503,Tracker!$Q$3:$Q$503,Analysis!$R27,Tracker!$S$3:$S$503,"Closed")</f>
        <v>150.33333333333334</v>
      </c>
      <c r="X27" t="str">
        <f t="array" aca="1" ref="X27" ca="1">IFERROR(INDEX(Tracker!$Q$3:$Q$503,MATCH(0,COUNTIF($B$16:X26,Tracker!$Q$3:$Q$503),0)),"")</f>
        <v>Specialized Election</v>
      </c>
      <c r="Y27" s="44">
        <f ca="1">COUNTIFS(Tracker!$Q$3:$Q$503,Analysis!$R27,Tracker!$S$3:$S$503,"In Progress")</f>
        <v>0</v>
      </c>
      <c r="Z27" s="127" t="str">
        <f ca="1">IFERROR(AVERAGEIFS(Tracker!$W$3:$W$503,Tracker!$Q$3:$Q$503,Analysis!$R27,Tracker!$S$3:$S$503,"In Progress"),"0")</f>
        <v>0</v>
      </c>
      <c r="AC27" t="str">
        <f t="array" aca="1" ref="AC27" ca="1">IFERROR(INDEX(Tracker!$Q$3:$Q$503,MATCH(0,COUNTIF($B$16:AC26,Tracker!$Q$3:$Q$503),0)),"")</f>
        <v>Specialized Election</v>
      </c>
      <c r="AD27" s="131">
        <v>80</v>
      </c>
      <c r="AE27" s="131">
        <f ca="1">COUNTIF(Tracker!$Q$3:$Q$503,Analysis!$AC27)</f>
        <v>7</v>
      </c>
      <c r="AF27" s="133">
        <f ca="1">SUMIF(Tracker!$Q$3:$Q$503,Analysis!$AC27,Tracker!$AA$3:$AA$503)</f>
        <v>40243.199999999997</v>
      </c>
      <c r="AG27" s="132">
        <f t="shared" ca="1" si="0"/>
        <v>6.0646513973780722E-3</v>
      </c>
      <c r="AH27" s="133">
        <f ca="1">SUMIFS(Tracker!$AA$3:$AA$503,Tracker!$Q$3:$Q$503,Analysis!$AC27,Tracker!$S$3:$S$503,"In Progress")</f>
        <v>0</v>
      </c>
      <c r="AI27" s="133">
        <f ca="1">SUMIFS(Tracker!$AA$3:$AA$503,Tracker!$Q$3:$Q$503,Analysis!$AC27,Tracker!$S$3:$S$503,"Closed")</f>
        <v>32832</v>
      </c>
      <c r="AL27" t="str">
        <f t="array" aca="1" ref="AL27" ca="1">IFERROR(INDEX(Tracker!$Q$3:$Q$503,MATCH(0,COUNTIF($B$16:AL26,Tracker!$Q$3:$Q$503),0)),"")</f>
        <v>Specialized Election</v>
      </c>
      <c r="AM27" s="131">
        <f ca="1">COUNTIF(Tracker!$Q$3:$Q$503,Analysis!$AL27)</f>
        <v>7</v>
      </c>
      <c r="AN27" s="131">
        <f ca="1">COUNTIFS(Tracker!$Q$3:$Q$503,Analysis!$AL27,Tracker!$P$3:$P$503,Analysis!$AN$16)</f>
        <v>5</v>
      </c>
      <c r="AO27" s="131">
        <f ca="1">COUNTIFS(Tracker!$Q$3:$Q$503,Analysis!$AL27,Tracker!$P$3:$P$503,Analysis!$AO$16)</f>
        <v>1</v>
      </c>
      <c r="AP27" s="131">
        <f ca="1">COUNTIFS(Tracker!$Q$3:$Q$503,Analysis!$AL27,Tracker!$P$3:$P$503,Analysis!$AP$16)</f>
        <v>0</v>
      </c>
      <c r="AQ27" s="131">
        <f ca="1">COUNTIFS(Tracker!$Q$3:$Q$503,Analysis!$AL27,Tracker!$P$3:$P$503,Analysis!$AQ$16)</f>
        <v>1</v>
      </c>
      <c r="AR27" s="131">
        <f ca="1">COUNTIFS(Tracker!$Q$3:$Q$503,Analysis!$AL27,Tracker!$P$3:$P$503,Analysis!$AR$16)</f>
        <v>0</v>
      </c>
      <c r="AS27" s="132">
        <f t="shared" ca="1" si="3"/>
        <v>0.7142857142857143</v>
      </c>
      <c r="AW27" t="str">
        <f t="array" aca="1" ref="AW27" ca="1">IFERROR(INDEX(Tracker!$Q$3:$Q$503,MATCH(0,COUNTIF($B$16:AW26,Tracker!$Q$3:$Q$503),0)),"")</f>
        <v>Specialized Election</v>
      </c>
      <c r="AX27" s="131">
        <f ca="1">COUNTIFS(Tracker!$Q$3:$Q$503,Analysis!$AW27,Tracker!$I$3:$I$503,Analysis!$AX$15,Tracker!$J$3:$J$503,Analysis!$AY$15)</f>
        <v>1</v>
      </c>
      <c r="AY27" s="131">
        <f ca="1">COUNTIFS(Tracker!$Q$3:$Q$503,Analysis!$AW27,Tracker!$P$3:$P$503,"won",Tracker!$U$3:$U$503,Analysis!$AX$15,Tracker!$V$3:$V$503,Analysis!$AY$15)</f>
        <v>0</v>
      </c>
      <c r="AZ27" s="131">
        <f ca="1">COUNTIFS(Tracker!$Q$3:$Q$503,Analysis!$AW27,Tracker!$P$3:$P$503,"Lost",Tracker!$U$3:$U$503,Analysis!$AX$15,Tracker!$V$3:$V$503,Analysis!$AY$15)</f>
        <v>0</v>
      </c>
      <c r="BA27" s="131">
        <f ca="1">COUNTIFS(Tracker!$Q$3:$Q$503,Analysis!$AW27,Tracker!$P$3:$P$503,"Settled",Tracker!$U$3:$U$503,Analysis!$AX$15,Tracker!$V$3:$V$503,Analysis!$AY$15)</f>
        <v>0</v>
      </c>
      <c r="BC27" t="str">
        <f t="array" aca="1" ref="BC27" ca="1">IFERROR(INDEX(Tracker!$Q$3:$Q$503,MATCH(0,COUNTIF($B$16:BC26,Tracker!$Q$3:$Q$503),0)),"")</f>
        <v>Specialized Election</v>
      </c>
      <c r="BD27" s="131">
        <f ca="1">COUNTIFS(Tracker!$Q$3:$Q$503,Analysis!$BC27,Tracker!$I$3:$I$503,Analysis!$AX$15)</f>
        <v>2</v>
      </c>
      <c r="BE27" s="131">
        <f ca="1">COUNTIFS(Tracker!$Q$3:$Q$503,Analysis!$BC27,Tracker!$P$3:$P$503,"won",Tracker!$U$3:$U$503,Analysis!$AX$15)</f>
        <v>1</v>
      </c>
      <c r="BF27" s="131">
        <f ca="1">COUNTIFS(Tracker!$Q$3:$Q$503,Analysis!$BC27,Tracker!$P$3:$P$503,"Lost",Tracker!$U$3:$U$503,Analysis!$AX$15)</f>
        <v>0</v>
      </c>
      <c r="BG27" s="131">
        <f ca="1">COUNTIFS(Tracker!$Q$3:$Q$503,Analysis!$BC27,Tracker!$P$3:$P$503,"Settled",Tracker!$U$3:$U$503,Analysis!$AX$15)</f>
        <v>0</v>
      </c>
    </row>
    <row r="28" spans="2:59" x14ac:dyDescent="0.25">
      <c r="I28" s="44"/>
      <c r="J28" s="44"/>
      <c r="K28" s="75"/>
      <c r="M28" t="str">
        <f t="array" ref="M28">IFERROR(INDEX(Tracker!$Q$3:$Q$503,MATCH(0,COUNTIF($B$16:M27,Tracker!$Q$3:$Q$503),0)),"")</f>
        <v/>
      </c>
      <c r="N28" s="44" t="str">
        <f>IF($M28="","",COUNTIFS(Tracker!$Q$3:$Q$503,Analysis!$M28,Tracker!$I$3:$I$503,$H$15))</f>
        <v/>
      </c>
      <c r="O28" s="44" t="str">
        <f>IF($M28="","",COUNTIFS(Tracker!$Q$3:$Q$503,Analysis!$M28,Tracker!$U$3:$U$503,$H$15))</f>
        <v/>
      </c>
      <c r="S28" s="44"/>
      <c r="T28" s="127"/>
      <c r="Y28" s="44"/>
      <c r="Z28" s="127"/>
      <c r="AD28" s="44"/>
      <c r="AE28" s="44"/>
      <c r="AF28" s="45"/>
      <c r="AG28" s="16"/>
      <c r="AH28" s="45"/>
      <c r="AI28" s="45"/>
      <c r="AS28" s="38"/>
      <c r="AX28" s="44"/>
      <c r="AY28" s="44"/>
      <c r="AZ28" s="44"/>
      <c r="BA28" s="44"/>
      <c r="BD28" s="44"/>
      <c r="BE28" s="44"/>
      <c r="BF28" s="44"/>
      <c r="BG28" s="44"/>
    </row>
    <row r="29" spans="2:59" x14ac:dyDescent="0.25">
      <c r="I29" s="44"/>
      <c r="J29" s="44"/>
      <c r="K29" s="75"/>
      <c r="M29" t="str">
        <f t="array" ref="M29">IFERROR(INDEX(Tracker!$Q$3:$Q$503,MATCH(0,COUNTIF($B$16:M28,Tracker!$Q$3:$Q$503),0)),"")</f>
        <v/>
      </c>
      <c r="N29" s="44" t="str">
        <f>IF($M29="","",COUNTIFS(Tracker!$Q$3:$Q$503,Analysis!$M29,Tracker!$I$3:$I$503,$H$15))</f>
        <v/>
      </c>
      <c r="O29" s="44" t="str">
        <f>IF($M29="","",COUNTIFS(Tracker!$Q$3:$Q$503,Analysis!$M29,Tracker!$U$3:$U$503,$H$15))</f>
        <v/>
      </c>
      <c r="S29" s="44"/>
      <c r="T29" s="127"/>
      <c r="Y29" s="44"/>
      <c r="Z29" s="127"/>
      <c r="AD29" s="44"/>
      <c r="AE29" s="44"/>
      <c r="AF29" s="45"/>
      <c r="AG29" s="16"/>
      <c r="AH29" s="45"/>
      <c r="AI29" s="45"/>
      <c r="AS29" s="38"/>
      <c r="AX29" s="44"/>
      <c r="AY29" s="44"/>
      <c r="AZ29" s="44"/>
      <c r="BA29" s="44"/>
      <c r="BD29" s="44"/>
      <c r="BE29" s="44"/>
      <c r="BF29" s="44"/>
      <c r="BG29" s="44"/>
    </row>
    <row r="30" spans="2:59" x14ac:dyDescent="0.25">
      <c r="I30" s="44"/>
      <c r="J30" s="44"/>
      <c r="K30" s="75"/>
      <c r="M30" t="str">
        <f t="array" ref="M30">IFERROR(INDEX(Tracker!$Q$3:$Q$503,MATCH(0,COUNTIF($B$16:M29,Tracker!$Q$3:$Q$503),0)),"")</f>
        <v/>
      </c>
      <c r="N30" s="44" t="str">
        <f>IF($M30="","",COUNTIFS(Tracker!$Q$3:$Q$503,Analysis!$M30,Tracker!$I$3:$I$503,$H$15))</f>
        <v/>
      </c>
      <c r="O30" s="44" t="str">
        <f>IF($M30="","",COUNTIFS(Tracker!$Q$3:$Q$503,Analysis!$M30,Tracker!$U$3:$U$503,$H$15))</f>
        <v/>
      </c>
      <c r="S30" s="44"/>
      <c r="T30" s="127"/>
      <c r="Y30" s="44"/>
      <c r="Z30" s="127"/>
      <c r="AD30" s="44"/>
      <c r="AE30" s="44"/>
      <c r="AF30" s="45"/>
      <c r="AG30" s="16"/>
      <c r="AH30" s="45"/>
      <c r="AI30" s="45"/>
      <c r="AS30" s="38"/>
      <c r="AX30" s="44"/>
      <c r="AY30" s="44"/>
      <c r="AZ30" s="44"/>
      <c r="BA30" s="44"/>
      <c r="BD30" s="44"/>
      <c r="BE30" s="44"/>
      <c r="BF30" s="44"/>
      <c r="BG30" s="44"/>
    </row>
    <row r="31" spans="2:59" x14ac:dyDescent="0.25">
      <c r="B31" s="15"/>
      <c r="C31" s="15"/>
      <c r="D31" s="15"/>
    </row>
    <row r="32" spans="2:59" x14ac:dyDescent="0.25">
      <c r="B32" s="15"/>
      <c r="C32" s="15"/>
      <c r="D32" s="15"/>
      <c r="L32" t="str">
        <f>INDEX($B$17:$B$30,$M$32)</f>
        <v>Civil</v>
      </c>
      <c r="M32">
        <v>1</v>
      </c>
      <c r="AL32" s="128" t="s">
        <v>440</v>
      </c>
      <c r="AM32" s="128"/>
    </row>
    <row r="33" spans="2:39" x14ac:dyDescent="0.25">
      <c r="B33" s="213" t="s">
        <v>329</v>
      </c>
      <c r="C33" s="213"/>
      <c r="H33" s="34" t="s">
        <v>415</v>
      </c>
      <c r="I33" s="88" t="s">
        <v>414</v>
      </c>
      <c r="J33" s="88" t="s">
        <v>413</v>
      </c>
      <c r="L33" s="34" t="s">
        <v>415</v>
      </c>
      <c r="M33" s="89" t="s">
        <v>414</v>
      </c>
      <c r="AB33" s="46" t="s">
        <v>322</v>
      </c>
      <c r="AC33" s="46" t="s">
        <v>344</v>
      </c>
      <c r="AD33" s="46" t="s">
        <v>341</v>
      </c>
    </row>
    <row r="34" spans="2:39" ht="15.75" thickBot="1" x14ac:dyDescent="0.3">
      <c r="B34" s="27" t="s">
        <v>17</v>
      </c>
      <c r="C34" s="214" t="s">
        <v>163</v>
      </c>
      <c r="D34" s="214"/>
      <c r="H34" s="15" t="s">
        <v>336</v>
      </c>
      <c r="I34" s="74">
        <f ca="1">COUNTIFS(Tracker!$W$3:$W$503,"&lt;90",Tracker!$S$3:$S$503,"Closed")</f>
        <v>69</v>
      </c>
      <c r="J34" s="74">
        <f ca="1">COUNTIFS(Tracker!$W$3:$W$503,"&lt;90",Tracker!$S$3:$S$503,"In Progress")</f>
        <v>1</v>
      </c>
      <c r="L34" s="15" t="s">
        <v>336</v>
      </c>
      <c r="M34" s="74">
        <f ca="1">COUNTIFS(Tracker!$W$3:$W$503,"&lt;90",Tracker!$S$3:$S$503,"Closed",Tracker!$Q$3:$Q$503,Analysis!$L$32)</f>
        <v>38</v>
      </c>
      <c r="AB34" s="44">
        <f ca="1">YEAR(TODAY())-1</f>
        <v>2023</v>
      </c>
      <c r="AC34" s="44">
        <f ca="1">COUNTIF(Tracker!$AD$3:$AD$503,Analysis!$AB34)</f>
        <v>15</v>
      </c>
      <c r="AD34" s="45">
        <f ca="1">SUMIF(Tracker!$AD$3:$AD$503,Analysis!$AB34,Tracker!$AA$3:$AA$503)</f>
        <v>194976</v>
      </c>
      <c r="AL34" s="123" t="s">
        <v>423</v>
      </c>
      <c r="AM34" s="120">
        <f>'Case Dashboard'!$AE$12</f>
        <v>2022</v>
      </c>
    </row>
    <row r="35" spans="2:39" x14ac:dyDescent="0.25">
      <c r="B35" s="25" t="s">
        <v>16</v>
      </c>
      <c r="C35" s="26" t="s">
        <v>328</v>
      </c>
      <c r="D35" s="26" t="s">
        <v>330</v>
      </c>
      <c r="H35" s="15" t="s">
        <v>337</v>
      </c>
      <c r="I35" s="74">
        <f ca="1">COUNTIFS(Tracker!$W$3:$W$503,"&gt;=90",Tracker!$W$3:$W$503,"&lt;180",Tracker!$S$3:$S$503,"Closed")</f>
        <v>102</v>
      </c>
      <c r="J35" s="74">
        <f ca="1">COUNTIFS(Tracker!$W$3:$W$503,"&gt;=90",Tracker!$W$3:$W$503,"&lt;180",Tracker!$S$3:$S$503,"In Progress")</f>
        <v>1</v>
      </c>
      <c r="L35" s="15" t="s">
        <v>337</v>
      </c>
      <c r="M35" s="74">
        <f ca="1">COUNTIFS(Tracker!$W$3:$W$503,"&gt;=90",Tracker!$W$3:$W$503,"&lt;180",Tracker!$S$3:$S$503,"Closed",Tracker!$Q$3:$Q$503,Analysis!$L$32)</f>
        <v>49</v>
      </c>
      <c r="AB35" s="44">
        <f ca="1">$AB34-1</f>
        <v>2022</v>
      </c>
      <c r="AC35" s="44">
        <f ca="1">COUNTIF(Tracker!$AD$3:$AD$503,Analysis!$AB35)</f>
        <v>112</v>
      </c>
      <c r="AD35" s="45">
        <f ca="1">SUMIF(Tracker!$AD$3:$AD$503,Analysis!$AB35,Tracker!$AA$3:$AA$503)</f>
        <v>1108200</v>
      </c>
      <c r="AL35" s="111" t="s">
        <v>310</v>
      </c>
      <c r="AM35" s="44">
        <f>COUNTIFS(Tracker!$I$3:$I$503,Analysis!$AM$34,Tracker!$J$3:$J$503,Analysis!$AL35)</f>
        <v>13</v>
      </c>
    </row>
    <row r="36" spans="2:39" x14ac:dyDescent="0.25">
      <c r="B36" s="28" t="s">
        <v>157</v>
      </c>
      <c r="C36" s="29">
        <f>COUNTIFS(Tracker!$L$3:$L$503,Analysis!$B36,Tracker!$Q$3:$Q$503,Analysis!$B$34,Tracker!$P$3:$P$503,"In Progress")</f>
        <v>7</v>
      </c>
      <c r="D36" s="30">
        <f ca="1">AVERAGEIFS(Tracker!$W$3:$W$503,Tracker!$L$3:$L$503,Analysis!$B36,Tracker!$Q$3:$Q$503,Analysis!$B$34,Tracker!$P$3:$P$503,"In Progress")</f>
        <v>380.71428571428572</v>
      </c>
      <c r="H36" s="15" t="s">
        <v>338</v>
      </c>
      <c r="I36" s="74">
        <f ca="1">COUNTIFS(Tracker!$W$3:$W$503,"&gt;=180",Tracker!$W$3:$W$503,"&lt;270",Tracker!$S$3:$S$503,"Closed")</f>
        <v>128</v>
      </c>
      <c r="J36" s="74">
        <f ca="1">COUNTIFS(Tracker!$W$3:$W$503,"&gt;=180",Tracker!$W$3:$W$503,"&lt;270",Tracker!$S$3:$S$503,"In Progress")</f>
        <v>2</v>
      </c>
      <c r="L36" s="15" t="s">
        <v>338</v>
      </c>
      <c r="M36" s="74">
        <f ca="1">COUNTIFS(Tracker!$W$3:$W$503,"&gt;=180",Tracker!$W$3:$W$503,"&lt;270",Tracker!$S$3:$S$503,"Closed",Tracker!$Q$3:$Q$503,Analysis!$L$32)</f>
        <v>60</v>
      </c>
      <c r="AB36" s="44">
        <f ca="1">$AB35-1</f>
        <v>2021</v>
      </c>
      <c r="AC36" s="44">
        <f ca="1">COUNTIF(Tracker!$AD$3:$AD$503,Analysis!$AB36)</f>
        <v>109</v>
      </c>
      <c r="AD36" s="45">
        <f ca="1">SUMIF(Tracker!$AD$3:$AD$503,Analysis!$AB36,Tracker!$AA$3:$AA$503)</f>
        <v>1137775.2000000004</v>
      </c>
      <c r="AL36" s="111" t="s">
        <v>311</v>
      </c>
      <c r="AM36" s="44">
        <f>COUNTIFS(Tracker!$I$3:$I$503,Analysis!$AM$34,Tracker!$J$3:$J$503,Analysis!$AL36)</f>
        <v>10</v>
      </c>
    </row>
    <row r="37" spans="2:39" ht="15.75" thickBot="1" x14ac:dyDescent="0.3">
      <c r="B37" s="24" t="s">
        <v>158</v>
      </c>
      <c r="C37" s="31">
        <f>COUNTIFS(Tracker!$L$3:$L$503,Analysis!$B37,Tracker!$Q$3:$Q$503,Analysis!$B$34,Tracker!$P$3:$P$503,"In Progress")</f>
        <v>6</v>
      </c>
      <c r="D37" s="32">
        <f ca="1">AVERAGEIFS(Tracker!$W$3:$W$503,Tracker!$L$3:$L$503,Analysis!$B37,Tracker!$Q$3:$Q$503,Analysis!$B$34,Tracker!$P$3:$P$503,"In Progress")</f>
        <v>381.33333333333331</v>
      </c>
      <c r="H37" s="15" t="s">
        <v>339</v>
      </c>
      <c r="I37" s="74">
        <f ca="1">COUNTIFS(Tracker!$W$3:$W$503,"&gt;=270",Tracker!$W$3:$W$503,"&lt;365",Tracker!$S$3:$S$503,"Closed")</f>
        <v>110</v>
      </c>
      <c r="J37" s="74">
        <f ca="1">COUNTIFS(Tracker!$W$3:$W$503,"&gt;=270",Tracker!$W$3:$W$503,"&lt;365",Tracker!$S$3:$S$503,"In Progress")</f>
        <v>4</v>
      </c>
      <c r="L37" s="15" t="s">
        <v>339</v>
      </c>
      <c r="M37" s="74">
        <f ca="1">COUNTIFS(Tracker!$W$3:$W$503,"&gt;=270",Tracker!$W$3:$W$503,"&lt;365",Tracker!$S$3:$S$503,"Closed",Tracker!$Q$3:$Q$503,Analysis!$L$32)</f>
        <v>55</v>
      </c>
      <c r="AB37" s="44">
        <f ca="1">$AB36-1</f>
        <v>2020</v>
      </c>
      <c r="AC37" s="44">
        <f ca="1">COUNTIF(Tracker!$AD$3:$AD$503,Analysis!$AB37)</f>
        <v>104</v>
      </c>
      <c r="AD37" s="45">
        <f ca="1">SUMIF(Tracker!$AD$3:$AD$503,Analysis!$AB37,Tracker!$AA$3:$AA$503)</f>
        <v>1134938.3999999999</v>
      </c>
      <c r="AL37" s="111" t="s">
        <v>312</v>
      </c>
      <c r="AM37" s="44">
        <f>COUNTIFS(Tracker!$I$3:$I$503,Analysis!$AM$34,Tracker!$J$3:$J$503,Analysis!$AL37)</f>
        <v>16</v>
      </c>
    </row>
    <row r="38" spans="2:39" x14ac:dyDescent="0.25">
      <c r="C38" s="15"/>
      <c r="D38" s="15"/>
      <c r="H38" s="15" t="s">
        <v>340</v>
      </c>
      <c r="I38" s="74">
        <f ca="1">COUNTIFS(Tracker!$W$3:$W$503,"&gt;365",Tracker!$S$3:$S$503,"Closed")</f>
        <v>33</v>
      </c>
      <c r="J38" s="74">
        <f ca="1">COUNTIFS(Tracker!$W$3:$W$503,"&gt;365",Tracker!$S$3:$S$503,"In Progress")</f>
        <v>14</v>
      </c>
      <c r="L38" s="15" t="s">
        <v>340</v>
      </c>
      <c r="M38" s="74">
        <f ca="1">COUNTIFS(Tracker!$W$3:$W$503,"&gt;365",Tracker!$S$3:$S$503,"Closed",Tracker!$Q$3:$Q$503,Analysis!$L$32)</f>
        <v>19</v>
      </c>
      <c r="AB38" s="44">
        <f ca="1">$AB37-1</f>
        <v>2019</v>
      </c>
      <c r="AC38" s="44">
        <f ca="1">COUNTIF(Tracker!$AD$3:$AD$503,Analysis!$AB38)</f>
        <v>102</v>
      </c>
      <c r="AD38" s="45">
        <f ca="1">SUMIF(Tracker!$AD$3:$AD$503,Analysis!$AB38,Tracker!$AA$3:$AA$503)</f>
        <v>1012580.3999999999</v>
      </c>
      <c r="AL38" s="111" t="s">
        <v>313</v>
      </c>
      <c r="AM38" s="44">
        <f>COUNTIFS(Tracker!$I$3:$I$503,Analysis!$AM$34,Tracker!$J$3:$J$503,Analysis!$AL38)</f>
        <v>6</v>
      </c>
    </row>
    <row r="39" spans="2:39" x14ac:dyDescent="0.25">
      <c r="C39" s="15"/>
      <c r="D39" s="15"/>
      <c r="AL39" s="111" t="s">
        <v>314</v>
      </c>
      <c r="AM39" s="44">
        <f>COUNTIFS(Tracker!$I$3:$I$503,Analysis!$AM$34,Tracker!$J$3:$J$503,Analysis!$AL39)</f>
        <v>8</v>
      </c>
    </row>
    <row r="40" spans="2:39" x14ac:dyDescent="0.25">
      <c r="X40" s="5" t="s">
        <v>156</v>
      </c>
      <c r="AL40" s="111" t="s">
        <v>315</v>
      </c>
      <c r="AM40" s="44">
        <f>COUNTIFS(Tracker!$I$3:$I$503,Analysis!$AM$34,Tracker!$J$3:$J$503,Analysis!$AL40)</f>
        <v>13</v>
      </c>
    </row>
    <row r="41" spans="2:39" x14ac:dyDescent="0.25">
      <c r="B41" s="213" t="s">
        <v>286</v>
      </c>
      <c r="C41" s="213"/>
      <c r="D41" s="213"/>
      <c r="E41" s="213"/>
      <c r="F41" s="213"/>
      <c r="G41" s="213"/>
      <c r="J41" s="213" t="s">
        <v>287</v>
      </c>
      <c r="K41" s="213"/>
      <c r="L41" s="213"/>
      <c r="M41" s="213"/>
      <c r="N41" s="213"/>
      <c r="O41" s="213"/>
      <c r="P41" s="18"/>
      <c r="R41" s="213" t="s">
        <v>288</v>
      </c>
      <c r="S41" s="213"/>
      <c r="T41" s="213"/>
      <c r="U41" s="213"/>
      <c r="V41" s="213"/>
      <c r="X41" s="4" t="s">
        <v>157</v>
      </c>
      <c r="AB41" s="213" t="s">
        <v>294</v>
      </c>
      <c r="AC41" s="213"/>
      <c r="AD41" s="213"/>
      <c r="AL41" s="111" t="s">
        <v>316</v>
      </c>
      <c r="AM41" s="44">
        <f>COUNTIFS(Tracker!$I$3:$I$503,Analysis!$AM$34,Tracker!$J$3:$J$503,Analysis!$AL41)</f>
        <v>11</v>
      </c>
    </row>
    <row r="42" spans="2:39" x14ac:dyDescent="0.25">
      <c r="B42" s="1"/>
      <c r="J42" s="1"/>
      <c r="K42" s="1"/>
      <c r="R42" s="1"/>
      <c r="X42" s="4" t="s">
        <v>156</v>
      </c>
      <c r="AL42" s="111" t="s">
        <v>317</v>
      </c>
      <c r="AM42" s="44">
        <f>COUNTIFS(Tracker!$I$3:$I$503,Analysis!$AM$34,Tracker!$J$3:$J$503,Analysis!$AL42)</f>
        <v>10</v>
      </c>
    </row>
    <row r="43" spans="2:39" x14ac:dyDescent="0.25">
      <c r="B43" s="17" t="s">
        <v>278</v>
      </c>
      <c r="C43" s="17" t="s">
        <v>277</v>
      </c>
      <c r="D43" s="17" t="s">
        <v>285</v>
      </c>
      <c r="E43" s="46" t="s">
        <v>20</v>
      </c>
      <c r="F43" s="46" t="s">
        <v>163</v>
      </c>
      <c r="G43" s="46" t="s">
        <v>167</v>
      </c>
      <c r="J43" s="17" t="s">
        <v>279</v>
      </c>
      <c r="K43" s="17"/>
      <c r="L43" s="46" t="s">
        <v>277</v>
      </c>
      <c r="M43" s="46" t="s">
        <v>20</v>
      </c>
      <c r="N43" s="46" t="s">
        <v>163</v>
      </c>
      <c r="O43" s="46" t="s">
        <v>167</v>
      </c>
      <c r="P43" s="46" t="s">
        <v>14</v>
      </c>
      <c r="R43" s="17" t="s">
        <v>283</v>
      </c>
      <c r="S43" s="17" t="s">
        <v>277</v>
      </c>
      <c r="T43" s="17" t="s">
        <v>20</v>
      </c>
      <c r="U43" s="17" t="s">
        <v>163</v>
      </c>
      <c r="V43" s="17" t="s">
        <v>167</v>
      </c>
      <c r="X43" s="4" t="s">
        <v>158</v>
      </c>
      <c r="AB43" s="17" t="s">
        <v>31</v>
      </c>
      <c r="AC43" s="46" t="s">
        <v>20</v>
      </c>
      <c r="AD43" s="46" t="s">
        <v>163</v>
      </c>
      <c r="AL43" s="111" t="s">
        <v>318</v>
      </c>
      <c r="AM43" s="44">
        <f>COUNTIFS(Tracker!$I$3:$I$503,Analysis!$AM$34,Tracker!$J$3:$J$503,Analysis!$AL43)</f>
        <v>12</v>
      </c>
    </row>
    <row r="44" spans="2:39" x14ac:dyDescent="0.25">
      <c r="B44" t="str">
        <f t="array" ref="B44">IFERROR(INDEX(Tracker!$R$3:$R$503,MATCH(0,COUNTIF($B$43:B43,Tracker!$R$3:$R$503),0)),"")</f>
        <v>Alice Johnson</v>
      </c>
      <c r="C44">
        <f>IF($B44="","",COUNTIF(Tracker!$R$3:$R$503,Analysis!$B44))</f>
        <v>27</v>
      </c>
      <c r="D44" s="16">
        <f>$C44/$C$66</f>
        <v>5.3892215568862277E-2</v>
      </c>
      <c r="E44" s="44">
        <f>IF($B44="","",COUNTIFS(Tracker!$R$3:$R$503,Analysis!$B44,Tracker!$S$3:$S$503,Analysis!E$43))</f>
        <v>22</v>
      </c>
      <c r="F44" s="44">
        <f>IF($B44="","",COUNTIFS(Tracker!$R$3:$R$503,Analysis!$B44,Tracker!$S$3:$S$503,Analysis!F$43))</f>
        <v>0</v>
      </c>
      <c r="G44" s="44">
        <f>IF($B44="","",COUNTIFS(Tracker!$R$3:$R$503,Analysis!$B44,Tracker!$S$3:$S$503,Analysis!G$43))</f>
        <v>5</v>
      </c>
      <c r="J44" t="str">
        <f t="array" ref="J44">IFERROR(INDEX(Tracker!$G$3:$G$503,MATCH(0,COUNTIF($J$43:J43,Tracker!$G$3:$G$503),0)),"")</f>
        <v xml:space="preserve">Contract Dispute  </v>
      </c>
      <c r="L44">
        <f>IF($J44="","",COUNTIF(Tracker!$G$3:$G$503,Analysis!$J44))</f>
        <v>14</v>
      </c>
      <c r="M44" s="44">
        <f>IF($J44="","",COUNTIFS(Tracker!$G$3:$G$503,Analysis!$J44,Tracker!$S$3:$S$503,Analysis!M$43))</f>
        <v>12</v>
      </c>
      <c r="N44" s="44">
        <f>IF($J44="","",COUNTIFS(Tracker!$G$3:$G$503,Analysis!$J44,Tracker!$S$3:$S$503,Analysis!N$43))</f>
        <v>1</v>
      </c>
      <c r="O44" s="44">
        <f>IF($J44="","",COUNTIFS(Tracker!$G$3:$G$503,Analysis!$J44,Tracker!$S$3:$S$503,Analysis!O$43))</f>
        <v>1</v>
      </c>
      <c r="P44" s="44" t="str">
        <f>INDEX(Tracker!$Q$3:$Q$503,MATCH(Analysis!$J44,Tracker!$G$3:$G$503,0))</f>
        <v>Civil</v>
      </c>
      <c r="R44" t="str">
        <f t="array" ref="R44">IFERROR(INDEX(Tracker!$C$3:$C$503,MATCH(0,COUNTIF($R$43:R43,Tracker!$C$3:$C$503),0)),"")</f>
        <v>ABC Corp</v>
      </c>
      <c r="S44">
        <f>IF($R44="","",COUNTIF(Tracker!$C$3:$C$503,Analysis!$R44))</f>
        <v>27</v>
      </c>
      <c r="T44">
        <f>IF($R44="","",COUNTIFS(Tracker!$C$3:$C$503,Analysis!$R44,Tracker!$S$3:$S$503,Analysis!T$43))</f>
        <v>22</v>
      </c>
      <c r="U44">
        <f>IF($R44="","",COUNTIFS(Tracker!$C$3:$C$503,Analysis!$R44,Tracker!$S$3:$S$503,Analysis!U$43))</f>
        <v>0</v>
      </c>
      <c r="V44">
        <f>IF($R44="","",COUNTIFS(Tracker!$C$3:$C$503,Analysis!$R44,Tracker!$S$3:$S$503,Analysis!V$43))</f>
        <v>5</v>
      </c>
      <c r="X44" s="4" t="s">
        <v>159</v>
      </c>
      <c r="AB44" t="str">
        <f t="array" ref="AB44">IFERROR(INDEX(Tracker!$E$3:$E$503,MATCH(0,COUNTIF($AB$43:AB43,Tracker!$E$3:$E$503),0)),"")</f>
        <v xml:space="preserve">New York  </v>
      </c>
      <c r="AC44" s="44">
        <f>IF($AB44="","",COUNTIFS(Tracker!$E$3:$E$503,Analysis!$AB44,Tracker!$S$3:$S$503,Analysis!AC$43))</f>
        <v>40</v>
      </c>
      <c r="AD44" s="44">
        <f>IF($AB44="","",COUNTIFS(Tracker!$E$3:$E$503,Analysis!$AB44,Tracker!$S$3:$S$503,Analysis!AD$43))</f>
        <v>2</v>
      </c>
      <c r="AL44" s="111" t="s">
        <v>319</v>
      </c>
      <c r="AM44" s="44">
        <f>COUNTIFS(Tracker!$I$3:$I$503,Analysis!$AM$34,Tracker!$J$3:$J$503,Analysis!$AL44)</f>
        <v>8</v>
      </c>
    </row>
    <row r="45" spans="2:39" x14ac:dyDescent="0.25">
      <c r="B45" t="str">
        <f t="array" ref="B45">IFERROR(INDEX(Tracker!$R$3:$R$503,MATCH(0,COUNTIF($B$43:B44,Tracker!$R$3:$R$503),0)),"")</f>
        <v>Bob Brown</v>
      </c>
      <c r="C45">
        <f>IF($B45="","",COUNTIF(Tracker!$R$3:$R$503,Analysis!$B45))</f>
        <v>27</v>
      </c>
      <c r="D45" s="16">
        <f t="shared" ref="D45:D65" si="4">$C45/$C$66</f>
        <v>5.3892215568862277E-2</v>
      </c>
      <c r="E45" s="44">
        <f>IF($B45="","",COUNTIFS(Tracker!$R$3:$R$503,Analysis!$B45,Tracker!$S$3:$S$503,Analysis!E$43))</f>
        <v>21</v>
      </c>
      <c r="F45" s="44">
        <f>IF($B45="","",COUNTIFS(Tracker!$R$3:$R$503,Analysis!$B45,Tracker!$S$3:$S$503,Analysis!F$43))</f>
        <v>1</v>
      </c>
      <c r="G45" s="44">
        <f>IF($B45="","",COUNTIFS(Tracker!$R$3:$R$503,Analysis!$B45,Tracker!$S$3:$S$503,Analysis!G$43))</f>
        <v>5</v>
      </c>
      <c r="J45" t="str">
        <f t="array" ref="J45">IFERROR(INDEX(Tracker!$G$3:$G$503,MATCH(0,COUNTIF($J$43:J44,Tracker!$G$3:$G$503),0)),"")</f>
        <v xml:space="preserve">Trade Secrets  </v>
      </c>
      <c r="L45">
        <f>IF($J45="","",COUNTIF(Tracker!$G$3:$G$503,Analysis!$J45))</f>
        <v>21</v>
      </c>
      <c r="M45" s="44">
        <f>IF($J45="","",COUNTIFS(Tracker!$G$3:$G$503,Analysis!$J45,Tracker!$S$3:$S$503,Analysis!M$43))</f>
        <v>19</v>
      </c>
      <c r="N45" s="44">
        <f>IF($J45="","",COUNTIFS(Tracker!$G$3:$G$503,Analysis!$J45,Tracker!$S$3:$S$503,Analysis!N$43))</f>
        <v>1</v>
      </c>
      <c r="O45" s="44">
        <f>IF($J45="","",COUNTIFS(Tracker!$G$3:$G$503,Analysis!$J45,Tracker!$S$3:$S$503,Analysis!O$43))</f>
        <v>1</v>
      </c>
      <c r="P45" s="44" t="str">
        <f>INDEX(Tracker!$Q$3:$Q$503,MATCH(Analysis!$J45,Tracker!$G$3:$G$503,0))</f>
        <v>Federal</v>
      </c>
      <c r="R45" t="str">
        <f t="array" ref="R45">IFERROR(INDEX(Tracker!$C$3:$C$503,MATCH(0,COUNTIF($R$43:R44,Tracker!$C$3:$C$503),0)),"")</f>
        <v>XYZ Ltd</v>
      </c>
      <c r="S45">
        <f>IF($R45="","",COUNTIF(Tracker!$C$3:$C$503,Analysis!$R45))</f>
        <v>27</v>
      </c>
      <c r="T45">
        <f>IF($R45="","",COUNTIFS(Tracker!$C$3:$C$503,Analysis!$R45,Tracker!$S$3:$S$503,Analysis!T$43))</f>
        <v>21</v>
      </c>
      <c r="U45">
        <f>IF($R45="","",COUNTIFS(Tracker!$C$3:$C$503,Analysis!$R45,Tracker!$S$3:$S$503,Analysis!U$43))</f>
        <v>1</v>
      </c>
      <c r="V45">
        <f>IF($R45="","",COUNTIFS(Tracker!$C$3:$C$503,Analysis!$R45,Tracker!$S$3:$S$503,Analysis!V$43))</f>
        <v>5</v>
      </c>
      <c r="X45" s="4" t="s">
        <v>160</v>
      </c>
      <c r="AB45" t="str">
        <f t="array" ref="AB45">IFERROR(INDEX(Tracker!$E$3:$E$503,MATCH(0,COUNTIF($AB$43:AB44,Tracker!$E$3:$E$503),0)),"")</f>
        <v xml:space="preserve">Los Angeles  </v>
      </c>
      <c r="AC45" s="44">
        <f>IF($AB45="","",COUNTIFS(Tracker!$E$3:$E$503,Analysis!$AB45,Tracker!$S$3:$S$503,Analysis!AC$43))</f>
        <v>51</v>
      </c>
      <c r="AD45" s="44">
        <f>IF($AB45="","",COUNTIFS(Tracker!$E$3:$E$503,Analysis!$AB45,Tracker!$S$3:$S$503,Analysis!AD$43))</f>
        <v>3</v>
      </c>
      <c r="AL45" s="111" t="s">
        <v>320</v>
      </c>
      <c r="AM45" s="44">
        <f>COUNTIFS(Tracker!$I$3:$I$503,Analysis!$AM$34,Tracker!$J$3:$J$503,Analysis!$AL45)</f>
        <v>4</v>
      </c>
    </row>
    <row r="46" spans="2:39" x14ac:dyDescent="0.25">
      <c r="B46" t="str">
        <f t="array" ref="B46">IFERROR(INDEX(Tracker!$R$3:$R$503,MATCH(0,COUNTIF($B$43:B45,Tracker!$R$3:$R$503),0)),"")</f>
        <v xml:space="preserve">Trisha Bailey  </v>
      </c>
      <c r="C46">
        <f>IF($B46="","",COUNTIF(Tracker!$R$3:$R$503,Analysis!$B46))</f>
        <v>27</v>
      </c>
      <c r="D46" s="16">
        <f t="shared" si="4"/>
        <v>5.3892215568862277E-2</v>
      </c>
      <c r="E46" s="44">
        <f>IF($B46="","",COUNTIFS(Tracker!$R$3:$R$503,Analysis!$B46,Tracker!$S$3:$S$503,Analysis!E$43))</f>
        <v>26</v>
      </c>
      <c r="F46" s="44">
        <f>IF($B46="","",COUNTIFS(Tracker!$R$3:$R$503,Analysis!$B46,Tracker!$S$3:$S$503,Analysis!F$43))</f>
        <v>1</v>
      </c>
      <c r="G46" s="44">
        <f>IF($B46="","",COUNTIFS(Tracker!$R$3:$R$503,Analysis!$B46,Tracker!$S$3:$S$503,Analysis!G$43))</f>
        <v>0</v>
      </c>
      <c r="J46" t="str">
        <f t="array" ref="J46">IFERROR(INDEX(Tracker!$G$3:$G$503,MATCH(0,COUNTIF($J$43:J45,Tracker!$G$3:$G$503),0)),"")</f>
        <v xml:space="preserve">Product Liability  </v>
      </c>
      <c r="L46">
        <f>IF($J46="","",COUNTIF(Tracker!$G$3:$G$503,Analysis!$J46))</f>
        <v>19</v>
      </c>
      <c r="M46" s="44">
        <f>IF($J46="","",COUNTIFS(Tracker!$G$3:$G$503,Analysis!$J46,Tracker!$S$3:$S$503,Analysis!M$43))</f>
        <v>15</v>
      </c>
      <c r="N46" s="44">
        <f>IF($J46="","",COUNTIFS(Tracker!$G$3:$G$503,Analysis!$J46,Tracker!$S$3:$S$503,Analysis!N$43))</f>
        <v>1</v>
      </c>
      <c r="O46" s="44">
        <f>IF($J46="","",COUNTIFS(Tracker!$G$3:$G$503,Analysis!$J46,Tracker!$S$3:$S$503,Analysis!O$43))</f>
        <v>3</v>
      </c>
      <c r="P46" s="44" t="str">
        <f>INDEX(Tracker!$Q$3:$Q$503,MATCH(Analysis!$J46,Tracker!$G$3:$G$503,0))</f>
        <v>Civil</v>
      </c>
      <c r="R46" t="str">
        <f t="array" ref="R46">IFERROR(INDEX(Tracker!$C$3:$C$503,MATCH(0,COUNTIF($R$43:R45,Tracker!$C$3:$C$503),0)),"")</f>
        <v>Tinkerbell's Treasures</v>
      </c>
      <c r="S46">
        <f>IF($R46="","",COUNTIF(Tracker!$C$3:$C$503,Analysis!$R46))</f>
        <v>27</v>
      </c>
      <c r="T46">
        <f>IF($R46="","",COUNTIFS(Tracker!$C$3:$C$503,Analysis!$R46,Tracker!$S$3:$S$503,Analysis!T$43))</f>
        <v>26</v>
      </c>
      <c r="U46">
        <f>IF($R46="","",COUNTIFS(Tracker!$C$3:$C$503,Analysis!$R46,Tracker!$S$3:$S$503,Analysis!U$43))</f>
        <v>1</v>
      </c>
      <c r="V46">
        <f>IF($R46="","",COUNTIFS(Tracker!$C$3:$C$503,Analysis!$R46,Tracker!$S$3:$S$503,Analysis!V$43))</f>
        <v>0</v>
      </c>
      <c r="X46" s="4" t="s">
        <v>161</v>
      </c>
      <c r="AB46" t="str">
        <f t="array" ref="AB46">IFERROR(INDEX(Tracker!$E$3:$E$503,MATCH(0,COUNTIF($AB$43:AB45,Tracker!$E$3:$E$503),0)),"")</f>
        <v xml:space="preserve">Chicago  </v>
      </c>
      <c r="AC46" s="44">
        <f>IF($AB46="","",COUNTIFS(Tracker!$E$3:$E$503,Analysis!$AB46,Tracker!$S$3:$S$503,Analysis!AC$43))</f>
        <v>54</v>
      </c>
      <c r="AD46" s="44">
        <f>IF($AB46="","",COUNTIFS(Tracker!$E$3:$E$503,Analysis!$AB46,Tracker!$S$3:$S$503,Analysis!AD$43))</f>
        <v>2</v>
      </c>
      <c r="AL46" s="111" t="s">
        <v>321</v>
      </c>
      <c r="AM46" s="44">
        <f>COUNTIFS(Tracker!$I$3:$I$503,Analysis!$AM$34,Tracker!$J$3:$J$503,Analysis!$AL46)</f>
        <v>14</v>
      </c>
    </row>
    <row r="47" spans="2:39" x14ac:dyDescent="0.25">
      <c r="B47" t="str">
        <f t="array" ref="B47">IFERROR(INDEX(Tracker!$R$3:$R$503,MATCH(0,COUNTIF($B$43:B46,Tracker!$R$3:$R$503),0)),"")</f>
        <v xml:space="preserve">Troy Gray  </v>
      </c>
      <c r="C47">
        <f>IF($B47="","",COUNTIF(Tracker!$R$3:$R$503,Analysis!$B47))</f>
        <v>27</v>
      </c>
      <c r="D47" s="16">
        <f t="shared" si="4"/>
        <v>5.3892215568862277E-2</v>
      </c>
      <c r="E47" s="44">
        <f>IF($B47="","",COUNTIFS(Tracker!$R$3:$R$503,Analysis!$B47,Tracker!$S$3:$S$503,Analysis!E$43))</f>
        <v>26</v>
      </c>
      <c r="F47" s="44">
        <f>IF($B47="","",COUNTIFS(Tracker!$R$3:$R$503,Analysis!$B47,Tracker!$S$3:$S$503,Analysis!F$43))</f>
        <v>0</v>
      </c>
      <c r="G47" s="44">
        <f>IF($B47="","",COUNTIFS(Tracker!$R$3:$R$503,Analysis!$B47,Tracker!$S$3:$S$503,Analysis!G$43))</f>
        <v>1</v>
      </c>
      <c r="J47" t="str">
        <f t="array" ref="J47">IFERROR(INDEX(Tracker!$G$3:$G$503,MATCH(0,COUNTIF($J$43:J46,Tracker!$G$3:$G$503),0)),"")</f>
        <v xml:space="preserve">Property Dispute  </v>
      </c>
      <c r="L47">
        <f>IF($J47="","",COUNTIF(Tracker!$G$3:$G$503,Analysis!$J47))</f>
        <v>16</v>
      </c>
      <c r="M47" s="44">
        <f>IF($J47="","",COUNTIFS(Tracker!$G$3:$G$503,Analysis!$J47,Tracker!$S$3:$S$503,Analysis!M$43))</f>
        <v>13</v>
      </c>
      <c r="N47" s="44">
        <f>IF($J47="","",COUNTIFS(Tracker!$G$3:$G$503,Analysis!$J47,Tracker!$S$3:$S$503,Analysis!N$43))</f>
        <v>2</v>
      </c>
      <c r="O47" s="44">
        <f>IF($J47="","",COUNTIFS(Tracker!$G$3:$G$503,Analysis!$J47,Tracker!$S$3:$S$503,Analysis!O$43))</f>
        <v>1</v>
      </c>
      <c r="P47" s="44" t="str">
        <f>INDEX(Tracker!$Q$3:$Q$503,MATCH(Analysis!$J47,Tracker!$G$3:$G$503,0))</f>
        <v>Civil</v>
      </c>
      <c r="R47" t="str">
        <f t="array" ref="R47">IFERROR(INDEX(Tracker!$C$3:$C$503,MATCH(0,COUNTIF($R$43:R46,Tracker!$C$3:$C$503),0)),"")</f>
        <v>Quantum Quirk Solutions</v>
      </c>
      <c r="S47">
        <f>IF($R47="","",COUNTIF(Tracker!$C$3:$C$503,Analysis!$R47))</f>
        <v>27</v>
      </c>
      <c r="T47">
        <f>IF($R47="","",COUNTIFS(Tracker!$C$3:$C$503,Analysis!$R47,Tracker!$S$3:$S$503,Analysis!T$43))</f>
        <v>26</v>
      </c>
      <c r="U47">
        <f>IF($R47="","",COUNTIFS(Tracker!$C$3:$C$503,Analysis!$R47,Tracker!$S$3:$S$503,Analysis!U$43))</f>
        <v>0</v>
      </c>
      <c r="V47">
        <f>IF($R47="","",COUNTIFS(Tracker!$C$3:$C$503,Analysis!$R47,Tracker!$S$3:$S$503,Analysis!V$43))</f>
        <v>1</v>
      </c>
      <c r="AB47" t="str">
        <f t="array" ref="AB47">IFERROR(INDEX(Tracker!$E$3:$E$503,MATCH(0,COUNTIF($AB$43:AB46,Tracker!$E$3:$E$503),0)),"")</f>
        <v xml:space="preserve">Houston  </v>
      </c>
      <c r="AC47" s="44">
        <f>IF($AB47="","",COUNTIFS(Tracker!$E$3:$E$503,Analysis!$AB47,Tracker!$S$3:$S$503,Analysis!AC$43))</f>
        <v>50</v>
      </c>
      <c r="AD47" s="44">
        <f>IF($AB47="","",COUNTIFS(Tracker!$E$3:$E$503,Analysis!$AB47,Tracker!$S$3:$S$503,Analysis!AD$43))</f>
        <v>3</v>
      </c>
    </row>
    <row r="48" spans="2:39" x14ac:dyDescent="0.25">
      <c r="B48" t="str">
        <f t="array" ref="B48">IFERROR(INDEX(Tracker!$R$3:$R$503,MATCH(0,COUNTIF($B$43:B47,Tracker!$R$3:$R$503),0)),"")</f>
        <v xml:space="preserve">Tyler Kelly  </v>
      </c>
      <c r="C48">
        <f>IF($B48="","",COUNTIF(Tracker!$R$3:$R$503,Analysis!$B48))</f>
        <v>32</v>
      </c>
      <c r="D48" s="16">
        <f t="shared" si="4"/>
        <v>6.3872255489021951E-2</v>
      </c>
      <c r="E48" s="44">
        <f>IF($B48="","",COUNTIFS(Tracker!$R$3:$R$503,Analysis!$B48,Tracker!$S$3:$S$503,Analysis!E$43))</f>
        <v>31</v>
      </c>
      <c r="F48" s="44">
        <f>IF($B48="","",COUNTIFS(Tracker!$R$3:$R$503,Analysis!$B48,Tracker!$S$3:$S$503,Analysis!F$43))</f>
        <v>1</v>
      </c>
      <c r="G48" s="44">
        <f>IF($B48="","",COUNTIFS(Tracker!$R$3:$R$503,Analysis!$B48,Tracker!$S$3:$S$503,Analysis!G$43))</f>
        <v>0</v>
      </c>
      <c r="J48" t="str">
        <f t="array" ref="J48">IFERROR(INDEX(Tracker!$G$3:$G$503,MATCH(0,COUNTIF($J$43:J47,Tracker!$G$3:$G$503),0)),"")</f>
        <v xml:space="preserve">Employment Discrimination  </v>
      </c>
      <c r="L48">
        <f>IF($J48="","",COUNTIF(Tracker!$G$3:$G$503,Analysis!$J48))</f>
        <v>13</v>
      </c>
      <c r="M48" s="44">
        <f>IF($J48="","",COUNTIFS(Tracker!$G$3:$G$503,Analysis!$J48,Tracker!$S$3:$S$503,Analysis!M$43))</f>
        <v>11</v>
      </c>
      <c r="N48" s="44">
        <f>IF($J48="","",COUNTIFS(Tracker!$G$3:$G$503,Analysis!$J48,Tracker!$S$3:$S$503,Analysis!N$43))</f>
        <v>1</v>
      </c>
      <c r="O48" s="44">
        <f>IF($J48="","",COUNTIFS(Tracker!$G$3:$G$503,Analysis!$J48,Tracker!$S$3:$S$503,Analysis!O$43))</f>
        <v>1</v>
      </c>
      <c r="P48" s="44" t="str">
        <f>INDEX(Tracker!$Q$3:$Q$503,MATCH(Analysis!$J48,Tracker!$G$3:$G$503,0))</f>
        <v>Employment Tribunal</v>
      </c>
      <c r="R48" t="str">
        <f t="array" ref="R48">IFERROR(INDEX(Tracker!$C$3:$C$503,MATCH(0,COUNTIF($R$43:R47,Tracker!$C$3:$C$503),0)),"")</f>
        <v>Blue Moon Innovations</v>
      </c>
      <c r="S48">
        <f>IF($R48="","",COUNTIF(Tracker!$C$3:$C$503,Analysis!$R48))</f>
        <v>32</v>
      </c>
      <c r="T48">
        <f>IF($R48="","",COUNTIFS(Tracker!$C$3:$C$503,Analysis!$R48,Tracker!$S$3:$S$503,Analysis!T$43))</f>
        <v>31</v>
      </c>
      <c r="U48">
        <f>IF($R48="","",COUNTIFS(Tracker!$C$3:$C$503,Analysis!$R48,Tracker!$S$3:$S$503,Analysis!U$43))</f>
        <v>1</v>
      </c>
      <c r="V48">
        <f>IF($R48="","",COUNTIFS(Tracker!$C$3:$C$503,Analysis!$R48,Tracker!$S$3:$S$503,Analysis!V$43))</f>
        <v>0</v>
      </c>
      <c r="AB48" t="str">
        <f t="array" ref="AB48">IFERROR(INDEX(Tracker!$E$3:$E$503,MATCH(0,COUNTIF($AB$43:AB47,Tracker!$E$3:$E$503),0)),"")</f>
        <v xml:space="preserve">Phoenix  </v>
      </c>
      <c r="AC48" s="44">
        <f>IF($AB48="","",COUNTIFS(Tracker!$E$3:$E$503,Analysis!$AB48,Tracker!$S$3:$S$503,Analysis!AC$43))</f>
        <v>78</v>
      </c>
      <c r="AD48" s="44">
        <f>IF($AB48="","",COUNTIFS(Tracker!$E$3:$E$503,Analysis!$AB48,Tracker!$S$3:$S$503,Analysis!AD$43))</f>
        <v>4</v>
      </c>
    </row>
    <row r="49" spans="2:33" x14ac:dyDescent="0.25">
      <c r="B49" t="str">
        <f t="array" ref="B49">IFERROR(INDEX(Tracker!$R$3:$R$503,MATCH(0,COUNTIF($B$43:B48,Tracker!$R$3:$R$503),0)),"")</f>
        <v xml:space="preserve">Valerie Ward  </v>
      </c>
      <c r="C49">
        <f>IF($B49="","",COUNTIF(Tracker!$R$3:$R$503,Analysis!$B49))</f>
        <v>32</v>
      </c>
      <c r="D49" s="16">
        <f t="shared" si="4"/>
        <v>6.3872255489021951E-2</v>
      </c>
      <c r="E49" s="44">
        <f>IF($B49="","",COUNTIFS(Tracker!$R$3:$R$503,Analysis!$B49,Tracker!$S$3:$S$503,Analysis!E$43))</f>
        <v>31</v>
      </c>
      <c r="F49" s="44">
        <f>IF($B49="","",COUNTIFS(Tracker!$R$3:$R$503,Analysis!$B49,Tracker!$S$3:$S$503,Analysis!F$43))</f>
        <v>1</v>
      </c>
      <c r="G49" s="44">
        <f>IF($B49="","",COUNTIFS(Tracker!$R$3:$R$503,Analysis!$B49,Tracker!$S$3:$S$503,Analysis!G$43))</f>
        <v>0</v>
      </c>
      <c r="J49" t="str">
        <f t="array" ref="J49">IFERROR(INDEX(Tracker!$G$3:$G$503,MATCH(0,COUNTIF($J$43:J48,Tracker!$G$3:$G$503),0)),"")</f>
        <v xml:space="preserve">Bankruptcy  </v>
      </c>
      <c r="L49">
        <f>IF($J49="","",COUNTIF(Tracker!$G$3:$G$503,Analysis!$J49))</f>
        <v>19</v>
      </c>
      <c r="M49" s="44">
        <f>IF($J49="","",COUNTIFS(Tracker!$G$3:$G$503,Analysis!$J49,Tracker!$S$3:$S$503,Analysis!M$43))</f>
        <v>17</v>
      </c>
      <c r="N49" s="44">
        <f>IF($J49="","",COUNTIFS(Tracker!$G$3:$G$503,Analysis!$J49,Tracker!$S$3:$S$503,Analysis!N$43))</f>
        <v>2</v>
      </c>
      <c r="O49" s="44">
        <f>IF($J49="","",COUNTIFS(Tracker!$G$3:$G$503,Analysis!$J49,Tracker!$S$3:$S$503,Analysis!O$43))</f>
        <v>0</v>
      </c>
      <c r="P49" s="44" t="str">
        <f>INDEX(Tracker!$Q$3:$Q$503,MATCH(Analysis!$J49,Tracker!$G$3:$G$503,0))</f>
        <v>Bankruptcy</v>
      </c>
      <c r="R49" t="str">
        <f t="array" ref="R49">IFERROR(INDEX(Tracker!$C$3:$C$503,MATCH(0,COUNTIF($R$43:R48,Tracker!$C$3:$C$503),0)),"")</f>
        <v>Crimson Cove Ventures</v>
      </c>
      <c r="S49">
        <f>IF($R49="","",COUNTIF(Tracker!$C$3:$C$503,Analysis!$R49))</f>
        <v>32</v>
      </c>
      <c r="T49">
        <f>IF($R49="","",COUNTIFS(Tracker!$C$3:$C$503,Analysis!$R49,Tracker!$S$3:$S$503,Analysis!T$43))</f>
        <v>31</v>
      </c>
      <c r="U49">
        <f>IF($R49="","",COUNTIFS(Tracker!$C$3:$C$503,Analysis!$R49,Tracker!$S$3:$S$503,Analysis!U$43))</f>
        <v>1</v>
      </c>
      <c r="V49">
        <f>IF($R49="","",COUNTIFS(Tracker!$C$3:$C$503,Analysis!$R49,Tracker!$S$3:$S$503,Analysis!V$43))</f>
        <v>0</v>
      </c>
      <c r="AB49" t="str">
        <f t="array" ref="AB49">IFERROR(INDEX(Tracker!$E$3:$E$503,MATCH(0,COUNTIF($AB$43:AB48,Tracker!$E$3:$E$503),0)),"")</f>
        <v xml:space="preserve">Philadelphia  </v>
      </c>
      <c r="AC49" s="44">
        <f>IF($AB49="","",COUNTIFS(Tracker!$E$3:$E$503,Analysis!$AB49,Tracker!$S$3:$S$503,Analysis!AC$43))</f>
        <v>70</v>
      </c>
      <c r="AD49" s="44">
        <f>IF($AB49="","",COUNTIFS(Tracker!$E$3:$E$503,Analysis!$AB49,Tracker!$S$3:$S$503,Analysis!AD$43))</f>
        <v>4</v>
      </c>
    </row>
    <row r="50" spans="2:33" x14ac:dyDescent="0.25">
      <c r="B50" t="str">
        <f t="array" ref="B50">IFERROR(INDEX(Tracker!$R$3:$R$503,MATCH(0,COUNTIF($B$43:B49,Tracker!$R$3:$R$503),0)),"")</f>
        <v xml:space="preserve">Vanessa Hughes  </v>
      </c>
      <c r="C50">
        <f>IF($B50="","",COUNTIF(Tracker!$R$3:$R$503,Analysis!$B50))</f>
        <v>32</v>
      </c>
      <c r="D50" s="16">
        <f t="shared" si="4"/>
        <v>6.3872255489021951E-2</v>
      </c>
      <c r="E50" s="44">
        <f>IF($B50="","",COUNTIFS(Tracker!$R$3:$R$503,Analysis!$B50,Tracker!$S$3:$S$503,Analysis!E$43))</f>
        <v>27</v>
      </c>
      <c r="F50" s="44">
        <f>IF($B50="","",COUNTIFS(Tracker!$R$3:$R$503,Analysis!$B50,Tracker!$S$3:$S$503,Analysis!F$43))</f>
        <v>1</v>
      </c>
      <c r="G50" s="44">
        <f>IF($B50="","",COUNTIFS(Tracker!$R$3:$R$503,Analysis!$B50,Tracker!$S$3:$S$503,Analysis!G$43))</f>
        <v>4</v>
      </c>
      <c r="J50" t="str">
        <f t="array" ref="J50">IFERROR(INDEX(Tracker!$G$3:$G$503,MATCH(0,COUNTIF($J$43:J49,Tracker!$G$3:$G$503),0)),"")</f>
        <v xml:space="preserve">Intellectual Property  </v>
      </c>
      <c r="L50">
        <f>IF($J50="","",COUNTIF(Tracker!$G$3:$G$503,Analysis!$J50))</f>
        <v>21</v>
      </c>
      <c r="M50" s="44">
        <f>IF($J50="","",COUNTIFS(Tracker!$G$3:$G$503,Analysis!$J50,Tracker!$S$3:$S$503,Analysis!M$43))</f>
        <v>17</v>
      </c>
      <c r="N50" s="44">
        <f>IF($J50="","",COUNTIFS(Tracker!$G$3:$G$503,Analysis!$J50,Tracker!$S$3:$S$503,Analysis!N$43))</f>
        <v>2</v>
      </c>
      <c r="O50" s="44">
        <f>IF($J50="","",COUNTIFS(Tracker!$G$3:$G$503,Analysis!$J50,Tracker!$S$3:$S$503,Analysis!O$43))</f>
        <v>2</v>
      </c>
      <c r="P50" s="44" t="str">
        <f>INDEX(Tracker!$Q$3:$Q$503,MATCH(Analysis!$J50,Tracker!$G$3:$G$503,0))</f>
        <v>Federal</v>
      </c>
      <c r="R50" t="str">
        <f t="array" ref="R50">IFERROR(INDEX(Tracker!$C$3:$C$503,MATCH(0,COUNTIF($R$43:R49,Tracker!$C$3:$C$503),0)),"")</f>
        <v>Golden Horizon Enterprises</v>
      </c>
      <c r="S50">
        <f>IF($R50="","",COUNTIF(Tracker!$C$3:$C$503,Analysis!$R50))</f>
        <v>32</v>
      </c>
      <c r="T50">
        <f>IF($R50="","",COUNTIFS(Tracker!$C$3:$C$503,Analysis!$R50,Tracker!$S$3:$S$503,Analysis!T$43))</f>
        <v>27</v>
      </c>
      <c r="U50">
        <f>IF($R50="","",COUNTIFS(Tracker!$C$3:$C$503,Analysis!$R50,Tracker!$S$3:$S$503,Analysis!U$43))</f>
        <v>1</v>
      </c>
      <c r="V50">
        <f>IF($R50="","",COUNTIFS(Tracker!$C$3:$C$503,Analysis!$R50,Tracker!$S$3:$S$503,Analysis!V$43))</f>
        <v>4</v>
      </c>
      <c r="AB50" t="str">
        <f t="array" ref="AB50">IFERROR(INDEX(Tracker!$E$3:$E$503,MATCH(0,COUNTIF($AB$43:AB49,Tracker!$E$3:$E$503),0)),"")</f>
        <v xml:space="preserve">San Antonio  </v>
      </c>
      <c r="AC50" s="44">
        <f>IF($AB50="","",COUNTIFS(Tracker!$E$3:$E$503,Analysis!$AB50,Tracker!$S$3:$S$503,Analysis!AC$43))</f>
        <v>51</v>
      </c>
      <c r="AD50" s="44">
        <f>IF($AB50="","",COUNTIFS(Tracker!$E$3:$E$503,Analysis!$AB50,Tracker!$S$3:$S$503,Analysis!AD$43))</f>
        <v>2</v>
      </c>
    </row>
    <row r="51" spans="2:33" x14ac:dyDescent="0.25">
      <c r="B51" t="str">
        <f t="array" ref="B51">IFERROR(INDEX(Tracker!$R$3:$R$503,MATCH(0,COUNTIF($B$43:B50,Tracker!$R$3:$R$503),0)),"")</f>
        <v xml:space="preserve">Vernon Watson  </v>
      </c>
      <c r="C51">
        <f>IF($B51="","",COUNTIF(Tracker!$R$3:$R$503,Analysis!$B51))</f>
        <v>27</v>
      </c>
      <c r="D51" s="16">
        <f t="shared" si="4"/>
        <v>5.3892215568862277E-2</v>
      </c>
      <c r="E51" s="44">
        <f>IF($B51="","",COUNTIFS(Tracker!$R$3:$R$503,Analysis!$B51,Tracker!$S$3:$S$503,Analysis!E$43))</f>
        <v>24</v>
      </c>
      <c r="F51" s="44">
        <f>IF($B51="","",COUNTIFS(Tracker!$R$3:$R$503,Analysis!$B51,Tracker!$S$3:$S$503,Analysis!F$43))</f>
        <v>0</v>
      </c>
      <c r="G51" s="44">
        <f>IF($B51="","",COUNTIFS(Tracker!$R$3:$R$503,Analysis!$B51,Tracker!$S$3:$S$503,Analysis!G$43))</f>
        <v>3</v>
      </c>
      <c r="J51" t="str">
        <f t="array" ref="J51">IFERROR(INDEX(Tracker!$G$3:$G$503,MATCH(0,COUNTIF($J$43:J50,Tracker!$G$3:$G$503),0)),"")</f>
        <v xml:space="preserve">Real Estate Transaction  </v>
      </c>
      <c r="L51">
        <f>IF($J51="","",COUNTIF(Tracker!$G$3:$G$503,Analysis!$J51))</f>
        <v>17</v>
      </c>
      <c r="M51" s="44">
        <f>IF($J51="","",COUNTIFS(Tracker!$G$3:$G$503,Analysis!$J51,Tracker!$S$3:$S$503,Analysis!M$43))</f>
        <v>15</v>
      </c>
      <c r="N51" s="44">
        <f>IF($J51="","",COUNTIFS(Tracker!$G$3:$G$503,Analysis!$J51,Tracker!$S$3:$S$503,Analysis!N$43))</f>
        <v>0</v>
      </c>
      <c r="O51" s="44">
        <f>IF($J51="","",COUNTIFS(Tracker!$G$3:$G$503,Analysis!$J51,Tracker!$S$3:$S$503,Analysis!O$43))</f>
        <v>2</v>
      </c>
      <c r="P51" s="44" t="str">
        <f>INDEX(Tracker!$Q$3:$Q$503,MATCH(Analysis!$J51,Tracker!$G$3:$G$503,0))</f>
        <v>Civil</v>
      </c>
      <c r="R51" t="str">
        <f t="array" ref="R51">IFERROR(INDEX(Tracker!$C$3:$C$503,MATCH(0,COUNTIF($R$43:R50,Tracker!$C$3:$C$503),0)),"")</f>
        <v>Zephyr Dynamics</v>
      </c>
      <c r="S51">
        <f>IF($R51="","",COUNTIF(Tracker!$C$3:$C$503,Analysis!$R51))</f>
        <v>27</v>
      </c>
      <c r="T51">
        <f>IF($R51="","",COUNTIFS(Tracker!$C$3:$C$503,Analysis!$R51,Tracker!$S$3:$S$503,Analysis!T$43))</f>
        <v>24</v>
      </c>
      <c r="U51">
        <f>IF($R51="","",COUNTIFS(Tracker!$C$3:$C$503,Analysis!$R51,Tracker!$S$3:$S$503,Analysis!U$43))</f>
        <v>0</v>
      </c>
      <c r="V51">
        <f>IF($R51="","",COUNTIFS(Tracker!$C$3:$C$503,Analysis!$R51,Tracker!$S$3:$S$503,Analysis!V$43))</f>
        <v>3</v>
      </c>
      <c r="AB51" t="str">
        <f t="array" ref="AB51">IFERROR(INDEX(Tracker!$E$3:$E$503,MATCH(0,COUNTIF($AB$43:AB50,Tracker!$E$3:$E$503),0)),"")</f>
        <v xml:space="preserve">San Diego  </v>
      </c>
      <c r="AC51" s="44">
        <f>IF($AB51="","",COUNTIFS(Tracker!$E$3:$E$503,Analysis!$AB51,Tracker!$S$3:$S$503,Analysis!AC$43))</f>
        <v>48</v>
      </c>
      <c r="AD51" s="44">
        <f>IF($AB51="","",COUNTIFS(Tracker!$E$3:$E$503,Analysis!$AB51,Tracker!$S$3:$S$503,Analysis!AD$43))</f>
        <v>2</v>
      </c>
    </row>
    <row r="52" spans="2:33" x14ac:dyDescent="0.25">
      <c r="B52" t="str">
        <f t="array" ref="B52">IFERROR(INDEX(Tracker!$R$3:$R$503,MATCH(0,COUNTIF($B$43:B51,Tracker!$R$3:$R$503),0)),"")</f>
        <v xml:space="preserve">Steven Ward  </v>
      </c>
      <c r="C52">
        <f>IF($B52="","",COUNTIF(Tracker!$R$3:$R$503,Analysis!$B52))</f>
        <v>22</v>
      </c>
      <c r="D52" s="16">
        <f t="shared" si="4"/>
        <v>4.3912175648702596E-2</v>
      </c>
      <c r="E52" s="44">
        <f>IF($B52="","",COUNTIFS(Tracker!$R$3:$R$503,Analysis!$B52,Tracker!$S$3:$S$503,Analysis!E$43))</f>
        <v>20</v>
      </c>
      <c r="F52" s="44">
        <f>IF($B52="","",COUNTIFS(Tracker!$R$3:$R$503,Analysis!$B52,Tracker!$S$3:$S$503,Analysis!F$43))</f>
        <v>0</v>
      </c>
      <c r="G52" s="44">
        <f>IF($B52="","",COUNTIFS(Tracker!$R$3:$R$503,Analysis!$B52,Tracker!$S$3:$S$503,Analysis!G$43))</f>
        <v>2</v>
      </c>
      <c r="J52" t="str">
        <f t="array" ref="J52">IFERROR(INDEX(Tracker!$G$3:$G$503,MATCH(0,COUNTIF($J$43:J51,Tracker!$G$3:$G$503),0)),"")</f>
        <v xml:space="preserve">Debt Collection  </v>
      </c>
      <c r="L52">
        <f>IF($J52="","",COUNTIF(Tracker!$G$3:$G$503,Analysis!$J52))</f>
        <v>19</v>
      </c>
      <c r="M52" s="44">
        <f>IF($J52="","",COUNTIFS(Tracker!$G$3:$G$503,Analysis!$J52,Tracker!$S$3:$S$503,Analysis!M$43))</f>
        <v>18</v>
      </c>
      <c r="N52" s="44">
        <f>IF($J52="","",COUNTIFS(Tracker!$G$3:$G$503,Analysis!$J52,Tracker!$S$3:$S$503,Analysis!N$43))</f>
        <v>1</v>
      </c>
      <c r="O52" s="44">
        <f>IF($J52="","",COUNTIFS(Tracker!$G$3:$G$503,Analysis!$J52,Tracker!$S$3:$S$503,Analysis!O$43))</f>
        <v>0</v>
      </c>
      <c r="P52" s="44" t="str">
        <f>INDEX(Tracker!$Q$3:$Q$503,MATCH(Analysis!$J52,Tracker!$G$3:$G$503,0))</f>
        <v>Civil</v>
      </c>
      <c r="R52" t="str">
        <f t="array" ref="R52">IFERROR(INDEX(Tracker!$C$3:$C$503,MATCH(0,COUNTIF($R$43:R51,Tracker!$C$3:$C$503),0)),"")</f>
        <v>Whimsy Works</v>
      </c>
      <c r="S52">
        <f>IF($R52="","",COUNTIF(Tracker!$C$3:$C$503,Analysis!$R52))</f>
        <v>22</v>
      </c>
      <c r="T52">
        <f>IF($R52="","",COUNTIFS(Tracker!$C$3:$C$503,Analysis!$R52,Tracker!$S$3:$S$503,Analysis!T$43))</f>
        <v>20</v>
      </c>
      <c r="U52">
        <f>IF($R52="","",COUNTIFS(Tracker!$C$3:$C$503,Analysis!$R52,Tracker!$S$3:$S$503,Analysis!U$43))</f>
        <v>0</v>
      </c>
      <c r="V52">
        <f>IF($R52="","",COUNTIFS(Tracker!$C$3:$C$503,Analysis!$R52,Tracker!$S$3:$S$503,Analysis!V$43))</f>
        <v>2</v>
      </c>
    </row>
    <row r="53" spans="2:33" x14ac:dyDescent="0.25">
      <c r="B53" t="str">
        <f t="array" ref="B53">IFERROR(INDEX(Tracker!$R$3:$R$503,MATCH(0,COUNTIF($B$43:B52,Tracker!$R$3:$R$503),0)),"")</f>
        <v xml:space="preserve">Stuart Hughes  </v>
      </c>
      <c r="C53">
        <f>IF($B53="","",COUNTIF(Tracker!$R$3:$R$503,Analysis!$B53))</f>
        <v>28</v>
      </c>
      <c r="D53" s="16">
        <f t="shared" si="4"/>
        <v>5.588822355289421E-2</v>
      </c>
      <c r="E53" s="44">
        <f>IF($B53="","",COUNTIFS(Tracker!$R$3:$R$503,Analysis!$B53,Tracker!$S$3:$S$503,Analysis!E$43))</f>
        <v>25</v>
      </c>
      <c r="F53" s="44">
        <f>IF($B53="","",COUNTIFS(Tracker!$R$3:$R$503,Analysis!$B53,Tracker!$S$3:$S$503,Analysis!F$43))</f>
        <v>2</v>
      </c>
      <c r="G53" s="44">
        <f>IF($B53="","",COUNTIFS(Tracker!$R$3:$R$503,Analysis!$B53,Tracker!$S$3:$S$503,Analysis!G$43))</f>
        <v>1</v>
      </c>
      <c r="J53" t="str">
        <f t="array" ref="J53">IFERROR(INDEX(Tracker!$G$3:$G$503,MATCH(0,COUNTIF($J$43:J52,Tracker!$G$3:$G$503),0)),"")</f>
        <v xml:space="preserve">Class Action  </v>
      </c>
      <c r="L53">
        <f>IF($J53="","",COUNTIF(Tracker!$G$3:$G$503,Analysis!$J53))</f>
        <v>18</v>
      </c>
      <c r="M53" s="44">
        <f>IF($J53="","",COUNTIFS(Tracker!$G$3:$G$503,Analysis!$J53,Tracker!$S$3:$S$503,Analysis!M$43))</f>
        <v>17</v>
      </c>
      <c r="N53" s="44">
        <f>IF($J53="","",COUNTIFS(Tracker!$G$3:$G$503,Analysis!$J53,Tracker!$S$3:$S$503,Analysis!N$43))</f>
        <v>1</v>
      </c>
      <c r="O53" s="44">
        <f>IF($J53="","",COUNTIFS(Tracker!$G$3:$G$503,Analysis!$J53,Tracker!$S$3:$S$503,Analysis!O$43))</f>
        <v>0</v>
      </c>
      <c r="P53" s="44" t="str">
        <f>INDEX(Tracker!$Q$3:$Q$503,MATCH(Analysis!$J53,Tracker!$G$3:$G$503,0))</f>
        <v>Civil</v>
      </c>
      <c r="R53" t="str">
        <f t="array" ref="R53">IFERROR(INDEX(Tracker!$C$3:$C$503,MATCH(0,COUNTIF($R$43:R52,Tracker!$C$3:$C$503),0)),"")</f>
        <v>Nova Nexus</v>
      </c>
      <c r="S53">
        <f>IF($R53="","",COUNTIF(Tracker!$C$3:$C$503,Analysis!$R53))</f>
        <v>28</v>
      </c>
      <c r="T53">
        <f>IF($R53="","",COUNTIFS(Tracker!$C$3:$C$503,Analysis!$R53,Tracker!$S$3:$S$503,Analysis!T$43))</f>
        <v>25</v>
      </c>
      <c r="U53">
        <f>IF($R53="","",COUNTIFS(Tracker!$C$3:$C$503,Analysis!$R53,Tracker!$S$3:$S$503,Analysis!U$43))</f>
        <v>2</v>
      </c>
      <c r="V53">
        <f>IF($R53="","",COUNTIFS(Tracker!$C$3:$C$503,Analysis!$R53,Tracker!$S$3:$S$503,Analysis!V$43))</f>
        <v>1</v>
      </c>
    </row>
    <row r="54" spans="2:33" x14ac:dyDescent="0.25">
      <c r="B54" t="str">
        <f t="array" ref="B54">IFERROR(INDEX(Tracker!$R$3:$R$503,MATCH(0,COUNTIF($B$43:B53,Tracker!$R$3:$R$503),0)),"")</f>
        <v xml:space="preserve">Sue Watson  </v>
      </c>
      <c r="C54">
        <f>IF($B54="","",COUNTIF(Tracker!$R$3:$R$503,Analysis!$B54))</f>
        <v>28</v>
      </c>
      <c r="D54" s="16">
        <f t="shared" si="4"/>
        <v>5.588822355289421E-2</v>
      </c>
      <c r="E54" s="44">
        <f>IF($B54="","",COUNTIFS(Tracker!$R$3:$R$503,Analysis!$B54,Tracker!$S$3:$S$503,Analysis!E$43))</f>
        <v>24</v>
      </c>
      <c r="F54" s="44">
        <f>IF($B54="","",COUNTIFS(Tracker!$R$3:$R$503,Analysis!$B54,Tracker!$S$3:$S$503,Analysis!F$43))</f>
        <v>1</v>
      </c>
      <c r="G54" s="44">
        <f>IF($B54="","",COUNTIFS(Tracker!$R$3:$R$503,Analysis!$B54,Tracker!$S$3:$S$503,Analysis!G$43))</f>
        <v>3</v>
      </c>
      <c r="J54" t="str">
        <f t="array" ref="J54">IFERROR(INDEX(Tracker!$G$3:$G$503,MATCH(0,COUNTIF($J$43:J53,Tracker!$G$3:$G$503),0)),"")</f>
        <v xml:space="preserve">Defamation  </v>
      </c>
      <c r="L54">
        <f>IF($J54="","",COUNTIF(Tracker!$G$3:$G$503,Analysis!$J54))</f>
        <v>18</v>
      </c>
      <c r="M54" s="44">
        <f>IF($J54="","",COUNTIFS(Tracker!$G$3:$G$503,Analysis!$J54,Tracker!$S$3:$S$503,Analysis!M$43))</f>
        <v>13</v>
      </c>
      <c r="N54" s="44">
        <f>IF($J54="","",COUNTIFS(Tracker!$G$3:$G$503,Analysis!$J54,Tracker!$S$3:$S$503,Analysis!N$43))</f>
        <v>1</v>
      </c>
      <c r="O54" s="44">
        <f>IF($J54="","",COUNTIFS(Tracker!$G$3:$G$503,Analysis!$J54,Tracker!$S$3:$S$503,Analysis!O$43))</f>
        <v>4</v>
      </c>
      <c r="P54" s="44" t="str">
        <f>INDEX(Tracker!$Q$3:$Q$503,MATCH(Analysis!$J54,Tracker!$G$3:$G$503,0))</f>
        <v>Civil</v>
      </c>
      <c r="R54" t="str">
        <f t="array" ref="R54">IFERROR(INDEX(Tracker!$C$3:$C$503,MATCH(0,COUNTIF($R$43:R53,Tracker!$C$3:$C$503),0)),"")</f>
        <v>Eclipse Eco-Tech</v>
      </c>
      <c r="S54">
        <f>IF($R54="","",COUNTIF(Tracker!$C$3:$C$503,Analysis!$R54))</f>
        <v>28</v>
      </c>
      <c r="T54">
        <f>IF($R54="","",COUNTIFS(Tracker!$C$3:$C$503,Analysis!$R54,Tracker!$S$3:$S$503,Analysis!T$43))</f>
        <v>24</v>
      </c>
      <c r="U54">
        <f>IF($R54="","",COUNTIFS(Tracker!$C$3:$C$503,Analysis!$R54,Tracker!$S$3:$S$503,Analysis!U$43))</f>
        <v>1</v>
      </c>
      <c r="V54">
        <f>IF($R54="","",COUNTIFS(Tracker!$C$3:$C$503,Analysis!$R54,Tracker!$S$3:$S$503,Analysis!V$43))</f>
        <v>3</v>
      </c>
    </row>
    <row r="55" spans="2:33" x14ac:dyDescent="0.25">
      <c r="B55" t="str">
        <f t="array" ref="B55">IFERROR(INDEX(Tracker!$R$3:$R$503,MATCH(0,COUNTIF($B$43:B54,Tracker!$R$3:$R$503),0)),"")</f>
        <v xml:space="preserve">Susan Bailey  </v>
      </c>
      <c r="C55">
        <f>IF($B55="","",COUNTIF(Tracker!$R$3:$R$503,Analysis!$B55))</f>
        <v>28</v>
      </c>
      <c r="D55" s="16">
        <f t="shared" si="4"/>
        <v>5.588822355289421E-2</v>
      </c>
      <c r="E55" s="44">
        <f>IF($B55="","",COUNTIFS(Tracker!$R$3:$R$503,Analysis!$B55,Tracker!$S$3:$S$503,Analysis!E$43))</f>
        <v>24</v>
      </c>
      <c r="F55" s="44">
        <f>IF($B55="","",COUNTIFS(Tracker!$R$3:$R$503,Analysis!$B55,Tracker!$S$3:$S$503,Analysis!F$43))</f>
        <v>2</v>
      </c>
      <c r="G55" s="44">
        <f>IF($B55="","",COUNTIFS(Tracker!$R$3:$R$503,Analysis!$B55,Tracker!$S$3:$S$503,Analysis!G$43))</f>
        <v>2</v>
      </c>
      <c r="J55" t="str">
        <f t="array" ref="J55">IFERROR(INDEX(Tracker!$G$3:$G$503,MATCH(0,COUNTIF($J$43:J54,Tracker!$G$3:$G$503),0)),"")</f>
        <v xml:space="preserve">Landlord-Tenant Dispute  </v>
      </c>
      <c r="L55">
        <f>IF($J55="","",COUNTIF(Tracker!$G$3:$G$503,Analysis!$J55))</f>
        <v>20</v>
      </c>
      <c r="M55" s="44">
        <f>IF($J55="","",COUNTIFS(Tracker!$G$3:$G$503,Analysis!$J55,Tracker!$S$3:$S$503,Analysis!M$43))</f>
        <v>19</v>
      </c>
      <c r="N55" s="44">
        <f>IF($J55="","",COUNTIFS(Tracker!$G$3:$G$503,Analysis!$J55,Tracker!$S$3:$S$503,Analysis!N$43))</f>
        <v>0</v>
      </c>
      <c r="O55" s="44">
        <f>IF($J55="","",COUNTIFS(Tracker!$G$3:$G$503,Analysis!$J55,Tracker!$S$3:$S$503,Analysis!O$43))</f>
        <v>1</v>
      </c>
      <c r="P55" s="44" t="str">
        <f>INDEX(Tracker!$Q$3:$Q$503,MATCH(Analysis!$J55,Tracker!$G$3:$G$503,0))</f>
        <v>Housing</v>
      </c>
      <c r="R55" t="str">
        <f t="array" ref="R55">IFERROR(INDEX(Tracker!$C$3:$C$503,MATCH(0,COUNTIF($R$43:R54,Tracker!$C$3:$C$503),0)),"")</f>
        <v>Twilight Travels</v>
      </c>
      <c r="S55">
        <f>IF($R55="","",COUNTIF(Tracker!$C$3:$C$503,Analysis!$R55))</f>
        <v>28</v>
      </c>
      <c r="T55">
        <f>IF($R55="","",COUNTIFS(Tracker!$C$3:$C$503,Analysis!$R55,Tracker!$S$3:$S$503,Analysis!T$43))</f>
        <v>24</v>
      </c>
      <c r="U55">
        <f>IF($R55="","",COUNTIFS(Tracker!$C$3:$C$503,Analysis!$R55,Tracker!$S$3:$S$503,Analysis!U$43))</f>
        <v>2</v>
      </c>
      <c r="V55">
        <f>IF($R55="","",COUNTIFS(Tracker!$C$3:$C$503,Analysis!$R55,Tracker!$S$3:$S$503,Analysis!V$43))</f>
        <v>2</v>
      </c>
      <c r="AB55" s="17" t="s">
        <v>279</v>
      </c>
      <c r="AC55" s="17" t="s">
        <v>277</v>
      </c>
      <c r="AD55" s="17" t="s">
        <v>20</v>
      </c>
      <c r="AE55" s="17" t="s">
        <v>163</v>
      </c>
      <c r="AF55" s="17" t="s">
        <v>167</v>
      </c>
      <c r="AG55" s="17"/>
    </row>
    <row r="56" spans="2:33" x14ac:dyDescent="0.25">
      <c r="B56" t="str">
        <f t="array" ref="B56">IFERROR(INDEX(Tracker!$R$3:$R$503,MATCH(0,COUNTIF($B$43:B55,Tracker!$R$3:$R$503),0)),"")</f>
        <v xml:space="preserve">Suzanne Gray  </v>
      </c>
      <c r="C56">
        <f>IF($B56="","",COUNTIF(Tracker!$R$3:$R$503,Analysis!$B56))</f>
        <v>23</v>
      </c>
      <c r="D56" s="16">
        <f t="shared" si="4"/>
        <v>4.590818363273453E-2</v>
      </c>
      <c r="E56" s="44">
        <f>IF($B56="","",COUNTIFS(Tracker!$R$3:$R$503,Analysis!$B56,Tracker!$S$3:$S$503,Analysis!E$43))</f>
        <v>18</v>
      </c>
      <c r="F56" s="44">
        <f>IF($B56="","",COUNTIFS(Tracker!$R$3:$R$503,Analysis!$B56,Tracker!$S$3:$S$503,Analysis!F$43))</f>
        <v>2</v>
      </c>
      <c r="G56" s="44">
        <f>IF($B56="","",COUNTIFS(Tracker!$R$3:$R$503,Analysis!$B56,Tracker!$S$3:$S$503,Analysis!G$43))</f>
        <v>3</v>
      </c>
      <c r="J56" t="str">
        <f t="array" ref="J56">IFERROR(INDEX(Tracker!$G$3:$G$503,MATCH(0,COUNTIF($J$43:J55,Tracker!$G$3:$G$503),0)),"")</f>
        <v xml:space="preserve">Insurance Claim  </v>
      </c>
      <c r="L56">
        <f>IF($J56="","",COUNTIF(Tracker!$G$3:$G$503,Analysis!$J56))</f>
        <v>18</v>
      </c>
      <c r="M56" s="44">
        <f>IF($J56="","",COUNTIFS(Tracker!$G$3:$G$503,Analysis!$J56,Tracker!$S$3:$S$503,Analysis!M$43))</f>
        <v>16</v>
      </c>
      <c r="N56" s="44">
        <f>IF($J56="","",COUNTIFS(Tracker!$G$3:$G$503,Analysis!$J56,Tracker!$S$3:$S$503,Analysis!N$43))</f>
        <v>1</v>
      </c>
      <c r="O56" s="44">
        <f>IF($J56="","",COUNTIFS(Tracker!$G$3:$G$503,Analysis!$J56,Tracker!$S$3:$S$503,Analysis!O$43))</f>
        <v>1</v>
      </c>
      <c r="P56" s="44" t="str">
        <f>INDEX(Tracker!$Q$3:$Q$503,MATCH(Analysis!$J56,Tracker!$G$3:$G$503,0))</f>
        <v>Civil</v>
      </c>
      <c r="R56" t="str">
        <f t="array" ref="R56">IFERROR(INDEX(Tracker!$C$3:$C$503,MATCH(0,COUNTIF($R$43:R55,Tracker!$C$3:$C$503),0)),"")</f>
        <v>Azure Heights</v>
      </c>
      <c r="S56">
        <f>IF($R56="","",COUNTIF(Tracker!$C$3:$C$503,Analysis!$R56))</f>
        <v>23</v>
      </c>
      <c r="T56">
        <f>IF($R56="","",COUNTIFS(Tracker!$C$3:$C$503,Analysis!$R56,Tracker!$S$3:$S$503,Analysis!T$43))</f>
        <v>18</v>
      </c>
      <c r="U56">
        <f>IF($R56="","",COUNTIFS(Tracker!$C$3:$C$503,Analysis!$R56,Tracker!$S$3:$S$503,Analysis!U$43))</f>
        <v>2</v>
      </c>
      <c r="V56">
        <f>IF($R56="","",COUNTIFS(Tracker!$C$3:$C$503,Analysis!$R56,Tracker!$S$3:$S$503,Analysis!V$43))</f>
        <v>3</v>
      </c>
      <c r="AB56" t="s">
        <v>139</v>
      </c>
      <c r="AC56">
        <v>9</v>
      </c>
      <c r="AD56">
        <v>9</v>
      </c>
      <c r="AE56">
        <v>0</v>
      </c>
      <c r="AF56">
        <v>0</v>
      </c>
    </row>
    <row r="57" spans="2:33" x14ac:dyDescent="0.25">
      <c r="B57" t="str">
        <f t="array" ref="B57">IFERROR(INDEX(Tracker!$R$3:$R$503,MATCH(0,COUNTIF($B$43:B56,Tracker!$R$3:$R$503),0)),"")</f>
        <v xml:space="preserve">Sydney Kelly  </v>
      </c>
      <c r="C57">
        <f>IF($B57="","",COUNTIF(Tracker!$R$3:$R$503,Analysis!$B57))</f>
        <v>17</v>
      </c>
      <c r="D57" s="16">
        <f t="shared" si="4"/>
        <v>3.3932135728542916E-2</v>
      </c>
      <c r="E57" s="44">
        <f>IF($B57="","",COUNTIFS(Tracker!$R$3:$R$503,Analysis!$B57,Tracker!$S$3:$S$503,Analysis!E$43))</f>
        <v>14</v>
      </c>
      <c r="F57" s="44">
        <f>IF($B57="","",COUNTIFS(Tracker!$R$3:$R$503,Analysis!$B57,Tracker!$S$3:$S$503,Analysis!F$43))</f>
        <v>2</v>
      </c>
      <c r="G57" s="44">
        <f>IF($B57="","",COUNTIFS(Tracker!$R$3:$R$503,Analysis!$B57,Tracker!$S$3:$S$503,Analysis!G$43))</f>
        <v>1</v>
      </c>
      <c r="J57" t="str">
        <f t="array" ref="J57">IFERROR(INDEX(Tracker!$G$3:$G$503,MATCH(0,COUNTIF($J$43:J56,Tracker!$G$3:$G$503),0)),"")</f>
        <v xml:space="preserve">Corporate Governance  </v>
      </c>
      <c r="L57">
        <f>IF($J57="","",COUNTIF(Tracker!$G$3:$G$503,Analysis!$J57))</f>
        <v>19</v>
      </c>
      <c r="M57" s="44">
        <f>IF($J57="","",COUNTIFS(Tracker!$G$3:$G$503,Analysis!$J57,Tracker!$S$3:$S$503,Analysis!M$43))</f>
        <v>15</v>
      </c>
      <c r="N57" s="44">
        <f>IF($J57="","",COUNTIFS(Tracker!$G$3:$G$503,Analysis!$J57,Tracker!$S$3:$S$503,Analysis!N$43))</f>
        <v>2</v>
      </c>
      <c r="O57" s="44">
        <f>IF($J57="","",COUNTIFS(Tracker!$G$3:$G$503,Analysis!$J57,Tracker!$S$3:$S$503,Analysis!O$43))</f>
        <v>2</v>
      </c>
      <c r="P57" s="44" t="str">
        <f>INDEX(Tracker!$Q$3:$Q$503,MATCH(Analysis!$J57,Tracker!$G$3:$G$503,0))</f>
        <v>Civil</v>
      </c>
      <c r="R57" t="str">
        <f t="array" ref="R57">IFERROR(INDEX(Tracker!$C$3:$C$503,MATCH(0,COUNTIF($R$43:R56,Tracker!$C$3:$C$503),0)),"")</f>
        <v>Radiant Realms</v>
      </c>
      <c r="S57">
        <f>IF($R57="","",COUNTIF(Tracker!$C$3:$C$503,Analysis!$R57))</f>
        <v>17</v>
      </c>
      <c r="T57">
        <f>IF($R57="","",COUNTIFS(Tracker!$C$3:$C$503,Analysis!$R57,Tracker!$S$3:$S$503,Analysis!T$43))</f>
        <v>14</v>
      </c>
      <c r="U57">
        <f>IF($R57="","",COUNTIFS(Tracker!$C$3:$C$503,Analysis!$R57,Tracker!$S$3:$S$503,Analysis!U$43))</f>
        <v>2</v>
      </c>
      <c r="V57">
        <f>IF($R57="","",COUNTIFS(Tracker!$C$3:$C$503,Analysis!$R57,Tracker!$S$3:$S$503,Analysis!V$43))</f>
        <v>1</v>
      </c>
    </row>
    <row r="58" spans="2:33" x14ac:dyDescent="0.25">
      <c r="B58" t="str">
        <f t="array" ref="B58">IFERROR(INDEX(Tracker!$R$3:$R$503,MATCH(0,COUNTIF($B$43:B57,Tracker!$R$3:$R$503),0)),"")</f>
        <v xml:space="preserve">Sylvia Ward  </v>
      </c>
      <c r="C58">
        <f>IF($B58="","",COUNTIF(Tracker!$R$3:$R$503,Analysis!$B58))</f>
        <v>17</v>
      </c>
      <c r="D58" s="16">
        <f t="shared" si="4"/>
        <v>3.3932135728542916E-2</v>
      </c>
      <c r="E58" s="44">
        <f>IF($B58="","",COUNTIFS(Tracker!$R$3:$R$503,Analysis!$B58,Tracker!$S$3:$S$503,Analysis!E$43))</f>
        <v>17</v>
      </c>
      <c r="F58" s="44">
        <f>IF($B58="","",COUNTIFS(Tracker!$R$3:$R$503,Analysis!$B58,Tracker!$S$3:$S$503,Analysis!F$43))</f>
        <v>0</v>
      </c>
      <c r="G58" s="44">
        <f>IF($B58="","",COUNTIFS(Tracker!$R$3:$R$503,Analysis!$B58,Tracker!$S$3:$S$503,Analysis!G$43))</f>
        <v>0</v>
      </c>
      <c r="J58" t="str">
        <f t="array" ref="J58">IFERROR(INDEX(Tracker!$G$3:$G$503,MATCH(0,COUNTIF($J$43:J57,Tracker!$G$3:$G$503),0)),"")</f>
        <v xml:space="preserve">Environmental Law  </v>
      </c>
      <c r="L58">
        <f>IF($J58="","",COUNTIF(Tracker!$G$3:$G$503,Analysis!$J58))</f>
        <v>18</v>
      </c>
      <c r="M58" s="44">
        <f>IF($J58="","",COUNTIFS(Tracker!$G$3:$G$503,Analysis!$J58,Tracker!$S$3:$S$503,Analysis!M$43))</f>
        <v>17</v>
      </c>
      <c r="N58" s="44">
        <f>IF($J58="","",COUNTIFS(Tracker!$G$3:$G$503,Analysis!$J58,Tracker!$S$3:$S$503,Analysis!N$43))</f>
        <v>0</v>
      </c>
      <c r="O58" s="44">
        <f>IF($J58="","",COUNTIFS(Tracker!$G$3:$G$503,Analysis!$J58,Tracker!$S$3:$S$503,Analysis!O$43))</f>
        <v>1</v>
      </c>
      <c r="P58" s="44" t="str">
        <f>INDEX(Tracker!$Q$3:$Q$503,MATCH(Analysis!$J58,Tracker!$G$3:$G$503,0))</f>
        <v>Environmental</v>
      </c>
      <c r="R58" t="str">
        <f t="array" ref="R58">IFERROR(INDEX(Tracker!$C$3:$C$503,MATCH(0,COUNTIF($R$43:R57,Tracker!$C$3:$C$503),0)),"")</f>
        <v>Mosaic Machines</v>
      </c>
      <c r="S58">
        <f>IF($R58="","",COUNTIF(Tracker!$C$3:$C$503,Analysis!$R58))</f>
        <v>17</v>
      </c>
      <c r="T58">
        <f>IF($R58="","",COUNTIFS(Tracker!$C$3:$C$503,Analysis!$R58,Tracker!$S$3:$S$503,Analysis!T$43))</f>
        <v>17</v>
      </c>
      <c r="U58">
        <f>IF($R58="","",COUNTIFS(Tracker!$C$3:$C$503,Analysis!$R58,Tracker!$S$3:$S$503,Analysis!U$43))</f>
        <v>0</v>
      </c>
      <c r="V58">
        <f>IF($R58="","",COUNTIFS(Tracker!$C$3:$C$503,Analysis!$R58,Tracker!$S$3:$S$503,Analysis!V$43))</f>
        <v>0</v>
      </c>
      <c r="AB58" s="17" t="s">
        <v>279</v>
      </c>
      <c r="AC58" s="17" t="s">
        <v>277</v>
      </c>
      <c r="AD58" s="17" t="s">
        <v>20</v>
      </c>
      <c r="AE58" s="17" t="s">
        <v>163</v>
      </c>
      <c r="AF58" s="17" t="s">
        <v>167</v>
      </c>
      <c r="AG58" s="17"/>
    </row>
    <row r="59" spans="2:33" x14ac:dyDescent="0.25">
      <c r="B59" t="str">
        <f t="array" ref="B59">IFERROR(INDEX(Tracker!$R$3:$R$503,MATCH(0,COUNTIF($B$43:B58,Tracker!$R$3:$R$503),0)),"")</f>
        <v xml:space="preserve">Tabitha Hughes  </v>
      </c>
      <c r="C59">
        <f>IF($B59="","",COUNTIF(Tracker!$R$3:$R$503,Analysis!$B59))</f>
        <v>17</v>
      </c>
      <c r="D59" s="16">
        <f t="shared" si="4"/>
        <v>3.3932135728542916E-2</v>
      </c>
      <c r="E59" s="44">
        <f>IF($B59="","",COUNTIFS(Tracker!$R$3:$R$503,Analysis!$B59,Tracker!$S$3:$S$503,Analysis!E$43))</f>
        <v>15</v>
      </c>
      <c r="F59" s="44">
        <f>IF($B59="","",COUNTIFS(Tracker!$R$3:$R$503,Analysis!$B59,Tracker!$S$3:$S$503,Analysis!F$43))</f>
        <v>1</v>
      </c>
      <c r="G59" s="44">
        <f>IF($B59="","",COUNTIFS(Tracker!$R$3:$R$503,Analysis!$B59,Tracker!$S$3:$S$503,Analysis!G$43))</f>
        <v>1</v>
      </c>
      <c r="J59" t="str">
        <f t="array" ref="J59">IFERROR(INDEX(Tracker!$G$3:$G$503,MATCH(0,COUNTIF($J$43:J58,Tracker!$G$3:$G$503),0)),"")</f>
        <v xml:space="preserve">Civil Rights  </v>
      </c>
      <c r="L59">
        <f>IF($J59="","",COUNTIF(Tracker!$G$3:$G$503,Analysis!$J59))</f>
        <v>17</v>
      </c>
      <c r="M59" s="44">
        <f>IF($J59="","",COUNTIFS(Tracker!$G$3:$G$503,Analysis!$J59,Tracker!$S$3:$S$503,Analysis!M$43))</f>
        <v>17</v>
      </c>
      <c r="N59" s="44">
        <f>IF($J59="","",COUNTIFS(Tracker!$G$3:$G$503,Analysis!$J59,Tracker!$S$3:$S$503,Analysis!N$43))</f>
        <v>0</v>
      </c>
      <c r="O59" s="44">
        <f>IF($J59="","",COUNTIFS(Tracker!$G$3:$G$503,Analysis!$J59,Tracker!$S$3:$S$503,Analysis!O$43))</f>
        <v>0</v>
      </c>
      <c r="P59" s="44" t="str">
        <f>INDEX(Tracker!$Q$3:$Q$503,MATCH(Analysis!$J59,Tracker!$G$3:$G$503,0))</f>
        <v>Civil</v>
      </c>
      <c r="R59" t="str">
        <f t="array" ref="R59">IFERROR(INDEX(Tracker!$C$3:$C$503,MATCH(0,COUNTIF($R$43:R58,Tracker!$C$3:$C$503),0)),"")</f>
        <v>Starlit Strategies</v>
      </c>
      <c r="S59">
        <f>IF($R59="","",COUNTIF(Tracker!$C$3:$C$503,Analysis!$R59))</f>
        <v>17</v>
      </c>
      <c r="T59">
        <f>IF($R59="","",COUNTIFS(Tracker!$C$3:$C$503,Analysis!$R59,Tracker!$S$3:$S$503,Analysis!T$43))</f>
        <v>15</v>
      </c>
      <c r="U59">
        <f>IF($R59="","",COUNTIFS(Tracker!$C$3:$C$503,Analysis!$R59,Tracker!$S$3:$S$503,Analysis!U$43))</f>
        <v>1</v>
      </c>
      <c r="V59">
        <f>IF($R59="","",COUNTIFS(Tracker!$C$3:$C$503,Analysis!$R59,Tracker!$S$3:$S$503,Analysis!V$43))</f>
        <v>1</v>
      </c>
      <c r="AB59" t="s">
        <v>122</v>
      </c>
      <c r="AC59">
        <v>16</v>
      </c>
      <c r="AD59">
        <v>14</v>
      </c>
      <c r="AE59">
        <v>2</v>
      </c>
      <c r="AF59">
        <v>0</v>
      </c>
    </row>
    <row r="60" spans="2:33" x14ac:dyDescent="0.25">
      <c r="B60" t="str">
        <f t="array" ref="B60">IFERROR(INDEX(Tracker!$R$3:$R$503,MATCH(0,COUNTIF($B$43:B59,Tracker!$R$3:$R$503),0)),"")</f>
        <v>Tammy Watson</v>
      </c>
      <c r="C60">
        <f>IF($B60="","",COUNTIF(Tracker!$R$3:$R$503,Analysis!$B60))</f>
        <v>17</v>
      </c>
      <c r="D60" s="16">
        <f t="shared" si="4"/>
        <v>3.3932135728542916E-2</v>
      </c>
      <c r="E60" s="44">
        <f>IF($B60="","",COUNTIFS(Tracker!$R$3:$R$503,Analysis!$B60,Tracker!$S$3:$S$503,Analysis!E$43))</f>
        <v>16</v>
      </c>
      <c r="F60" s="44">
        <f>IF($B60="","",COUNTIFS(Tracker!$R$3:$R$503,Analysis!$B60,Tracker!$S$3:$S$503,Analysis!F$43))</f>
        <v>1</v>
      </c>
      <c r="G60" s="44">
        <f>IF($B60="","",COUNTIFS(Tracker!$R$3:$R$503,Analysis!$B60,Tracker!$S$3:$S$503,Analysis!G$43))</f>
        <v>0</v>
      </c>
      <c r="J60" t="str">
        <f t="array" ref="J60">IFERROR(INDEX(Tracker!$G$3:$G$503,MATCH(0,COUNTIF($J$43:J59,Tracker!$G$3:$G$503),0)),"")</f>
        <v xml:space="preserve">Tax Dispute  </v>
      </c>
      <c r="L60">
        <f>IF($J60="","",COUNTIF(Tracker!$G$3:$G$503,Analysis!$J60))</f>
        <v>16</v>
      </c>
      <c r="M60" s="44">
        <f>IF($J60="","",COUNTIFS(Tracker!$G$3:$G$503,Analysis!$J60,Tracker!$S$3:$S$503,Analysis!M$43))</f>
        <v>16</v>
      </c>
      <c r="N60" s="44">
        <f>IF($J60="","",COUNTIFS(Tracker!$G$3:$G$503,Analysis!$J60,Tracker!$S$3:$S$503,Analysis!N$43))</f>
        <v>0</v>
      </c>
      <c r="O60" s="44">
        <f>IF($J60="","",COUNTIFS(Tracker!$G$3:$G$503,Analysis!$J60,Tracker!$S$3:$S$503,Analysis!O$43))</f>
        <v>0</v>
      </c>
      <c r="P60" s="44" t="str">
        <f>INDEX(Tracker!$Q$3:$Q$503,MATCH(Analysis!$J60,Tracker!$G$3:$G$503,0))</f>
        <v>Tax</v>
      </c>
      <c r="R60" t="str">
        <f t="array" ref="R60">IFERROR(INDEX(Tracker!$C$3:$C$503,MATCH(0,COUNTIF($R$43:R59,Tracker!$C$3:$C$503),0)),"")</f>
        <v>Nimbus Networks</v>
      </c>
      <c r="S60">
        <f>IF($R60="","",COUNTIF(Tracker!$C$3:$C$503,Analysis!$R60))</f>
        <v>17</v>
      </c>
      <c r="T60">
        <f>IF($R60="","",COUNTIFS(Tracker!$C$3:$C$503,Analysis!$R60,Tracker!$S$3:$S$503,Analysis!T$43))</f>
        <v>16</v>
      </c>
      <c r="U60">
        <f>IF($R60="","",COUNTIFS(Tracker!$C$3:$C$503,Analysis!$R60,Tracker!$S$3:$S$503,Analysis!U$43))</f>
        <v>1</v>
      </c>
      <c r="V60">
        <f>IF($R60="","",COUNTIFS(Tracker!$C$3:$C$503,Analysis!$R60,Tracker!$S$3:$S$503,Analysis!V$43))</f>
        <v>0</v>
      </c>
    </row>
    <row r="61" spans="2:33" x14ac:dyDescent="0.25">
      <c r="B61" t="str">
        <f t="array" ref="B61">IFERROR(INDEX(Tracker!$R$3:$R$503,MATCH(0,COUNTIF($B$43:B60,Tracker!$R$3:$R$503),0)),"")</f>
        <v>Tony Kelly</v>
      </c>
      <c r="C61">
        <f>IF($B61="","",COUNTIF(Tracker!$R$3:$R$503,Analysis!$B61))</f>
        <v>17</v>
      </c>
      <c r="D61" s="16">
        <f t="shared" si="4"/>
        <v>3.3932135728542916E-2</v>
      </c>
      <c r="E61" s="44">
        <f>IF($B61="","",COUNTIFS(Tracker!$R$3:$R$503,Analysis!$B61,Tracker!$S$3:$S$503,Analysis!E$43))</f>
        <v>16</v>
      </c>
      <c r="F61" s="44">
        <f>IF($B61="","",COUNTIFS(Tracker!$R$3:$R$503,Analysis!$B61,Tracker!$S$3:$S$503,Analysis!F$43))</f>
        <v>0</v>
      </c>
      <c r="G61" s="44">
        <f>IF($B61="","",COUNTIFS(Tracker!$R$3:$R$503,Analysis!$B61,Tracker!$S$3:$S$503,Analysis!G$43))</f>
        <v>1</v>
      </c>
      <c r="J61" t="str">
        <f t="array" ref="J61">IFERROR(INDEX(Tracker!$G$3:$G$503,MATCH(0,COUNTIF($J$43:J60,Tracker!$G$3:$G$503),0)),"")</f>
        <v xml:space="preserve">Construction Defect  </v>
      </c>
      <c r="L61">
        <f>IF($J61="","",COUNTIF(Tracker!$G$3:$G$503,Analysis!$J61))</f>
        <v>15</v>
      </c>
      <c r="M61" s="44">
        <f>IF($J61="","",COUNTIFS(Tracker!$G$3:$G$503,Analysis!$J61,Tracker!$S$3:$S$503,Analysis!M$43))</f>
        <v>11</v>
      </c>
      <c r="N61" s="44">
        <f>IF($J61="","",COUNTIFS(Tracker!$G$3:$G$503,Analysis!$J61,Tracker!$S$3:$S$503,Analysis!N$43))</f>
        <v>0</v>
      </c>
      <c r="O61" s="44">
        <f>IF($J61="","",COUNTIFS(Tracker!$G$3:$G$503,Analysis!$J61,Tracker!$S$3:$S$503,Analysis!O$43))</f>
        <v>4</v>
      </c>
      <c r="P61" s="44" t="str">
        <f>INDEX(Tracker!$Q$3:$Q$503,MATCH(Analysis!$J61,Tracker!$G$3:$G$503,0))</f>
        <v>Civil</v>
      </c>
      <c r="R61" t="str">
        <f t="array" ref="R61">IFERROR(INDEX(Tracker!$C$3:$C$503,MATCH(0,COUNTIF($R$43:R60,Tracker!$C$3:$C$503),0)),"")</f>
        <v>Cascade Creations</v>
      </c>
      <c r="S61">
        <f>IF($R61="","",COUNTIF(Tracker!$C$3:$C$503,Analysis!$R61))</f>
        <v>17</v>
      </c>
      <c r="T61">
        <f>IF($R61="","",COUNTIFS(Tracker!$C$3:$C$503,Analysis!$R61,Tracker!$S$3:$S$503,Analysis!T$43))</f>
        <v>16</v>
      </c>
      <c r="U61">
        <f>IF($R61="","",COUNTIFS(Tracker!$C$3:$C$503,Analysis!$R61,Tracker!$S$3:$S$503,Analysis!U$43))</f>
        <v>0</v>
      </c>
      <c r="V61">
        <f>IF($R61="","",COUNTIFS(Tracker!$C$3:$C$503,Analysis!$R61,Tracker!$S$3:$S$503,Analysis!V$43))</f>
        <v>1</v>
      </c>
      <c r="AD61" s="213" t="s">
        <v>434</v>
      </c>
      <c r="AE61" s="213"/>
      <c r="AF61" s="213"/>
      <c r="AG61" s="213"/>
    </row>
    <row r="62" spans="2:33" x14ac:dyDescent="0.25">
      <c r="B62" t="str">
        <f t="array" ref="B62">IFERROR(INDEX(Tracker!$R$3:$R$503,MATCH(0,COUNTIF($B$43:B61,Tracker!$R$3:$R$503),0)),"")</f>
        <v>Rose Watson</v>
      </c>
      <c r="C62">
        <f>IF($B62="","",COUNTIF(Tracker!$R$3:$R$503,Analysis!$B62))</f>
        <v>12</v>
      </c>
      <c r="D62" s="16">
        <f t="shared" si="4"/>
        <v>2.3952095808383235E-2</v>
      </c>
      <c r="E62" s="44">
        <f>IF($B62="","",COUNTIFS(Tracker!$R$3:$R$503,Analysis!$B62,Tracker!$S$3:$S$503,Analysis!E$43))</f>
        <v>11</v>
      </c>
      <c r="F62" s="44">
        <f>IF($B62="","",COUNTIFS(Tracker!$R$3:$R$503,Analysis!$B62,Tracker!$S$3:$S$503,Analysis!F$43))</f>
        <v>1</v>
      </c>
      <c r="G62" s="44">
        <f>IF($B62="","",COUNTIFS(Tracker!$R$3:$R$503,Analysis!$B62,Tracker!$S$3:$S$503,Analysis!G$43))</f>
        <v>0</v>
      </c>
      <c r="J62" t="str">
        <f t="array" ref="J62">IFERROR(INDEX(Tracker!$G$3:$G$503,MATCH(0,COUNTIF($J$43:J61,Tracker!$G$3:$G$503),0)),"")</f>
        <v xml:space="preserve">Fraud  </v>
      </c>
      <c r="L62">
        <f>IF($J62="","",COUNTIF(Tracker!$G$3:$G$503,Analysis!$J62))</f>
        <v>12</v>
      </c>
      <c r="M62" s="44">
        <f>IF($J62="","",COUNTIFS(Tracker!$G$3:$G$503,Analysis!$J62,Tracker!$S$3:$S$503,Analysis!M$43))</f>
        <v>11</v>
      </c>
      <c r="N62" s="44">
        <f>IF($J62="","",COUNTIFS(Tracker!$G$3:$G$503,Analysis!$J62,Tracker!$S$3:$S$503,Analysis!N$43))</f>
        <v>0</v>
      </c>
      <c r="O62" s="44">
        <f>IF($J62="","",COUNTIFS(Tracker!$G$3:$G$503,Analysis!$J62,Tracker!$S$3:$S$503,Analysis!O$43))</f>
        <v>1</v>
      </c>
      <c r="P62" s="44" t="str">
        <f>INDEX(Tracker!$Q$3:$Q$503,MATCH(Analysis!$J62,Tracker!$G$3:$G$503,0))</f>
        <v>Criminal</v>
      </c>
      <c r="R62" t="str">
        <f t="array" ref="R62">IFERROR(INDEX(Tracker!$C$3:$C$503,MATCH(0,COUNTIF($R$43:R61,Tracker!$C$3:$C$503),0)),"")</f>
        <v>Velvet Valley Ventures</v>
      </c>
      <c r="S62">
        <f>IF($R62="","",COUNTIF(Tracker!$C$3:$C$503,Analysis!$R62))</f>
        <v>12</v>
      </c>
      <c r="T62">
        <f>IF($R62="","",COUNTIFS(Tracker!$C$3:$C$503,Analysis!$R62,Tracker!$S$3:$S$503,Analysis!T$43))</f>
        <v>11</v>
      </c>
      <c r="U62">
        <f>IF($R62="","",COUNTIFS(Tracker!$C$3:$C$503,Analysis!$R62,Tracker!$S$3:$S$503,Analysis!U$43))</f>
        <v>1</v>
      </c>
      <c r="V62">
        <f>IF($R62="","",COUNTIFS(Tracker!$C$3:$C$503,Analysis!$R62,Tracker!$S$3:$S$503,Analysis!V$43))</f>
        <v>0</v>
      </c>
    </row>
    <row r="63" spans="2:33" x14ac:dyDescent="0.25">
      <c r="B63" t="str">
        <f t="array" ref="B63">IFERROR(INDEX(Tracker!$R$3:$R$503,MATCH(0,COUNTIF($B$43:B62,Tracker!$R$3:$R$503),0)),"")</f>
        <v>Rosemary Bailey</v>
      </c>
      <c r="C63">
        <f>IF($B63="","",COUNTIF(Tracker!$R$3:$R$503,Analysis!$B63))</f>
        <v>12</v>
      </c>
      <c r="D63" s="16">
        <f t="shared" si="4"/>
        <v>2.3952095808383235E-2</v>
      </c>
      <c r="E63" s="44">
        <f>IF($B63="","",COUNTIFS(Tracker!$R$3:$R$503,Analysis!$B63,Tracker!$S$3:$S$503,Analysis!E$43))</f>
        <v>9</v>
      </c>
      <c r="F63" s="44">
        <f>IF($B63="","",COUNTIFS(Tracker!$R$3:$R$503,Analysis!$B63,Tracker!$S$3:$S$503,Analysis!F$43))</f>
        <v>2</v>
      </c>
      <c r="G63" s="44">
        <f>IF($B63="","",COUNTIFS(Tracker!$R$3:$R$503,Analysis!$B63,Tracker!$S$3:$S$503,Analysis!G$43))</f>
        <v>1</v>
      </c>
      <c r="J63" t="str">
        <f t="array" ref="J63">IFERROR(INDEX(Tracker!$G$3:$G$503,MATCH(0,COUNTIF($J$43:J62,Tracker!$G$3:$G$503),0)),"")</f>
        <v xml:space="preserve">Workers' Compensation  </v>
      </c>
      <c r="L63">
        <f>IF($J63="","",COUNTIF(Tracker!$G$3:$G$503,Analysis!$J63))</f>
        <v>12</v>
      </c>
      <c r="M63" s="44">
        <f>IF($J63="","",COUNTIFS(Tracker!$G$3:$G$503,Analysis!$J63,Tracker!$S$3:$S$503,Analysis!M$43))</f>
        <v>11</v>
      </c>
      <c r="N63" s="44">
        <f>IF($J63="","",COUNTIFS(Tracker!$G$3:$G$503,Analysis!$J63,Tracker!$S$3:$S$503,Analysis!N$43))</f>
        <v>0</v>
      </c>
      <c r="O63" s="44">
        <f>IF($J63="","",COUNTIFS(Tracker!$G$3:$G$503,Analysis!$J63,Tracker!$S$3:$S$503,Analysis!O$43))</f>
        <v>1</v>
      </c>
      <c r="P63" s="44" t="str">
        <f>INDEX(Tracker!$Q$3:$Q$503,MATCH(Analysis!$J63,Tracker!$G$3:$G$503,0))</f>
        <v>Workers' Compensation</v>
      </c>
      <c r="R63" t="str">
        <f t="array" ref="R63">IFERROR(INDEX(Tracker!$C$3:$C$503,MATCH(0,COUNTIF($R$43:R62,Tracker!$C$3:$C$503),0)),"")</f>
        <v>Harmony Harvest</v>
      </c>
      <c r="S63">
        <f>IF($R63="","",COUNTIF(Tracker!$C$3:$C$503,Analysis!$R63))</f>
        <v>12</v>
      </c>
      <c r="T63">
        <f>IF($R63="","",COUNTIFS(Tracker!$C$3:$C$503,Analysis!$R63,Tracker!$S$3:$S$503,Analysis!T$43))</f>
        <v>9</v>
      </c>
      <c r="U63">
        <f>IF($R63="","",COUNTIFS(Tracker!$C$3:$C$503,Analysis!$R63,Tracker!$S$3:$S$503,Analysis!U$43))</f>
        <v>2</v>
      </c>
      <c r="V63">
        <f>IF($R63="","",COUNTIFS(Tracker!$C$3:$C$503,Analysis!$R63,Tracker!$S$3:$S$503,Analysis!V$43))</f>
        <v>1</v>
      </c>
      <c r="AD63" s="46" t="s">
        <v>391</v>
      </c>
      <c r="AE63" s="46" t="s">
        <v>432</v>
      </c>
      <c r="AF63" s="17" t="s">
        <v>30</v>
      </c>
      <c r="AG63" s="17" t="s">
        <v>433</v>
      </c>
    </row>
    <row r="64" spans="2:33" x14ac:dyDescent="0.25">
      <c r="B64" t="str">
        <f t="array" ref="B64">IFERROR(INDEX(Tracker!$R$3:$R$503,MATCH(0,COUNTIF($B$43:B63,Tracker!$R$3:$R$503),0)),"")</f>
        <v>Roy Gray</v>
      </c>
      <c r="C64">
        <f>IF($B64="","",COUNTIF(Tracker!$R$3:$R$503,Analysis!$B64))</f>
        <v>16</v>
      </c>
      <c r="D64" s="16">
        <f t="shared" si="4"/>
        <v>3.1936127744510975E-2</v>
      </c>
      <c r="E64" s="44">
        <f>IF($B64="","",COUNTIFS(Tracker!$R$3:$R$503,Analysis!$B64,Tracker!$S$3:$S$503,Analysis!E$43))</f>
        <v>11</v>
      </c>
      <c r="F64" s="44">
        <f>IF($B64="","",COUNTIFS(Tracker!$R$3:$R$503,Analysis!$B64,Tracker!$S$3:$S$503,Analysis!F$43))</f>
        <v>2</v>
      </c>
      <c r="G64" s="44">
        <f>IF($B64="","",COUNTIFS(Tracker!$R$3:$R$503,Analysis!$B64,Tracker!$S$3:$S$503,Analysis!G$43))</f>
        <v>3</v>
      </c>
      <c r="J64" t="str">
        <f t="array" ref="J64">IFERROR(INDEX(Tracker!$G$3:$G$503,MATCH(0,COUNTIF($J$43:J63,Tracker!$G$3:$G$503),0)),"")</f>
        <v xml:space="preserve">Appeals  </v>
      </c>
      <c r="L64">
        <f>IF($J64="","",COUNTIF(Tracker!$G$3:$G$503,Analysis!$J64))</f>
        <v>15</v>
      </c>
      <c r="M64" s="44">
        <f>IF($J64="","",COUNTIFS(Tracker!$G$3:$G$503,Analysis!$J64,Tracker!$S$3:$S$503,Analysis!M$43))</f>
        <v>15</v>
      </c>
      <c r="N64" s="44">
        <f>IF($J64="","",COUNTIFS(Tracker!$G$3:$G$503,Analysis!$J64,Tracker!$S$3:$S$503,Analysis!N$43))</f>
        <v>0</v>
      </c>
      <c r="O64" s="44">
        <f>IF($J64="","",COUNTIFS(Tracker!$G$3:$G$503,Analysis!$J64,Tracker!$S$3:$S$503,Analysis!O$43))</f>
        <v>0</v>
      </c>
      <c r="P64" s="44" t="str">
        <f>INDEX(Tracker!$Q$3:$Q$503,MATCH(Analysis!$J64,Tracker!$G$3:$G$503,0))</f>
        <v>Appellate</v>
      </c>
      <c r="R64" t="str">
        <f t="array" ref="R64">IFERROR(INDEX(Tracker!$C$3:$C$503,MATCH(0,COUNTIF($R$43:R63,Tracker!$C$3:$C$503),0)),"")</f>
        <v>Phoenix Foundations</v>
      </c>
      <c r="S64">
        <f>IF($R64="","",COUNTIF(Tracker!$C$3:$C$503,Analysis!$R64))</f>
        <v>16</v>
      </c>
      <c r="T64">
        <f>IF($R64="","",COUNTIFS(Tracker!$C$3:$C$503,Analysis!$R64,Tracker!$S$3:$S$503,Analysis!T$43))</f>
        <v>11</v>
      </c>
      <c r="U64">
        <f>IF($R64="","",COUNTIFS(Tracker!$C$3:$C$503,Analysis!$R64,Tracker!$S$3:$S$503,Analysis!U$43))</f>
        <v>2</v>
      </c>
      <c r="V64">
        <f>IF($R64="","",COUNTIFS(Tracker!$C$3:$C$503,Analysis!$R64,Tracker!$S$3:$S$503,Analysis!V$43))</f>
        <v>3</v>
      </c>
      <c r="AD64" s="44">
        <v>1</v>
      </c>
      <c r="AE64" s="44">
        <f>INDEX(Tracker!$F$3:$F$503,MATCH(Analysis!$AG64,Tracker!$AA$3:$AA$503,0))</f>
        <v>139</v>
      </c>
      <c r="AF64" t="str">
        <f>INDEX(Tracker!$G$3:$G$503,MATCH(Analysis!$AG64,Tracker!$AA$3:$AA$503,0))</f>
        <v xml:space="preserve">Consumer Protection  </v>
      </c>
      <c r="AG64" s="45">
        <f>LARGE(Tracker!$AA$3:$AA$503,$AD64)</f>
        <v>146448</v>
      </c>
    </row>
    <row r="65" spans="2:33" x14ac:dyDescent="0.25">
      <c r="B65" t="str">
        <f t="array" ref="B65">IFERROR(INDEX(Tracker!$R$3:$R$503,MATCH(0,COUNTIF($B$43:B64,Tracker!$R$3:$R$503),0)),"")</f>
        <v>Ruby Kelly</v>
      </c>
      <c r="C65">
        <f>IF($B65="","",COUNTIF(Tracker!$R$3:$R$503,Analysis!$B65))</f>
        <v>16</v>
      </c>
      <c r="D65" s="16">
        <f t="shared" si="4"/>
        <v>3.1936127744510975E-2</v>
      </c>
      <c r="E65" s="44">
        <f>IF($B65="","",COUNTIFS(Tracker!$R$3:$R$503,Analysis!$B65,Tracker!$S$3:$S$503,Analysis!E$43))</f>
        <v>14</v>
      </c>
      <c r="F65" s="44">
        <f>IF($B65="","",COUNTIFS(Tracker!$R$3:$R$503,Analysis!$B65,Tracker!$S$3:$S$503,Analysis!F$43))</f>
        <v>1</v>
      </c>
      <c r="G65" s="44">
        <f>IF($B65="","",COUNTIFS(Tracker!$R$3:$R$503,Analysis!$B65,Tracker!$S$3:$S$503,Analysis!G$43))</f>
        <v>1</v>
      </c>
      <c r="J65" t="str">
        <f t="array" ref="J65">IFERROR(INDEX(Tracker!$G$3:$G$503,MATCH(0,COUNTIF($J$43:J64,Tracker!$G$3:$G$503),0)),"")</f>
        <v xml:space="preserve">Privacy Violation  </v>
      </c>
      <c r="L65">
        <f>IF($J65="","",COUNTIF(Tracker!$G$3:$G$503,Analysis!$J65))</f>
        <v>13</v>
      </c>
      <c r="M65" s="44">
        <f>IF($J65="","",COUNTIFS(Tracker!$G$3:$G$503,Analysis!$J65,Tracker!$S$3:$S$503,Analysis!M$43))</f>
        <v>13</v>
      </c>
      <c r="N65" s="44">
        <f>IF($J65="","",COUNTIFS(Tracker!$G$3:$G$503,Analysis!$J65,Tracker!$S$3:$S$503,Analysis!N$43))</f>
        <v>0</v>
      </c>
      <c r="O65" s="44">
        <f>IF($J65="","",COUNTIFS(Tracker!$G$3:$G$503,Analysis!$J65,Tracker!$S$3:$S$503,Analysis!O$43))</f>
        <v>0</v>
      </c>
      <c r="P65" s="44" t="str">
        <f>INDEX(Tracker!$Q$3:$Q$503,MATCH(Analysis!$J65,Tracker!$G$3:$G$503,0))</f>
        <v>Federal</v>
      </c>
      <c r="R65" t="str">
        <f t="array" ref="R65">IFERROR(INDEX(Tracker!$C$3:$C$503,MATCH(0,COUNTIF($R$43:R64,Tracker!$C$3:$C$503),0)),"")</f>
        <v>Luna Luxuries</v>
      </c>
      <c r="S65">
        <f>IF($R65="","",COUNTIF(Tracker!$C$3:$C$503,Analysis!$R65))</f>
        <v>16</v>
      </c>
      <c r="T65">
        <f>IF($R65="","",COUNTIFS(Tracker!$C$3:$C$503,Analysis!$R65,Tracker!$S$3:$S$503,Analysis!T$43))</f>
        <v>14</v>
      </c>
      <c r="U65">
        <f>IF($R65="","",COUNTIFS(Tracker!$C$3:$C$503,Analysis!$R65,Tracker!$S$3:$S$503,Analysis!U$43))</f>
        <v>1</v>
      </c>
      <c r="V65">
        <f>IF($R65="","",COUNTIFS(Tracker!$C$3:$C$503,Analysis!$R65,Tracker!$S$3:$S$503,Analysis!V$43))</f>
        <v>1</v>
      </c>
      <c r="AD65" s="44">
        <v>2</v>
      </c>
      <c r="AE65" s="44">
        <f>INDEX(Tracker!$F$3:$F$503,MATCH(Analysis!$AG65,Tracker!$AA$3:$AA$503,0))</f>
        <v>293</v>
      </c>
      <c r="AF65" t="str">
        <f>INDEX(Tracker!$G$3:$G$503,MATCH(Analysis!$AG65,Tracker!$AA$3:$AA$503,0))</f>
        <v xml:space="preserve">Business Formation  </v>
      </c>
      <c r="AG65" s="45">
        <f>LARGE(Tracker!$AA$3:$AA$503,$AD65)</f>
        <v>106164</v>
      </c>
    </row>
    <row r="66" spans="2:33" x14ac:dyDescent="0.25">
      <c r="B66" s="9" t="s">
        <v>284</v>
      </c>
      <c r="C66" s="9">
        <f>SUM($C$44:$C$65)</f>
        <v>501</v>
      </c>
      <c r="D66" s="9"/>
      <c r="E66" s="9">
        <f>SUM($E$44:$E$65)</f>
        <v>442</v>
      </c>
      <c r="F66" s="9">
        <f>SUM($F$44:$F$65)</f>
        <v>22</v>
      </c>
      <c r="G66" s="9">
        <f>SUM($G$44:$G$65)</f>
        <v>37</v>
      </c>
      <c r="J66" t="str">
        <f t="array" ref="J66">IFERROR(INDEX(Tracker!$G$3:$G$503,MATCH(0,COUNTIF($J$43:J65,Tracker!$G$3:$G$503),0)),"")</f>
        <v xml:space="preserve">Business Formation  </v>
      </c>
      <c r="L66">
        <f>IF($J66="","",COUNTIF(Tracker!$G$3:$G$503,Analysis!$J66))</f>
        <v>12</v>
      </c>
      <c r="M66" s="44">
        <f>IF($J66="","",COUNTIFS(Tracker!$G$3:$G$503,Analysis!$J66,Tracker!$S$3:$S$503,Analysis!M$43))</f>
        <v>10</v>
      </c>
      <c r="N66" s="44">
        <f>IF($J66="","",COUNTIFS(Tracker!$G$3:$G$503,Analysis!$J66,Tracker!$S$3:$S$503,Analysis!N$43))</f>
        <v>0</v>
      </c>
      <c r="O66" s="44">
        <f>IF($J66="","",COUNTIFS(Tracker!$G$3:$G$503,Analysis!$J66,Tracker!$S$3:$S$503,Analysis!O$43))</f>
        <v>2</v>
      </c>
      <c r="P66" s="44" t="str">
        <f>INDEX(Tracker!$Q$3:$Q$503,MATCH(Analysis!$J66,Tracker!$G$3:$G$503,0))</f>
        <v>Civil</v>
      </c>
      <c r="AD66" s="44">
        <v>3</v>
      </c>
      <c r="AE66" s="44">
        <f>INDEX(Tracker!$F$3:$F$503,MATCH(Analysis!$AG66,Tracker!$AA$3:$AA$503,0))</f>
        <v>114</v>
      </c>
      <c r="AF66" t="str">
        <f>INDEX(Tracker!$G$3:$G$503,MATCH(Analysis!$AG66,Tracker!$AA$3:$AA$503,0))</f>
        <v xml:space="preserve">Defamation  </v>
      </c>
      <c r="AG66" s="45">
        <f>LARGE(Tracker!$AA$3:$AA$503,$AD66)</f>
        <v>102168</v>
      </c>
    </row>
    <row r="67" spans="2:33" x14ac:dyDescent="0.25">
      <c r="J67" t="str">
        <f t="array" ref="J67">IFERROR(INDEX(Tracker!$G$3:$G$503,MATCH(0,COUNTIF($J$43:J66,Tracker!$G$3:$G$503),0)),"")</f>
        <v xml:space="preserve">Securities Fraud  </v>
      </c>
      <c r="L67">
        <f>IF($J67="","",COUNTIF(Tracker!$G$3:$G$503,Analysis!$J67))</f>
        <v>13</v>
      </c>
      <c r="M67" s="44">
        <f>IF($J67="","",COUNTIFS(Tracker!$G$3:$G$503,Analysis!$J67,Tracker!$S$3:$S$503,Analysis!M$43))</f>
        <v>11</v>
      </c>
      <c r="N67" s="44">
        <f>IF($J67="","",COUNTIFS(Tracker!$G$3:$G$503,Analysis!$J67,Tracker!$S$3:$S$503,Analysis!N$43))</f>
        <v>1</v>
      </c>
      <c r="O67" s="44">
        <f>IF($J67="","",COUNTIFS(Tracker!$G$3:$G$503,Analysis!$J67,Tracker!$S$3:$S$503,Analysis!O$43))</f>
        <v>1</v>
      </c>
      <c r="P67" s="44" t="str">
        <f>INDEX(Tracker!$Q$3:$Q$503,MATCH(Analysis!$J67,Tracker!$G$3:$G$503,0))</f>
        <v>Federal</v>
      </c>
      <c r="AD67" s="44">
        <v>4</v>
      </c>
      <c r="AE67" s="44">
        <f>INDEX(Tracker!$F$3:$F$503,MATCH(Analysis!$AG67,Tracker!$AA$3:$AA$503,0))</f>
        <v>329</v>
      </c>
      <c r="AF67" t="str">
        <f>INDEX(Tracker!$G$3:$G$503,MATCH(Analysis!$AG67,Tracker!$AA$3:$AA$503,0))</f>
        <v xml:space="preserve">Corporate Governance  </v>
      </c>
      <c r="AG67" s="45">
        <f>LARGE(Tracker!$AA$3:$AA$503,$AD67)</f>
        <v>97308</v>
      </c>
    </row>
    <row r="68" spans="2:33" x14ac:dyDescent="0.25">
      <c r="J68" t="str">
        <f t="array" ref="J68">IFERROR(INDEX(Tracker!$G$3:$G$503,MATCH(0,COUNTIF($J$43:J67,Tracker!$G$3:$G$503),0)),"")</f>
        <v xml:space="preserve">Trademark Infringement  </v>
      </c>
      <c r="L68">
        <f>IF($J68="","",COUNTIF(Tracker!$G$3:$G$503,Analysis!$J68))</f>
        <v>10</v>
      </c>
      <c r="M68" s="44">
        <f>IF($J68="","",COUNTIFS(Tracker!$G$3:$G$503,Analysis!$J68,Tracker!$S$3:$S$503,Analysis!M$43))</f>
        <v>10</v>
      </c>
      <c r="N68" s="44">
        <f>IF($J68="","",COUNTIFS(Tracker!$G$3:$G$503,Analysis!$J68,Tracker!$S$3:$S$503,Analysis!N$43))</f>
        <v>0</v>
      </c>
      <c r="O68" s="44">
        <f>IF($J68="","",COUNTIFS(Tracker!$G$3:$G$503,Analysis!$J68,Tracker!$S$3:$S$503,Analysis!O$43))</f>
        <v>0</v>
      </c>
      <c r="P68" s="44" t="str">
        <f>INDEX(Tracker!$Q$3:$Q$503,MATCH(Analysis!$J68,Tracker!$G$3:$G$503,0))</f>
        <v>Federal</v>
      </c>
      <c r="AD68" s="44">
        <v>5</v>
      </c>
      <c r="AE68" s="44">
        <f>INDEX(Tracker!$F$3:$F$503,MATCH(Analysis!$AG68,Tracker!$AA$3:$AA$503,0))</f>
        <v>351</v>
      </c>
      <c r="AF68" t="str">
        <f>INDEX(Tracker!$G$3:$G$503,MATCH(Analysis!$AG68,Tracker!$AA$3:$AA$503,0))</f>
        <v xml:space="preserve">Product Liability  </v>
      </c>
      <c r="AG68" s="45">
        <f>LARGE(Tracker!$AA$3:$AA$503,$AD68)</f>
        <v>92447.999999999985</v>
      </c>
    </row>
    <row r="69" spans="2:33" x14ac:dyDescent="0.25">
      <c r="J69" t="str">
        <f t="array" ref="J69">IFERROR(INDEX(Tracker!$G$3:$G$503,MATCH(0,COUNTIF($J$43:J68,Tracker!$G$3:$G$503),0)),"")</f>
        <v xml:space="preserve">Breach of Fiduciary Duty  </v>
      </c>
      <c r="L69">
        <f>IF($J69="","",COUNTIF(Tracker!$G$3:$G$503,Analysis!$J69))</f>
        <v>11</v>
      </c>
      <c r="M69" s="44">
        <f>IF($J69="","",COUNTIFS(Tracker!$G$3:$G$503,Analysis!$J69,Tracker!$S$3:$S$503,Analysis!M$43))</f>
        <v>11</v>
      </c>
      <c r="N69" s="44">
        <f>IF($J69="","",COUNTIFS(Tracker!$G$3:$G$503,Analysis!$J69,Tracker!$S$3:$S$503,Analysis!N$43))</f>
        <v>0</v>
      </c>
      <c r="O69" s="44">
        <f>IF($J69="","",COUNTIFS(Tracker!$G$3:$G$503,Analysis!$J69,Tracker!$S$3:$S$503,Analysis!O$43))</f>
        <v>0</v>
      </c>
      <c r="P69" s="44" t="str">
        <f>INDEX(Tracker!$Q$3:$Q$503,MATCH(Analysis!$J69,Tracker!$G$3:$G$503,0))</f>
        <v>Civil</v>
      </c>
      <c r="AD69" s="44">
        <v>6</v>
      </c>
      <c r="AE69" s="44">
        <f>INDEX(Tracker!$F$3:$F$503,MATCH(Analysis!$AG69,Tracker!$AA$3:$AA$503,0))</f>
        <v>429</v>
      </c>
      <c r="AF69" t="str">
        <f>INDEX(Tracker!$G$3:$G$503,MATCH(Analysis!$AG69,Tracker!$AA$3:$AA$503,0))</f>
        <v xml:space="preserve">Property Dispute  </v>
      </c>
      <c r="AG69" s="45">
        <f>LARGE(Tracker!$AA$3:$AA$503,$AD69)</f>
        <v>74628</v>
      </c>
    </row>
    <row r="70" spans="2:33" x14ac:dyDescent="0.25">
      <c r="J70" t="str">
        <f t="array" ref="J70">IFERROR(INDEX(Tracker!$G$3:$G$503,MATCH(0,COUNTIF($J$43:J69,Tracker!$G$3:$G$503),0)),"")</f>
        <v xml:space="preserve">Antitrust  </v>
      </c>
      <c r="L70">
        <f>IF($J70="","",COUNTIF(Tracker!$G$3:$G$503,Analysis!$J70))</f>
        <v>10</v>
      </c>
      <c r="M70" s="44">
        <f>IF($J70="","",COUNTIFS(Tracker!$G$3:$G$503,Analysis!$J70,Tracker!$S$3:$S$503,Analysis!M$43))</f>
        <v>10</v>
      </c>
      <c r="N70" s="44">
        <f>IF($J70="","",COUNTIFS(Tracker!$G$3:$G$503,Analysis!$J70,Tracker!$S$3:$S$503,Analysis!N$43))</f>
        <v>0</v>
      </c>
      <c r="O70" s="44">
        <f>IF($J70="","",COUNTIFS(Tracker!$G$3:$G$503,Analysis!$J70,Tracker!$S$3:$S$503,Analysis!O$43))</f>
        <v>0</v>
      </c>
      <c r="P70" s="44" t="str">
        <f>INDEX(Tracker!$Q$3:$Q$503,MATCH(Analysis!$J70,Tracker!$G$3:$G$503,0))</f>
        <v>Federal</v>
      </c>
      <c r="AD70" s="44">
        <v>7</v>
      </c>
      <c r="AE70" s="44">
        <f>INDEX(Tracker!$F$3:$F$503,MATCH(Analysis!$AG70,Tracker!$AA$3:$AA$503,0))</f>
        <v>438</v>
      </c>
      <c r="AF70" t="str">
        <f>INDEX(Tracker!$G$3:$G$503,MATCH(Analysis!$AG70,Tracker!$AA$3:$AA$503,0))</f>
        <v xml:space="preserve">Defamation  </v>
      </c>
      <c r="AG70" s="45">
        <f>LARGE(Tracker!$AA$3:$AA$503,$AD70)</f>
        <v>71820</v>
      </c>
    </row>
    <row r="71" spans="2:33" x14ac:dyDescent="0.25">
      <c r="J71" t="str">
        <f t="array" ref="J71">IFERROR(INDEX(Tracker!$G$3:$G$503,MATCH(0,COUNTIF($J$43:J70,Tracker!$G$3:$G$503),0)),"")</f>
        <v xml:space="preserve">Professional Malpractice  </v>
      </c>
      <c r="L71">
        <f>IF($J71="","",COUNTIF(Tracker!$G$3:$G$503,Analysis!$J71))</f>
        <v>10</v>
      </c>
      <c r="M71" s="44">
        <f>IF($J71="","",COUNTIFS(Tracker!$G$3:$G$503,Analysis!$J71,Tracker!$S$3:$S$503,Analysis!M$43))</f>
        <v>8</v>
      </c>
      <c r="N71" s="44">
        <f>IF($J71="","",COUNTIFS(Tracker!$G$3:$G$503,Analysis!$J71,Tracker!$S$3:$S$503,Analysis!N$43))</f>
        <v>1</v>
      </c>
      <c r="O71" s="44">
        <f>IF($J71="","",COUNTIFS(Tracker!$G$3:$G$503,Analysis!$J71,Tracker!$S$3:$S$503,Analysis!O$43))</f>
        <v>1</v>
      </c>
      <c r="P71" s="44" t="str">
        <f>INDEX(Tracker!$Q$3:$Q$503,MATCH(Analysis!$J71,Tracker!$G$3:$G$503,0))</f>
        <v>Civil</v>
      </c>
      <c r="AD71" s="44">
        <v>8</v>
      </c>
      <c r="AE71" s="44">
        <f>INDEX(Tracker!$F$3:$F$503,MATCH(Analysis!$AG71,Tracker!$AA$3:$AA$503,0))</f>
        <v>341</v>
      </c>
      <c r="AF71" t="str">
        <f>INDEX(Tracker!$G$3:$G$503,MATCH(Analysis!$AG71,Tracker!$AA$3:$AA$503,0))</f>
        <v xml:space="preserve">Real Estate Transaction  </v>
      </c>
      <c r="AG71" s="45">
        <f>LARGE(Tracker!$AA$3:$AA$503,$AD71)</f>
        <v>62136</v>
      </c>
    </row>
    <row r="72" spans="2:33" x14ac:dyDescent="0.25">
      <c r="J72" t="str">
        <f t="array" ref="J72">IFERROR(INDEX(Tracker!$G$3:$G$503,MATCH(0,COUNTIF($J$43:J71,Tracker!$G$3:$G$503),0)),"")</f>
        <v xml:space="preserve">Election Law  </v>
      </c>
      <c r="L72">
        <f>IF($J72="","",COUNTIF(Tracker!$G$3:$G$503,Analysis!$J72))</f>
        <v>7</v>
      </c>
      <c r="M72" s="44">
        <f>IF($J72="","",COUNTIFS(Tracker!$G$3:$G$503,Analysis!$J72,Tracker!$S$3:$S$503,Analysis!M$43))</f>
        <v>6</v>
      </c>
      <c r="N72" s="44">
        <f>IF($J72="","",COUNTIFS(Tracker!$G$3:$G$503,Analysis!$J72,Tracker!$S$3:$S$503,Analysis!N$43))</f>
        <v>0</v>
      </c>
      <c r="O72" s="44">
        <f>IF($J72="","",COUNTIFS(Tracker!$G$3:$G$503,Analysis!$J72,Tracker!$S$3:$S$503,Analysis!O$43))</f>
        <v>1</v>
      </c>
      <c r="P72" s="44" t="str">
        <f>INDEX(Tracker!$Q$3:$Q$503,MATCH(Analysis!$J72,Tracker!$G$3:$G$503,0))</f>
        <v>Specialized Election</v>
      </c>
      <c r="AD72" s="44">
        <v>9</v>
      </c>
      <c r="AE72" s="44">
        <f>INDEX(Tracker!$F$3:$F$503,MATCH(Analysis!$AG72,Tracker!$AA$3:$AA$503,0))</f>
        <v>349</v>
      </c>
      <c r="AF72" t="str">
        <f>INDEX(Tracker!$G$3:$G$503,MATCH(Analysis!$AG72,Tracker!$AA$3:$AA$503,0))</f>
        <v xml:space="preserve">Corporate Governance  </v>
      </c>
      <c r="AG72" s="45">
        <f>LARGE(Tracker!$AA$3:$AA$503,$AD72)</f>
        <v>61632</v>
      </c>
    </row>
    <row r="73" spans="2:33" x14ac:dyDescent="0.25">
      <c r="J73" t="str">
        <f t="array" ref="J73">IFERROR(INDEX(Tracker!$G$3:$G$503,MATCH(0,COUNTIF($J$43:J72,Tracker!$G$3:$G$503),0)),"")</f>
        <v xml:space="preserve">Consumer Protection  </v>
      </c>
      <c r="L73">
        <f>IF($J73="","",COUNTIF(Tracker!$G$3:$G$503,Analysis!$J73))</f>
        <v>7</v>
      </c>
      <c r="M73" s="44">
        <f>IF($J73="","",COUNTIFS(Tracker!$G$3:$G$503,Analysis!$J73,Tracker!$S$3:$S$503,Analysis!M$43))</f>
        <v>5</v>
      </c>
      <c r="N73" s="44">
        <f>IF($J73="","",COUNTIFS(Tracker!$G$3:$G$503,Analysis!$J73,Tracker!$S$3:$S$503,Analysis!N$43))</f>
        <v>1</v>
      </c>
      <c r="O73" s="44">
        <f>IF($J73="","",COUNTIFS(Tracker!$G$3:$G$503,Analysis!$J73,Tracker!$S$3:$S$503,Analysis!O$43))</f>
        <v>1</v>
      </c>
      <c r="P73" s="44" t="str">
        <f>INDEX(Tracker!$Q$3:$Q$503,MATCH(Analysis!$J73,Tracker!$G$3:$G$503,0))</f>
        <v>Civil</v>
      </c>
      <c r="AD73" s="44">
        <v>10</v>
      </c>
      <c r="AE73" s="44">
        <f>INDEX(Tracker!$F$3:$F$503,MATCH(Analysis!$AG73,Tracker!$AA$3:$AA$503,0))</f>
        <v>493</v>
      </c>
      <c r="AF73" t="str">
        <f>INDEX(Tracker!$G$3:$G$503,MATCH(Analysis!$AG73,Tracker!$AA$3:$AA$503,0))</f>
        <v xml:space="preserve">Product Liability  </v>
      </c>
      <c r="AG73" s="45">
        <f>LARGE(Tracker!$AA$3:$AA$503,$AD73)</f>
        <v>60048</v>
      </c>
    </row>
    <row r="74" spans="2:33" x14ac:dyDescent="0.25">
      <c r="J74" t="str">
        <f t="array" ref="J74">IFERROR(INDEX(Tracker!$G$3:$G$503,MATCH(0,COUNTIF($J$43:J73,Tracker!$G$3:$G$503),0)),"")</f>
        <v xml:space="preserve">Negotiable Instruments  </v>
      </c>
      <c r="L74">
        <f>IF($J74="","",COUNTIF(Tracker!$G$3:$G$503,Analysis!$J74))</f>
        <v>7</v>
      </c>
      <c r="M74" s="44">
        <f>IF($J74="","",COUNTIFS(Tracker!$G$3:$G$503,Analysis!$J74,Tracker!$S$3:$S$503,Analysis!M$43))</f>
        <v>6</v>
      </c>
      <c r="N74" s="44">
        <f>IF($J74="","",COUNTIFS(Tracker!$G$3:$G$503,Analysis!$J74,Tracker!$S$3:$S$503,Analysis!N$43))</f>
        <v>0</v>
      </c>
      <c r="O74" s="44">
        <f>IF($J74="","",COUNTIFS(Tracker!$G$3:$G$503,Analysis!$J74,Tracker!$S$3:$S$503,Analysis!O$43))</f>
        <v>1</v>
      </c>
      <c r="P74" s="44" t="str">
        <f>INDEX(Tracker!$Q$3:$Q$503,MATCH(Analysis!$J74,Tracker!$G$3:$G$503,0))</f>
        <v>Civil</v>
      </c>
      <c r="AD74" s="44">
        <v>11</v>
      </c>
      <c r="AE74" s="44">
        <f>INDEX(Tracker!$F$3:$F$503,MATCH(Analysis!$AG74,Tracker!$AA$3:$AA$503,0))</f>
        <v>374</v>
      </c>
      <c r="AF74" t="str">
        <f>INDEX(Tracker!$G$3:$G$503,MATCH(Analysis!$AG74,Tracker!$AA$3:$AA$503,0))</f>
        <v xml:space="preserve">Fiduciary Litigation  </v>
      </c>
      <c r="AG74" s="45">
        <f>LARGE(Tracker!$AA$3:$AA$503,$AD74)</f>
        <v>58248</v>
      </c>
    </row>
    <row r="75" spans="2:33" x14ac:dyDescent="0.25">
      <c r="J75" t="str">
        <f t="array" ref="J75">IFERROR(INDEX(Tracker!$G$3:$G$503,MATCH(0,COUNTIF($J$43:J74,Tracker!$G$3:$G$503),0)),"")</f>
        <v xml:space="preserve">Cybersecurity  </v>
      </c>
      <c r="L75">
        <f>IF($J75="","",COUNTIF(Tracker!$G$3:$G$503,Analysis!$J75))</f>
        <v>7</v>
      </c>
      <c r="M75" s="44">
        <f>IF($J75="","",COUNTIFS(Tracker!$G$3:$G$503,Analysis!$J75,Tracker!$S$3:$S$503,Analysis!M$43))</f>
        <v>6</v>
      </c>
      <c r="N75" s="44">
        <f>IF($J75="","",COUNTIFS(Tracker!$G$3:$G$503,Analysis!$J75,Tracker!$S$3:$S$503,Analysis!N$43))</f>
        <v>0</v>
      </c>
      <c r="O75" s="44">
        <f>IF($J75="","",COUNTIFS(Tracker!$G$3:$G$503,Analysis!$J75,Tracker!$S$3:$S$503,Analysis!O$43))</f>
        <v>1</v>
      </c>
      <c r="P75" s="44" t="str">
        <f>INDEX(Tracker!$Q$3:$Q$503,MATCH(Analysis!$J75,Tracker!$G$3:$G$503,0))</f>
        <v>Criminal</v>
      </c>
      <c r="AD75" s="44">
        <v>12</v>
      </c>
      <c r="AE75" s="44">
        <f>INDEX(Tracker!$F$3:$F$503,MATCH(Analysis!$AG75,Tracker!$AA$3:$AA$503,0))</f>
        <v>381</v>
      </c>
      <c r="AF75" t="str">
        <f>INDEX(Tracker!$G$3:$G$503,MATCH(Analysis!$AG75,Tracker!$AA$3:$AA$503,0))</f>
        <v xml:space="preserve">Contract Dispute  </v>
      </c>
      <c r="AG75" s="45">
        <f>LARGE(Tracker!$AA$3:$AA$503,$AD75)</f>
        <v>57312</v>
      </c>
    </row>
    <row r="76" spans="2:33" x14ac:dyDescent="0.25">
      <c r="J76" t="str">
        <f t="array" ref="J76">IFERROR(INDEX(Tracker!$G$3:$G$503,MATCH(0,COUNTIF($J$43:J75,Tracker!$G$3:$G$503),0)),"")</f>
        <v xml:space="preserve">Fiduciary Litigation  </v>
      </c>
      <c r="L76">
        <f>IF($J76="","",COUNTIF(Tracker!$G$3:$G$503,Analysis!$J76))</f>
        <v>7</v>
      </c>
      <c r="M76" s="44">
        <f>IF($J76="","",COUNTIFS(Tracker!$G$3:$G$503,Analysis!$J76,Tracker!$S$3:$S$503,Analysis!M$43))</f>
        <v>5</v>
      </c>
      <c r="N76" s="44">
        <f>IF($J76="","",COUNTIFS(Tracker!$G$3:$G$503,Analysis!$J76,Tracker!$S$3:$S$503,Analysis!N$43))</f>
        <v>0</v>
      </c>
      <c r="O76" s="44">
        <f>IF($J76="","",COUNTIFS(Tracker!$G$3:$G$503,Analysis!$J76,Tracker!$S$3:$S$503,Analysis!O$43))</f>
        <v>2</v>
      </c>
      <c r="P76" s="44" t="str">
        <f>INDEX(Tracker!$Q$3:$Q$503,MATCH(Analysis!$J76,Tracker!$G$3:$G$503,0))</f>
        <v>Civil</v>
      </c>
      <c r="AD76" s="44">
        <v>13</v>
      </c>
      <c r="AE76" s="44">
        <f>INDEX(Tracker!$F$3:$F$503,MATCH(Analysis!$AG76,Tracker!$AA$3:$AA$503,0))</f>
        <v>511</v>
      </c>
      <c r="AF76" t="str">
        <f>INDEX(Tracker!$G$3:$G$503,MATCH(Analysis!$AG76,Tracker!$AA$3:$AA$503,0))</f>
        <v xml:space="preserve">Corporate Governance  </v>
      </c>
      <c r="AG76" s="45">
        <f>LARGE(Tracker!$AA$3:$AA$503,$AD76)</f>
        <v>57239.999999999993</v>
      </c>
    </row>
    <row r="77" spans="2:33" x14ac:dyDescent="0.25">
      <c r="J77" t="str">
        <f t="array" ref="J77">IFERROR(INDEX(Tracker!$G$3:$G$503,MATCH(0,COUNTIF($J$43:J76,Tracker!$G$3:$G$503),0)),"")</f>
        <v xml:space="preserve">Public Interest Law  </v>
      </c>
      <c r="L77">
        <f>IF($J77="","",COUNTIF(Tracker!$G$3:$G$503,Analysis!$J77))</f>
        <v>7</v>
      </c>
      <c r="M77" s="44">
        <f>IF($J77="","",COUNTIFS(Tracker!$G$3:$G$503,Analysis!$J77,Tracker!$S$3:$S$503,Analysis!M$43))</f>
        <v>7</v>
      </c>
      <c r="N77" s="44">
        <f>IF($J77="","",COUNTIFS(Tracker!$G$3:$G$503,Analysis!$J77,Tracker!$S$3:$S$503,Analysis!N$43))</f>
        <v>0</v>
      </c>
      <c r="O77" s="44">
        <f>IF($J77="","",COUNTIFS(Tracker!$G$3:$G$503,Analysis!$J77,Tracker!$S$3:$S$503,Analysis!O$43))</f>
        <v>0</v>
      </c>
      <c r="P77" s="44" t="str">
        <f>INDEX(Tracker!$Q$3:$Q$503,MATCH(Analysis!$J77,Tracker!$G$3:$G$503,0))</f>
        <v>Civil</v>
      </c>
      <c r="AD77" s="44">
        <v>14</v>
      </c>
      <c r="AE77" s="44">
        <f>INDEX(Tracker!$F$3:$F$503,MATCH(Analysis!$AG77,Tracker!$AA$3:$AA$503,0))</f>
        <v>389</v>
      </c>
      <c r="AF77" t="str">
        <f>INDEX(Tracker!$G$3:$G$503,MATCH(Analysis!$AG77,Tracker!$AA$3:$AA$503,0))</f>
        <v xml:space="preserve">Construction Defect  </v>
      </c>
      <c r="AG77" s="45">
        <f>LARGE(Tracker!$AA$3:$AA$503,$AD77)</f>
        <v>55512</v>
      </c>
    </row>
    <row r="78" spans="2:33" x14ac:dyDescent="0.25">
      <c r="J78" t="str">
        <f t="array" ref="J78">IFERROR(INDEX(Tracker!$G$3:$G$503,MATCH(0,COUNTIF($J$43:J77,Tracker!$G$3:$G$503),0)),"")</f>
        <v xml:space="preserve">Asbestos Litigation  </v>
      </c>
      <c r="L78">
        <f>IF($J78="","",COUNTIF(Tracker!$G$3:$G$503,Analysis!$J78))</f>
        <v>8</v>
      </c>
      <c r="M78" s="44">
        <f>IF($J78="","",COUNTIFS(Tracker!$G$3:$G$503,Analysis!$J78,Tracker!$S$3:$S$503,Analysis!M$43))</f>
        <v>7</v>
      </c>
      <c r="N78" s="44">
        <f>IF($J78="","",COUNTIFS(Tracker!$G$3:$G$503,Analysis!$J78,Tracker!$S$3:$S$503,Analysis!N$43))</f>
        <v>1</v>
      </c>
      <c r="O78" s="44">
        <f>IF($J78="","",COUNTIFS(Tracker!$G$3:$G$503,Analysis!$J78,Tracker!$S$3:$S$503,Analysis!O$43))</f>
        <v>0</v>
      </c>
      <c r="P78" s="44" t="str">
        <f>INDEX(Tracker!$Q$3:$Q$503,MATCH(Analysis!$J78,Tracker!$G$3:$G$503,0))</f>
        <v>Civil</v>
      </c>
      <c r="AD78" s="44">
        <v>15</v>
      </c>
      <c r="AE78" s="44">
        <f>INDEX(Tracker!$F$3:$F$503,MATCH(Analysis!$AG78,Tracker!$AA$3:$AA$503,0))</f>
        <v>404</v>
      </c>
      <c r="AF78" t="str">
        <f>INDEX(Tracker!$G$3:$G$503,MATCH(Analysis!$AG78,Tracker!$AA$3:$AA$503,0))</f>
        <v xml:space="preserve">Construction Defect  </v>
      </c>
      <c r="AG78" s="45">
        <f>LARGE(Tracker!$AA$3:$AA$503,$AD78)</f>
        <v>52632</v>
      </c>
    </row>
    <row r="79" spans="2:33" x14ac:dyDescent="0.25">
      <c r="J79" t="str">
        <f t="array" ref="J79">IFERROR(INDEX(Tracker!$G$3:$G$503,MATCH(0,COUNTIF($J$43:J78,Tracker!$G$3:$G$503),0)),"")</f>
        <v xml:space="preserve">Maritime Law  </v>
      </c>
      <c r="L79">
        <f>IF($J79="","",COUNTIF(Tracker!$G$3:$G$503,Analysis!$J79))</f>
        <v>7</v>
      </c>
      <c r="M79" s="44">
        <f>IF($J79="","",COUNTIFS(Tracker!$G$3:$G$503,Analysis!$J79,Tracker!$S$3:$S$503,Analysis!M$43))</f>
        <v>6</v>
      </c>
      <c r="N79" s="44">
        <f>IF($J79="","",COUNTIFS(Tracker!$G$3:$G$503,Analysis!$J79,Tracker!$S$3:$S$503,Analysis!N$43))</f>
        <v>1</v>
      </c>
      <c r="O79" s="44">
        <f>IF($J79="","",COUNTIFS(Tracker!$G$3:$G$503,Analysis!$J79,Tracker!$S$3:$S$503,Analysis!O$43))</f>
        <v>0</v>
      </c>
      <c r="P79" s="44" t="str">
        <f>INDEX(Tracker!$Q$3:$Q$503,MATCH(Analysis!$J79,Tracker!$G$3:$G$503,0))</f>
        <v>Federal</v>
      </c>
    </row>
    <row r="80" spans="2:33" x14ac:dyDescent="0.25">
      <c r="J80" t="str">
        <f t="array" ref="J80">IFERROR(INDEX(Tracker!$G$3:$G$503,MATCH(0,COUNTIF($J$43:J79,Tracker!$G$3:$G$503),0)),"")</f>
        <v xml:space="preserve">Credit Reporting Disputes  </v>
      </c>
      <c r="L80">
        <f>IF($J80="","",COUNTIF(Tracker!$G$3:$G$503,Analysis!$J80))</f>
        <v>8</v>
      </c>
      <c r="M80" s="44">
        <f>IF($J80="","",COUNTIFS(Tracker!$G$3:$G$503,Analysis!$J80,Tracker!$S$3:$S$503,Analysis!M$43))</f>
        <v>6</v>
      </c>
      <c r="N80" s="44">
        <f>IF($J80="","",COUNTIFS(Tracker!$G$3:$G$503,Analysis!$J80,Tracker!$S$3:$S$503,Analysis!N$43))</f>
        <v>1</v>
      </c>
      <c r="O80" s="44">
        <f>IF($J80="","",COUNTIFS(Tracker!$G$3:$G$503,Analysis!$J80,Tracker!$S$3:$S$503,Analysis!O$43))</f>
        <v>1</v>
      </c>
      <c r="P80" s="44" t="str">
        <f>INDEX(Tracker!$Q$3:$Q$503,MATCH(Analysis!$J80,Tracker!$G$3:$G$503,0))</f>
        <v>Federal</v>
      </c>
    </row>
    <row r="81" spans="2:16" x14ac:dyDescent="0.25">
      <c r="J81" t="str">
        <f t="array" ref="J81">IFERROR(INDEX(Tracker!$G$3:$G$503,MATCH(0,COUNTIF($J$43:J80,Tracker!$G$3:$G$503),0)),"")</f>
        <v/>
      </c>
      <c r="L81" t="str">
        <f>IF($J81="","",COUNTIF(Tracker!$G$3:$G$503,Analysis!$J81))</f>
        <v/>
      </c>
      <c r="M81" s="44" t="str">
        <f>IF($J81="","",COUNTIFS(Tracker!$G$3:$G$503,Analysis!$J81,Tracker!$S$3:$S$503,Analysis!M$43))</f>
        <v/>
      </c>
      <c r="N81" s="44" t="str">
        <f>IF($J81="","",COUNTIFS(Tracker!$G$3:$G$503,Analysis!$J81,Tracker!$S$3:$S$503,Analysis!N$43))</f>
        <v/>
      </c>
      <c r="O81" s="44" t="str">
        <f>IF($J81="","",COUNTIFS(Tracker!$G$3:$G$503,Analysis!$J81,Tracker!$S$3:$S$503,Analysis!O$43))</f>
        <v/>
      </c>
      <c r="P81" s="44"/>
    </row>
    <row r="82" spans="2:16" x14ac:dyDescent="0.25">
      <c r="J82" t="str">
        <f t="array" ref="J82">IFERROR(INDEX(Tracker!$G$3:$G$503,MATCH(0,COUNTIF($J$43:J81,Tracker!$G$3:$G$503),0)),"")</f>
        <v/>
      </c>
      <c r="L82" t="str">
        <f>IF($J82="","",COUNTIF(Tracker!$G$3:$G$503,Analysis!$J82))</f>
        <v/>
      </c>
      <c r="M82" s="44" t="str">
        <f>IF($J82="","",COUNTIFS(Tracker!$G$3:$G$503,Analysis!$J82,Tracker!$S$3:$S$503,Analysis!M$43))</f>
        <v/>
      </c>
      <c r="N82" s="44" t="str">
        <f>IF($J82="","",COUNTIFS(Tracker!$G$3:$G$503,Analysis!$J82,Tracker!$S$3:$S$503,Analysis!N$43))</f>
        <v/>
      </c>
      <c r="O82" s="44" t="str">
        <f>IF($J82="","",COUNTIFS(Tracker!$G$3:$G$503,Analysis!$J82,Tracker!$S$3:$S$503,Analysis!O$43))</f>
        <v/>
      </c>
      <c r="P82" s="44"/>
    </row>
    <row r="83" spans="2:16" x14ac:dyDescent="0.25">
      <c r="J83" t="str">
        <f t="array" ref="J83">IFERROR(INDEX(Tracker!$G$3:$G$503,MATCH(0,COUNTIF($J$43:J82,Tracker!$G$3:$G$503),0)),"")</f>
        <v/>
      </c>
      <c r="L83" t="str">
        <f>IF($J83="","",COUNTIF(Tracker!$G$3:$G$503,Analysis!$J83))</f>
        <v/>
      </c>
      <c r="M83" s="44" t="str">
        <f>IF($J83="","",COUNTIFS(Tracker!$G$3:$G$503,Analysis!$J83,Tracker!$S$3:$S$503,Analysis!M$43))</f>
        <v/>
      </c>
      <c r="N83" s="44" t="str">
        <f>IF($J83="","",COUNTIFS(Tracker!$G$3:$G$503,Analysis!$J83,Tracker!$S$3:$S$503,Analysis!N$43))</f>
        <v/>
      </c>
      <c r="O83" s="44" t="str">
        <f>IF($J83="","",COUNTIFS(Tracker!$G$3:$G$503,Analysis!$J83,Tracker!$S$3:$S$503,Analysis!O$43))</f>
        <v/>
      </c>
      <c r="P83" s="44"/>
    </row>
    <row r="84" spans="2:16" x14ac:dyDescent="0.25">
      <c r="J84" t="str">
        <f t="array" ref="J84">IFERROR(INDEX(Tracker!$G$3:$G$503,MATCH(0,COUNTIF($J$43:J83,Tracker!$G$3:$G$503),0)),"")</f>
        <v/>
      </c>
      <c r="L84" t="str">
        <f>IF($J84="","",COUNTIF(Tracker!$G$3:$G$503,Analysis!$J84))</f>
        <v/>
      </c>
      <c r="M84" s="44" t="str">
        <f>IF($J84="","",COUNTIFS(Tracker!$G$3:$G$503,Analysis!$J84,Tracker!$S$3:$S$503,Analysis!M$43))</f>
        <v/>
      </c>
      <c r="N84" s="44" t="str">
        <f>IF($J84="","",COUNTIFS(Tracker!$G$3:$G$503,Analysis!$J84,Tracker!$S$3:$S$503,Analysis!N$43))</f>
        <v/>
      </c>
      <c r="O84" s="44" t="str">
        <f>IF($J84="","",COUNTIFS(Tracker!$G$3:$G$503,Analysis!$J84,Tracker!$S$3:$S$503,Analysis!O$43))</f>
        <v/>
      </c>
      <c r="P84" s="44"/>
    </row>
    <row r="85" spans="2:16" x14ac:dyDescent="0.25">
      <c r="J85" t="str">
        <f t="array" ref="J85">IFERROR(INDEX(Tracker!$G$3:$G$503,MATCH(0,COUNTIF($J$43:J84,Tracker!$G$3:$G$503),0)),"")</f>
        <v/>
      </c>
      <c r="L85" t="str">
        <f>IF($J85="","",COUNTIF(Tracker!$G$3:$G$503,Analysis!$J85))</f>
        <v/>
      </c>
      <c r="M85" s="44" t="str">
        <f>IF($J85="","",COUNTIFS(Tracker!$G$3:$G$503,Analysis!$J85,Tracker!$S$3:$S$503,Analysis!M$43))</f>
        <v/>
      </c>
      <c r="N85" s="44" t="str">
        <f>IF($J85="","",COUNTIFS(Tracker!$G$3:$G$503,Analysis!$J85,Tracker!$S$3:$S$503,Analysis!N$43))</f>
        <v/>
      </c>
      <c r="O85" s="44" t="str">
        <f>IF($J85="","",COUNTIFS(Tracker!$G$3:$G$503,Analysis!$J85,Tracker!$S$3:$S$503,Analysis!O$43))</f>
        <v/>
      </c>
      <c r="P85" s="44"/>
    </row>
    <row r="86" spans="2:16" x14ac:dyDescent="0.25">
      <c r="J86" t="str">
        <f t="array" ref="J86">IFERROR(INDEX(Tracker!$G$3:$G$503,MATCH(0,COUNTIF($J$43:J85,Tracker!$G$3:$G$503),0)),"")</f>
        <v/>
      </c>
      <c r="L86" t="str">
        <f>IF($J86="","",COUNTIF(Tracker!$G$3:$G$503,Analysis!$J86))</f>
        <v/>
      </c>
      <c r="M86" s="44" t="str">
        <f>IF($J86="","",COUNTIFS(Tracker!$G$3:$G$503,Analysis!$J86,Tracker!$S$3:$S$503,Analysis!M$43))</f>
        <v/>
      </c>
      <c r="N86" s="44" t="str">
        <f>IF($J86="","",COUNTIFS(Tracker!$G$3:$G$503,Analysis!$J86,Tracker!$S$3:$S$503,Analysis!N$43))</f>
        <v/>
      </c>
      <c r="O86" s="44" t="str">
        <f>IF($J86="","",COUNTIFS(Tracker!$G$3:$G$503,Analysis!$J86,Tracker!$S$3:$S$503,Analysis!O$43))</f>
        <v/>
      </c>
      <c r="P86" s="44"/>
    </row>
    <row r="87" spans="2:16" x14ac:dyDescent="0.25">
      <c r="J87" t="str">
        <f t="array" ref="J87">IFERROR(INDEX(Tracker!$G$3:$G$503,MATCH(0,COUNTIF($J$43:J86,Tracker!$G$3:$G$503),0)),"")</f>
        <v/>
      </c>
      <c r="L87" t="str">
        <f>IF($J87="","",COUNTIF(Tracker!$G$3:$G$503,Analysis!$J87))</f>
        <v/>
      </c>
      <c r="M87" s="44" t="str">
        <f>IF($J87="","",COUNTIFS(Tracker!$G$3:$G$503,Analysis!$J87,Tracker!$S$3:$S$503,Analysis!M$43))</f>
        <v/>
      </c>
      <c r="N87" s="44" t="str">
        <f>IF($J87="","",COUNTIFS(Tracker!$G$3:$G$503,Analysis!$J87,Tracker!$S$3:$S$503,Analysis!N$43))</f>
        <v/>
      </c>
      <c r="O87" s="44" t="str">
        <f>IF($J87="","",COUNTIFS(Tracker!$G$3:$G$503,Analysis!$J87,Tracker!$S$3:$S$503,Analysis!O$43))</f>
        <v/>
      </c>
      <c r="P87" s="44"/>
    </row>
    <row r="88" spans="2:16" x14ac:dyDescent="0.25">
      <c r="J88" t="str">
        <f t="array" ref="J88">IFERROR(INDEX(Tracker!$G$3:$G$503,MATCH(0,COUNTIF($J$43:J87,Tracker!$G$3:$G$503),0)),"")</f>
        <v/>
      </c>
      <c r="L88" t="str">
        <f>IF($J88="","",COUNTIF(Tracker!$G$3:$G$503,Analysis!$J88))</f>
        <v/>
      </c>
      <c r="M88" s="44" t="str">
        <f>IF($J88="","",COUNTIFS(Tracker!$G$3:$G$503,Analysis!$J88,Tracker!$S$3:$S$503,Analysis!M$43))</f>
        <v/>
      </c>
      <c r="N88" s="44" t="str">
        <f>IF($J88="","",COUNTIFS(Tracker!$G$3:$G$503,Analysis!$J88,Tracker!$S$3:$S$503,Analysis!N$43))</f>
        <v/>
      </c>
      <c r="O88" s="44" t="str">
        <f>IF($J88="","",COUNTIFS(Tracker!$G$3:$G$503,Analysis!$J88,Tracker!$S$3:$S$503,Analysis!O$43))</f>
        <v/>
      </c>
      <c r="P88" s="44"/>
    </row>
    <row r="89" spans="2:16" x14ac:dyDescent="0.25">
      <c r="J89" t="str">
        <f t="array" ref="J89">IFERROR(INDEX(Tracker!$G$3:$G$503,MATCH(0,COUNTIF($J$43:J88,Tracker!$G$3:$G$503),0)),"")</f>
        <v/>
      </c>
      <c r="L89" t="str">
        <f>IF($J89="","",COUNTIF(Tracker!$G$3:$G$503,Analysis!$J89))</f>
        <v/>
      </c>
      <c r="M89" s="44" t="str">
        <f>IF($J89="","",COUNTIFS(Tracker!$G$3:$G$503,Analysis!$J89,Tracker!$S$3:$S$503,Analysis!M$43))</f>
        <v/>
      </c>
      <c r="N89" s="44" t="str">
        <f>IF($J89="","",COUNTIFS(Tracker!$G$3:$G$503,Analysis!$J89,Tracker!$S$3:$S$503,Analysis!N$43))</f>
        <v/>
      </c>
      <c r="O89" s="44" t="str">
        <f>IF($J89="","",COUNTIFS(Tracker!$G$3:$G$503,Analysis!$J89,Tracker!$S$3:$S$503,Analysis!O$43))</f>
        <v/>
      </c>
      <c r="P89" s="44"/>
    </row>
    <row r="90" spans="2:16" x14ac:dyDescent="0.25">
      <c r="J90" t="str">
        <f t="array" ref="J90">IFERROR(INDEX(Tracker!$G$3:$G$503,MATCH(0,COUNTIF($J$43:J89,Tracker!$G$3:$G$503),0)),"")</f>
        <v/>
      </c>
      <c r="L90" t="str">
        <f>IF($J90="","",COUNTIF(Tracker!$G$3:$G$503,Analysis!$J90))</f>
        <v/>
      </c>
      <c r="M90" s="44" t="str">
        <f>IF($J90="","",COUNTIFS(Tracker!$G$3:$G$503,Analysis!$J90,Tracker!$S$3:$S$503,Analysis!M$43))</f>
        <v/>
      </c>
      <c r="N90" s="44" t="str">
        <f>IF($J90="","",COUNTIFS(Tracker!$G$3:$G$503,Analysis!$J90,Tracker!$S$3:$S$503,Analysis!N$43))</f>
        <v/>
      </c>
      <c r="O90" s="44" t="str">
        <f>IF($J90="","",COUNTIFS(Tracker!$G$3:$G$503,Analysis!$J90,Tracker!$S$3:$S$503,Analysis!O$43))</f>
        <v/>
      </c>
      <c r="P90" s="44"/>
    </row>
    <row r="91" spans="2:16" x14ac:dyDescent="0.25">
      <c r="J91" t="str">
        <f t="array" ref="J91">IFERROR(INDEX(Tracker!$G$3:$G$503,MATCH(0,COUNTIF($J$43:J90,Tracker!$G$3:$G$503),0)),"")</f>
        <v/>
      </c>
      <c r="L91" t="str">
        <f>IF($J91="","",COUNTIF(Tracker!$G$3:$G$503,Analysis!$J91))</f>
        <v/>
      </c>
      <c r="M91" s="44" t="str">
        <f>IF($J91="","",COUNTIFS(Tracker!$G$3:$G$503,Analysis!$J91,Tracker!$S$3:$S$503,Analysis!M$43))</f>
        <v/>
      </c>
      <c r="N91" s="44" t="str">
        <f>IF($J91="","",COUNTIFS(Tracker!$G$3:$G$503,Analysis!$J91,Tracker!$S$3:$S$503,Analysis!N$43))</f>
        <v/>
      </c>
      <c r="O91" s="44" t="str">
        <f>IF($J91="","",COUNTIFS(Tracker!$G$3:$G$503,Analysis!$J91,Tracker!$S$3:$S$503,Analysis!O$43))</f>
        <v/>
      </c>
      <c r="P91" s="44"/>
    </row>
    <row r="92" spans="2:16" x14ac:dyDescent="0.25">
      <c r="J92" t="str">
        <f t="array" ref="J92">IFERROR(INDEX(Tracker!$G$3:$G$503,MATCH(0,COUNTIF($J$43:J91,Tracker!$G$3:$G$503),0)),"")</f>
        <v/>
      </c>
      <c r="L92" t="str">
        <f>IF($J92="","",COUNTIF(Tracker!$G$3:$G$503,Analysis!$J92))</f>
        <v/>
      </c>
      <c r="M92" s="44" t="str">
        <f>IF($J92="","",COUNTIFS(Tracker!$G$3:$G$503,Analysis!$J92,Tracker!$S$3:$S$503,Analysis!M$43))</f>
        <v/>
      </c>
      <c r="N92" s="44" t="str">
        <f>IF($J92="","",COUNTIFS(Tracker!$G$3:$G$503,Analysis!$J92,Tracker!$S$3:$S$503,Analysis!N$43))</f>
        <v/>
      </c>
      <c r="O92" s="44" t="str">
        <f>IF($J92="","",COUNTIFS(Tracker!$G$3:$G$503,Analysis!$J92,Tracker!$S$3:$S$503,Analysis!O$43))</f>
        <v/>
      </c>
      <c r="P92" s="44"/>
    </row>
    <row r="94" spans="2:16" s="47" customFormat="1" x14ac:dyDescent="0.25"/>
    <row r="95" spans="2:16" ht="15.75" thickBot="1" x14ac:dyDescent="0.3"/>
    <row r="96" spans="2:16" ht="16.5" thickBot="1" x14ac:dyDescent="0.3">
      <c r="B96" s="48" t="s">
        <v>349</v>
      </c>
    </row>
    <row r="97" spans="2:5" ht="15.75" thickBot="1" x14ac:dyDescent="0.3"/>
    <row r="98" spans="2:5" x14ac:dyDescent="0.25">
      <c r="D98" s="12" t="s">
        <v>281</v>
      </c>
      <c r="E98" s="39">
        <f>COUNTA($B$44:$B$65)</f>
        <v>22</v>
      </c>
    </row>
    <row r="99" spans="2:5" x14ac:dyDescent="0.25">
      <c r="D99" s="13" t="s">
        <v>289</v>
      </c>
      <c r="E99" s="42">
        <f>$E$100/$E$98</f>
        <v>1</v>
      </c>
    </row>
    <row r="100" spans="2:5" x14ac:dyDescent="0.25">
      <c r="D100" s="13" t="s">
        <v>350</v>
      </c>
      <c r="E100" s="65">
        <f>COUNTIF(Tracker!$S$3:$S$503,"In Progress")</f>
        <v>22</v>
      </c>
    </row>
    <row r="101" spans="2:5" ht="15.75" thickBot="1" x14ac:dyDescent="0.3">
      <c r="D101" s="66" t="s">
        <v>362</v>
      </c>
      <c r="E101" s="67">
        <f>COUNTIF('Lawyers Data'!$D$3:$D$24,"Grade A")+COUNTIF('Lawyers Data'!$D$3:$D$24,"Grade B")</f>
        <v>10</v>
      </c>
    </row>
    <row r="106" spans="2:5" x14ac:dyDescent="0.25">
      <c r="B106" s="213" t="s">
        <v>351</v>
      </c>
      <c r="C106" s="213"/>
      <c r="D106" s="213"/>
      <c r="E106" s="213"/>
    </row>
    <row r="108" spans="2:5" x14ac:dyDescent="0.25">
      <c r="B108" s="17" t="s">
        <v>352</v>
      </c>
      <c r="C108" s="17" t="s">
        <v>277</v>
      </c>
      <c r="D108" s="17" t="s">
        <v>163</v>
      </c>
      <c r="E108" s="17" t="s">
        <v>20</v>
      </c>
    </row>
    <row r="109" spans="2:5" x14ac:dyDescent="0.25">
      <c r="B109" s="49" t="s">
        <v>354</v>
      </c>
      <c r="C109" s="55">
        <f>COUNTIF('Lawyers Data'!$D$3:$D$24,Analysis!$B109)</f>
        <v>3</v>
      </c>
      <c r="D109" s="55">
        <f>SUMIFS('Lawyers Data'!$J$3:$J$24,'Lawyers Data'!$D$3:$D$24,Analysis!$B109)</f>
        <v>1</v>
      </c>
      <c r="E109" s="50">
        <f>SUMIFS('Lawyers Data'!$I$3:$I$24,'Lawyers Data'!$D$3:$D$24,Analysis!$B109)</f>
        <v>59</v>
      </c>
    </row>
    <row r="110" spans="2:5" x14ac:dyDescent="0.25">
      <c r="B110" s="51" t="s">
        <v>355</v>
      </c>
      <c r="C110" s="20">
        <f>COUNTIF('Lawyers Data'!$D$3:$D$24,Analysis!$B110)</f>
        <v>7</v>
      </c>
      <c r="D110" s="20">
        <f>SUMIFS('Lawyers Data'!$J$3:$J$24,'Lawyers Data'!$D$3:$D$24,Analysis!$B110)</f>
        <v>9</v>
      </c>
      <c r="E110" s="52">
        <f>SUMIFS('Lawyers Data'!$I$3:$I$24,'Lawyers Data'!$D$3:$D$24,Analysis!$B110)</f>
        <v>138</v>
      </c>
    </row>
    <row r="111" spans="2:5" x14ac:dyDescent="0.25">
      <c r="B111" s="51" t="s">
        <v>356</v>
      </c>
      <c r="C111" s="20">
        <f>COUNTIF('Lawyers Data'!$D$3:$D$24,Analysis!$B111)</f>
        <v>4</v>
      </c>
      <c r="D111" s="20">
        <f>SUMIFS('Lawyers Data'!$J$3:$J$24,'Lawyers Data'!$D$3:$D$24,Analysis!$B111)</f>
        <v>5</v>
      </c>
      <c r="E111" s="52">
        <f>SUMIFS('Lawyers Data'!$I$3:$I$24,'Lawyers Data'!$D$3:$D$24,Analysis!$B111)</f>
        <v>90</v>
      </c>
    </row>
    <row r="112" spans="2:5" x14ac:dyDescent="0.25">
      <c r="B112" s="53" t="s">
        <v>357</v>
      </c>
      <c r="C112" s="56">
        <f>COUNTIF('Lawyers Data'!$D$3:$D$24,Analysis!$B112)</f>
        <v>8</v>
      </c>
      <c r="D112" s="56">
        <f>SUMIFS('Lawyers Data'!$J$3:$J$24,'Lawyers Data'!$D$3:$D$24,Analysis!$B112)</f>
        <v>7</v>
      </c>
      <c r="E112" s="54">
        <f>SUMIFS('Lawyers Data'!$I$3:$I$24,'Lawyers Data'!$D$3:$D$24,Analysis!$B112)</f>
        <v>155</v>
      </c>
    </row>
    <row r="115" spans="2:13" x14ac:dyDescent="0.25">
      <c r="B115" s="213" t="s">
        <v>360</v>
      </c>
      <c r="C115" s="213"/>
      <c r="D115" s="213"/>
      <c r="E115" s="213"/>
      <c r="F115" s="213"/>
      <c r="G115" s="213"/>
      <c r="H115" s="213"/>
    </row>
    <row r="117" spans="2:13" x14ac:dyDescent="0.25">
      <c r="B117" s="17" t="s">
        <v>352</v>
      </c>
      <c r="C117" s="17" t="s">
        <v>165</v>
      </c>
      <c r="D117" s="17" t="s">
        <v>353</v>
      </c>
      <c r="E117" s="17" t="s">
        <v>164</v>
      </c>
      <c r="F117" s="17" t="s">
        <v>358</v>
      </c>
      <c r="G117" s="17" t="s">
        <v>162</v>
      </c>
      <c r="H117" s="17" t="s">
        <v>359</v>
      </c>
    </row>
    <row r="118" spans="2:13" x14ac:dyDescent="0.25">
      <c r="B118" s="57" t="s">
        <v>354</v>
      </c>
      <c r="C118" s="58">
        <f>SUMIFS('Lawyers Data'!$L$3:$L$24,'Lawyers Data'!$D$3:$D$24,Analysis!$B118)</f>
        <v>18</v>
      </c>
      <c r="D118" s="59">
        <f>$C118/SUM($E$109:$E$112)</f>
        <v>4.072398190045249E-2</v>
      </c>
      <c r="E118" s="58">
        <f>SUMIFS('Lawyers Data'!$N$3:$N$24,'Lawyers Data'!$D$3:$D$24,Analysis!$B118)</f>
        <v>17</v>
      </c>
      <c r="F118" s="59">
        <f>$E118/SUM($E$109:$E$112)</f>
        <v>3.8461538461538464E-2</v>
      </c>
      <c r="G118" s="58">
        <f>SUMIFS('Lawyers Data'!$O$3:$O$24,'Lawyers Data'!$D$3:$D$24,Analysis!$B118)</f>
        <v>24</v>
      </c>
      <c r="H118" s="62">
        <f>$G118/SUM($E$109:$E$112)</f>
        <v>5.4298642533936653E-2</v>
      </c>
    </row>
    <row r="119" spans="2:13" x14ac:dyDescent="0.25">
      <c r="B119" s="51" t="s">
        <v>355</v>
      </c>
      <c r="C119" s="20">
        <f>SUMIFS('Lawyers Data'!$L$3:$L$24,'Lawyers Data'!$D$3:$D$24,Analysis!$B119)</f>
        <v>44</v>
      </c>
      <c r="D119" s="60">
        <f>$C119/SUM($E$109:$E$112)</f>
        <v>9.9547511312217188E-2</v>
      </c>
      <c r="E119" s="20">
        <f>SUMIFS('Lawyers Data'!$N$3:$N$24,'Lawyers Data'!$D$3:$D$24,Analysis!$B119)</f>
        <v>48</v>
      </c>
      <c r="F119" s="60">
        <f>$E119/SUM($E$109:$E$112)</f>
        <v>0.10859728506787331</v>
      </c>
      <c r="G119" s="20">
        <f>SUMIFS('Lawyers Data'!$O$3:$O$24,'Lawyers Data'!$D$3:$D$24,Analysis!$B119)</f>
        <v>46</v>
      </c>
      <c r="H119" s="63">
        <f>$G119/SUM($E$109:$E$112)</f>
        <v>0.10407239819004525</v>
      </c>
    </row>
    <row r="120" spans="2:13" x14ac:dyDescent="0.25">
      <c r="B120" s="51" t="s">
        <v>356</v>
      </c>
      <c r="C120" s="20">
        <f>SUMIFS('Lawyers Data'!$L$3:$L$24,'Lawyers Data'!$D$3:$D$24,Analysis!$B120)</f>
        <v>18</v>
      </c>
      <c r="D120" s="60">
        <f>$C120/SUM($E$109:$E$112)</f>
        <v>4.072398190045249E-2</v>
      </c>
      <c r="E120" s="20">
        <f>SUMIFS('Lawyers Data'!$N$3:$N$24,'Lawyers Data'!$D$3:$D$24,Analysis!$B120)</f>
        <v>38</v>
      </c>
      <c r="F120" s="60">
        <f>$E120/SUM($E$109:$E$112)</f>
        <v>8.5972850678733032E-2</v>
      </c>
      <c r="G120" s="20">
        <f>SUMIFS('Lawyers Data'!$O$3:$O$24,'Lawyers Data'!$D$3:$D$24,Analysis!$B120)</f>
        <v>34</v>
      </c>
      <c r="H120" s="63">
        <f>$G120/SUM($E$109:$E$112)</f>
        <v>7.6923076923076927E-2</v>
      </c>
    </row>
    <row r="121" spans="2:13" x14ac:dyDescent="0.25">
      <c r="B121" s="53" t="s">
        <v>357</v>
      </c>
      <c r="C121" s="56">
        <f>SUMIFS('Lawyers Data'!$L$3:$L$24,'Lawyers Data'!$D$3:$D$24,Analysis!$B121)</f>
        <v>59</v>
      </c>
      <c r="D121" s="61">
        <f>$C121/SUM($E$109:$E$112)</f>
        <v>0.1334841628959276</v>
      </c>
      <c r="E121" s="56">
        <f>SUMIFS('Lawyers Data'!$N$3:$N$24,'Lawyers Data'!$D$3:$D$24,Analysis!$B121)</f>
        <v>46</v>
      </c>
      <c r="F121" s="61">
        <f>$E121/SUM($E$109:$E$112)</f>
        <v>0.10407239819004525</v>
      </c>
      <c r="G121" s="56">
        <f>SUMIFS('Lawyers Data'!$O$3:$O$24,'Lawyers Data'!$D$3:$D$24,Analysis!$B121)</f>
        <v>50</v>
      </c>
      <c r="H121" s="64">
        <f>$G121/SUM($E$109:$E$112)</f>
        <v>0.11312217194570136</v>
      </c>
    </row>
    <row r="124" spans="2:13" x14ac:dyDescent="0.25">
      <c r="B124" s="213" t="s">
        <v>361</v>
      </c>
      <c r="C124" s="213"/>
      <c r="D124" s="213"/>
      <c r="F124" s="213" t="s">
        <v>363</v>
      </c>
      <c r="G124" s="213"/>
      <c r="H124" s="213"/>
      <c r="J124" s="213" t="s">
        <v>370</v>
      </c>
      <c r="K124" s="213"/>
      <c r="L124" s="213"/>
      <c r="M124" s="213"/>
    </row>
    <row r="126" spans="2:13" x14ac:dyDescent="0.25">
      <c r="B126" s="89" t="s">
        <v>349</v>
      </c>
      <c r="C126" s="123" t="s">
        <v>374</v>
      </c>
      <c r="D126" s="123" t="s">
        <v>375</v>
      </c>
      <c r="F126" s="17" t="s">
        <v>352</v>
      </c>
      <c r="G126" s="17" t="s">
        <v>364</v>
      </c>
      <c r="H126" s="17" t="s">
        <v>365</v>
      </c>
      <c r="J126" s="17" t="s">
        <v>352</v>
      </c>
      <c r="K126" s="17" t="s">
        <v>368</v>
      </c>
      <c r="L126" s="17" t="s">
        <v>369</v>
      </c>
      <c r="M126" s="17" t="s">
        <v>284</v>
      </c>
    </row>
    <row r="127" spans="2:13" x14ac:dyDescent="0.25">
      <c r="B127" s="125" t="s">
        <v>18</v>
      </c>
      <c r="C127" s="74">
        <f>COUNTIF(Tracker!$R$3:$R$503,Analysis!$B127)</f>
        <v>27</v>
      </c>
      <c r="D127" s="124">
        <f ca="1">AVERAGEIFS(Tracker!$W$3:$W$503,Tracker!$R$3:$R$503,Analysis!$B127)</f>
        <v>303.85185185185185</v>
      </c>
      <c r="F127" s="57" t="s">
        <v>354</v>
      </c>
      <c r="G127" s="58">
        <f>SUMIFS('Lawyers Data'!$H$3:$H$24,'Lawyers Data'!$D$3:$D$24,Analysis!$F127)</f>
        <v>71</v>
      </c>
      <c r="H127" s="59">
        <f>$G127/SUM($G$127:$G$130)</f>
        <v>0.14171656686626746</v>
      </c>
      <c r="J127" s="57" t="s">
        <v>354</v>
      </c>
      <c r="K127" s="58">
        <f>COUNTIFS('Lawyers Data'!$P$3:$P$24,K$126,'Lawyers Data'!$D$3:$D$24,Analysis!$J127)</f>
        <v>2</v>
      </c>
      <c r="L127" s="70">
        <f>COUNTIFS('Lawyers Data'!$P$3:$P$24,L$126,'Lawyers Data'!$D$3:$D$24,Analysis!$J127)</f>
        <v>1</v>
      </c>
      <c r="M127">
        <f>$K127+$L127</f>
        <v>3</v>
      </c>
    </row>
    <row r="128" spans="2:13" x14ac:dyDescent="0.25">
      <c r="B128" s="125" t="s">
        <v>19</v>
      </c>
      <c r="C128" s="74">
        <f>COUNTIF(Tracker!$R$3:$R$503,Analysis!$B128)</f>
        <v>27</v>
      </c>
      <c r="D128" s="124">
        <f ca="1">AVERAGEIFS(Tracker!$W$3:$W$503,Tracker!$R$3:$R$503,Analysis!$B128)</f>
        <v>281.81481481481484</v>
      </c>
      <c r="F128" s="51" t="s">
        <v>355</v>
      </c>
      <c r="G128" s="20">
        <f>SUMIFS('Lawyers Data'!$H$3:$H$24,'Lawyers Data'!$D$3:$D$24,Analysis!$F128)</f>
        <v>154</v>
      </c>
      <c r="H128" s="60">
        <f>$G128/SUM($G$127:$G$130)</f>
        <v>0.30738522954091818</v>
      </c>
      <c r="J128" s="51" t="s">
        <v>355</v>
      </c>
      <c r="K128" s="20">
        <f>COUNTIFS('Lawyers Data'!$P$3:$P$24,K$126,'Lawyers Data'!$D$3:$D$24,Analysis!$J128)</f>
        <v>5</v>
      </c>
      <c r="L128" s="71">
        <f>COUNTIFS('Lawyers Data'!$P$3:$P$24,L$126,'Lawyers Data'!$D$3:$D$24,Analysis!$J128)</f>
        <v>2</v>
      </c>
      <c r="M128">
        <f>$K128+$L128</f>
        <v>7</v>
      </c>
    </row>
    <row r="129" spans="2:14" x14ac:dyDescent="0.25">
      <c r="B129" s="126" t="s">
        <v>41</v>
      </c>
      <c r="C129" s="74">
        <f>COUNTIF(Tracker!$R$3:$R$503,Analysis!$B129)</f>
        <v>27</v>
      </c>
      <c r="D129" s="124">
        <f ca="1">AVERAGEIFS(Tracker!$W$3:$W$503,Tracker!$R$3:$R$503,Analysis!$B129)</f>
        <v>236</v>
      </c>
      <c r="F129" s="51" t="s">
        <v>356</v>
      </c>
      <c r="G129" s="20">
        <f>SUMIFS('Lawyers Data'!$H$3:$H$24,'Lawyers Data'!$D$3:$D$24,Analysis!$F129)</f>
        <v>103</v>
      </c>
      <c r="H129" s="60">
        <f>$G129/SUM($G$127:$G$130)</f>
        <v>0.20558882235528941</v>
      </c>
      <c r="J129" s="51" t="s">
        <v>356</v>
      </c>
      <c r="K129" s="20">
        <f>COUNTIFS('Lawyers Data'!$P$3:$P$24,K$126,'Lawyers Data'!$D$3:$D$24,Analysis!$J129)</f>
        <v>3</v>
      </c>
      <c r="L129" s="71">
        <f>COUNTIFS('Lawyers Data'!$P$3:$P$24,L$126,'Lawyers Data'!$D$3:$D$24,Analysis!$J129)</f>
        <v>1</v>
      </c>
      <c r="M129">
        <f>$K129+$L129</f>
        <v>4</v>
      </c>
    </row>
    <row r="130" spans="2:14" x14ac:dyDescent="0.25">
      <c r="B130" s="126" t="s">
        <v>42</v>
      </c>
      <c r="C130" s="74">
        <f>COUNTIF(Tracker!$R$3:$R$503,Analysis!$B130)</f>
        <v>27</v>
      </c>
      <c r="D130" s="124">
        <f ca="1">AVERAGEIFS(Tracker!$W$3:$W$503,Tracker!$R$3:$R$503,Analysis!$B130)</f>
        <v>213.2962962962963</v>
      </c>
      <c r="F130" s="53" t="s">
        <v>357</v>
      </c>
      <c r="G130" s="56">
        <f>SUMIFS('Lawyers Data'!$H$3:$H$24,'Lawyers Data'!$D$3:$D$24,Analysis!$F130)</f>
        <v>173</v>
      </c>
      <c r="H130" s="61">
        <f>$G130/SUM($G$127:$G$130)</f>
        <v>0.34530938123752497</v>
      </c>
      <c r="J130" s="53" t="s">
        <v>357</v>
      </c>
      <c r="K130" s="56">
        <f>COUNTIFS('Lawyers Data'!$P$3:$P$24,K$126,'Lawyers Data'!$D$3:$D$24,Analysis!$J130)</f>
        <v>6</v>
      </c>
      <c r="L130" s="72">
        <f>COUNTIFS('Lawyers Data'!$P$3:$P$24,L$126,'Lawyers Data'!$D$3:$D$24,Analysis!$J130)</f>
        <v>2</v>
      </c>
      <c r="M130">
        <f>$K130+$L130</f>
        <v>8</v>
      </c>
    </row>
    <row r="131" spans="2:14" x14ac:dyDescent="0.25">
      <c r="B131" s="126" t="s">
        <v>43</v>
      </c>
      <c r="C131" s="74">
        <f>COUNTIF(Tracker!$R$3:$R$503,Analysis!$B131)</f>
        <v>32</v>
      </c>
      <c r="D131" s="124">
        <f ca="1">AVERAGEIFS(Tracker!$W$3:$W$503,Tracker!$R$3:$R$503,Analysis!$B131)</f>
        <v>228.28125</v>
      </c>
    </row>
    <row r="132" spans="2:14" x14ac:dyDescent="0.25">
      <c r="B132" s="126" t="s">
        <v>44</v>
      </c>
      <c r="C132" s="74">
        <f>COUNTIF(Tracker!$R$3:$R$503,Analysis!$B132)</f>
        <v>32</v>
      </c>
      <c r="D132" s="124">
        <f ca="1">AVERAGEIFS(Tracker!$W$3:$W$503,Tracker!$R$3:$R$503,Analysis!$B132)</f>
        <v>210.4375</v>
      </c>
    </row>
    <row r="133" spans="2:14" x14ac:dyDescent="0.25">
      <c r="B133" s="126" t="s">
        <v>45</v>
      </c>
      <c r="C133" s="74">
        <f>COUNTIF(Tracker!$R$3:$R$503,Analysis!$B133)</f>
        <v>32</v>
      </c>
      <c r="D133" s="124">
        <f ca="1">AVERAGEIFS(Tracker!$W$3:$W$503,Tracker!$R$3:$R$503,Analysis!$B133)</f>
        <v>253.8125</v>
      </c>
      <c r="F133" s="213" t="s">
        <v>378</v>
      </c>
      <c r="G133" s="213"/>
      <c r="H133" s="213"/>
      <c r="I133" s="213"/>
      <c r="K133" s="213" t="s">
        <v>379</v>
      </c>
      <c r="L133" s="213"/>
      <c r="M133" s="213"/>
      <c r="N133" s="213"/>
    </row>
    <row r="134" spans="2:14" x14ac:dyDescent="0.25">
      <c r="B134" s="126" t="s">
        <v>46</v>
      </c>
      <c r="C134" s="74">
        <f>COUNTIF(Tracker!$R$3:$R$503,Analysis!$B134)</f>
        <v>27</v>
      </c>
      <c r="D134" s="124">
        <f ca="1">AVERAGEIFS(Tracker!$W$3:$W$503,Tracker!$R$3:$R$503,Analysis!$B134)</f>
        <v>260.14814814814815</v>
      </c>
      <c r="F134" s="44">
        <f>'Lawyers Dashboard'!$Q$12</f>
        <v>2021</v>
      </c>
      <c r="G134" s="44" t="str">
        <f>'Lawyers Dashboard'!$Y$12</f>
        <v>Jun</v>
      </c>
    </row>
    <row r="135" spans="2:14" x14ac:dyDescent="0.25">
      <c r="B135" s="126" t="s">
        <v>47</v>
      </c>
      <c r="C135" s="74">
        <f>COUNTIF(Tracker!$R$3:$R$503,Analysis!$B135)</f>
        <v>22</v>
      </c>
      <c r="D135" s="124">
        <f ca="1">AVERAGEIFS(Tracker!$W$3:$W$503,Tracker!$R$3:$R$503,Analysis!$B135)</f>
        <v>236</v>
      </c>
      <c r="F135" s="17" t="s">
        <v>349</v>
      </c>
      <c r="G135" s="46" t="s">
        <v>380</v>
      </c>
      <c r="H135" s="46" t="s">
        <v>376</v>
      </c>
      <c r="I135" s="46" t="s">
        <v>377</v>
      </c>
      <c r="K135" s="17" t="s">
        <v>349</v>
      </c>
      <c r="L135" s="46" t="s">
        <v>380</v>
      </c>
      <c r="M135" s="46" t="s">
        <v>376</v>
      </c>
      <c r="N135" s="46" t="s">
        <v>377</v>
      </c>
    </row>
    <row r="136" spans="2:14" ht="15.75" x14ac:dyDescent="0.25">
      <c r="B136" s="126" t="s">
        <v>48</v>
      </c>
      <c r="C136" s="74">
        <f>COUNTIF(Tracker!$R$3:$R$503,Analysis!$B136)</f>
        <v>28</v>
      </c>
      <c r="D136" s="124">
        <f ca="1">AVERAGEIFS(Tracker!$W$3:$W$503,Tracker!$R$3:$R$503,Analysis!$B136)</f>
        <v>252.42857142857142</v>
      </c>
      <c r="F136" s="68" t="s">
        <v>18</v>
      </c>
      <c r="G136" s="74">
        <f>COUNTIFS(Tracker!$R$3:$R$503,Analysis!$F136,Tracker!$I$3:$I$503,Analysis!$F$134,Tracker!$J$3:$J$503,Analysis!$G$134)</f>
        <v>1</v>
      </c>
      <c r="H136" s="74">
        <f>COUNTIFS(Tracker!$P$3:$P$503,"Won",Tracker!$R$3:$R$503,Analysis!$F136,Tracker!$U$3:$U$503,Analysis!$F$134,Tracker!$V$3:$V$503,Analysis!$G$134)</f>
        <v>1</v>
      </c>
      <c r="I136" s="74">
        <f>COUNTIFS(Tracker!$P$3:$P$503,"Lost",Tracker!$R$3:$R$503,Analysis!$F136,Tracker!$U$3:$U$503,Analysis!$F$134,Tracker!$V$3:$V$503,Analysis!$G$134)</f>
        <v>1</v>
      </c>
      <c r="J136" s="15" t="s">
        <v>326</v>
      </c>
      <c r="K136" s="138" t="s">
        <v>18</v>
      </c>
      <c r="L136" s="136">
        <f>COUNTIFS(Tracker!$R$3:$R$503,Analysis!$K136,Tracker!$I$3:$I$503,Analysis!$F$134)</f>
        <v>7</v>
      </c>
      <c r="M136" s="136">
        <f>COUNTIFS(Tracker!$P$3:$P$503,"Won",Tracker!$R$3:$R$503,Analysis!$K136,Tracker!$U$3:$U$503,Analysis!$F$134)</f>
        <v>2</v>
      </c>
      <c r="N136" s="131">
        <f>COUNTIFS(Tracker!$P$3:$P$503,"Lost",Tracker!$R$3:$R$503,Analysis!$K136,Tracker!$U$3:$U$503,Analysis!$F$134)</f>
        <v>2</v>
      </c>
    </row>
    <row r="137" spans="2:14" ht="15.75" x14ac:dyDescent="0.25">
      <c r="B137" s="126" t="s">
        <v>49</v>
      </c>
      <c r="C137" s="74">
        <f>COUNTIF(Tracker!$R$3:$R$503,Analysis!$B137)</f>
        <v>28</v>
      </c>
      <c r="D137" s="124">
        <f ca="1">AVERAGEIFS(Tracker!$W$3:$W$503,Tracker!$R$3:$R$503,Analysis!$B137)</f>
        <v>256.71428571428572</v>
      </c>
      <c r="F137" s="68" t="s">
        <v>19</v>
      </c>
      <c r="G137" s="74">
        <f>COUNTIFS(Tracker!$R$3:$R$503,Analysis!$F137,Tracker!$I$3:$I$503,Analysis!$F$134,Tracker!$J$3:$J$503,Analysis!$G$134)</f>
        <v>1</v>
      </c>
      <c r="H137" s="74">
        <f>COUNTIFS(Tracker!$P$3:$P$503,"Won",Tracker!$R$3:$R$503,Analysis!$F137,Tracker!$U$3:$U$503,Analysis!$F$134,Tracker!$V$3:$V$503,Analysis!$G$134)</f>
        <v>0</v>
      </c>
      <c r="I137" s="74">
        <f>COUNTIFS(Tracker!$P$3:$P$503,"Lost",Tracker!$R$3:$R$503,Analysis!$F137,Tracker!$U$3:$U$503,Analysis!$F$134,Tracker!$V$3:$V$503,Analysis!$G$134)</f>
        <v>0</v>
      </c>
      <c r="J137" s="15"/>
      <c r="K137" s="138" t="s">
        <v>19</v>
      </c>
      <c r="L137" s="136">
        <f>COUNTIFS(Tracker!$R$3:$R$503,Analysis!$K137,Tracker!$I$3:$I$503,Analysis!$F$134)</f>
        <v>7</v>
      </c>
      <c r="M137" s="136">
        <f>COUNTIFS(Tracker!$P$3:$P$503,"Won",Tracker!$R$3:$R$503,Analysis!$K137,Tracker!$U$3:$U$503,Analysis!$F$134)</f>
        <v>2</v>
      </c>
      <c r="N137" s="131">
        <f>COUNTIFS(Tracker!$P$3:$P$503,"Lost",Tracker!$R$3:$R$503,Analysis!$K137,Tracker!$U$3:$U$503,Analysis!$F$134)</f>
        <v>1</v>
      </c>
    </row>
    <row r="138" spans="2:14" ht="15.75" x14ac:dyDescent="0.25">
      <c r="B138" s="126" t="s">
        <v>50</v>
      </c>
      <c r="C138" s="74">
        <f>COUNTIF(Tracker!$R$3:$R$503,Analysis!$B138)</f>
        <v>28</v>
      </c>
      <c r="D138" s="124">
        <f ca="1">AVERAGEIFS(Tracker!$W$3:$W$503,Tracker!$R$3:$R$503,Analysis!$B138)</f>
        <v>280.57142857142856</v>
      </c>
      <c r="F138" s="69" t="s">
        <v>41</v>
      </c>
      <c r="G138" s="74">
        <f>COUNTIFS(Tracker!$R$3:$R$503,Analysis!$F138,Tracker!$I$3:$I$503,Analysis!$F$134,Tracker!$J$3:$J$503,Analysis!$G$134)</f>
        <v>1</v>
      </c>
      <c r="H138" s="74">
        <f>COUNTIFS(Tracker!$P$3:$P$503,"Won",Tracker!$R$3:$R$503,Analysis!$F138,Tracker!$U$3:$U$503,Analysis!$F$134,Tracker!$V$3:$V$503,Analysis!$G$134)</f>
        <v>0</v>
      </c>
      <c r="I138" s="74">
        <f>COUNTIFS(Tracker!$P$3:$P$503,"Lost",Tracker!$R$3:$R$503,Analysis!$F138,Tracker!$U$3:$U$503,Analysis!$F$134,Tracker!$V$3:$V$503,Analysis!$G$134)</f>
        <v>0</v>
      </c>
      <c r="J138" s="15"/>
      <c r="K138" s="139" t="s">
        <v>41</v>
      </c>
      <c r="L138" s="136">
        <f>COUNTIFS(Tracker!$R$3:$R$503,Analysis!$K138,Tracker!$I$3:$I$503,Analysis!$F$134)</f>
        <v>7</v>
      </c>
      <c r="M138" s="136">
        <f>COUNTIFS(Tracker!$P$3:$P$503,"Won",Tracker!$R$3:$R$503,Analysis!$K138,Tracker!$U$3:$U$503,Analysis!$F$134)</f>
        <v>0</v>
      </c>
      <c r="N138" s="131">
        <f>COUNTIFS(Tracker!$P$3:$P$503,"Lost",Tracker!$R$3:$R$503,Analysis!$K138,Tracker!$U$3:$U$503,Analysis!$F$134)</f>
        <v>3</v>
      </c>
    </row>
    <row r="139" spans="2:14" ht="15.75" x14ac:dyDescent="0.25">
      <c r="B139" s="126" t="s">
        <v>51</v>
      </c>
      <c r="C139" s="74">
        <f>COUNTIF(Tracker!$R$3:$R$503,Analysis!$B139)</f>
        <v>23</v>
      </c>
      <c r="D139" s="124">
        <f ca="1">AVERAGEIFS(Tracker!$W$3:$W$503,Tracker!$R$3:$R$503,Analysis!$B139)</f>
        <v>307.82608695652175</v>
      </c>
      <c r="F139" s="69" t="s">
        <v>42</v>
      </c>
      <c r="G139" s="74">
        <f>COUNTIFS(Tracker!$R$3:$R$503,Analysis!$F139,Tracker!$I$3:$I$503,Analysis!$F$134,Tracker!$J$3:$J$503,Analysis!$G$134)</f>
        <v>1</v>
      </c>
      <c r="H139" s="74">
        <f>COUNTIFS(Tracker!$P$3:$P$503,"Won",Tracker!$R$3:$R$503,Analysis!$F139,Tracker!$U$3:$U$503,Analysis!$F$134,Tracker!$V$3:$V$503,Analysis!$G$134)</f>
        <v>0</v>
      </c>
      <c r="I139" s="74">
        <f>COUNTIFS(Tracker!$P$3:$P$503,"Lost",Tracker!$R$3:$R$503,Analysis!$F139,Tracker!$U$3:$U$503,Analysis!$F$134,Tracker!$V$3:$V$503,Analysis!$G$134)</f>
        <v>0</v>
      </c>
      <c r="J139" s="15"/>
      <c r="K139" s="139" t="s">
        <v>42</v>
      </c>
      <c r="L139" s="136">
        <f>COUNTIFS(Tracker!$R$3:$R$503,Analysis!$K139,Tracker!$I$3:$I$503,Analysis!$F$134)</f>
        <v>7</v>
      </c>
      <c r="M139" s="136">
        <f>COUNTIFS(Tracker!$P$3:$P$503,"Won",Tracker!$R$3:$R$503,Analysis!$K139,Tracker!$U$3:$U$503,Analysis!$F$134)</f>
        <v>3</v>
      </c>
      <c r="N139" s="131">
        <f>COUNTIFS(Tracker!$P$3:$P$503,"Lost",Tracker!$R$3:$R$503,Analysis!$K139,Tracker!$U$3:$U$503,Analysis!$F$134)</f>
        <v>4</v>
      </c>
    </row>
    <row r="140" spans="2:14" ht="15.75" x14ac:dyDescent="0.25">
      <c r="B140" s="126" t="s">
        <v>52</v>
      </c>
      <c r="C140" s="74">
        <f>COUNTIF(Tracker!$R$3:$R$503,Analysis!$B140)</f>
        <v>17</v>
      </c>
      <c r="D140" s="124">
        <f ca="1">AVERAGEIFS(Tracker!$W$3:$W$503,Tracker!$R$3:$R$503,Analysis!$B140)</f>
        <v>280</v>
      </c>
      <c r="F140" s="69" t="s">
        <v>43</v>
      </c>
      <c r="G140" s="74">
        <f>COUNTIFS(Tracker!$R$3:$R$503,Analysis!$F140,Tracker!$I$3:$I$503,Analysis!$F$134,Tracker!$J$3:$J$503,Analysis!$G$134)</f>
        <v>1</v>
      </c>
      <c r="H140" s="74">
        <f>COUNTIFS(Tracker!$P$3:$P$503,"Won",Tracker!$R$3:$R$503,Analysis!$F140,Tracker!$U$3:$U$503,Analysis!$F$134,Tracker!$V$3:$V$503,Analysis!$G$134)</f>
        <v>0</v>
      </c>
      <c r="I140" s="74">
        <f>COUNTIFS(Tracker!$P$3:$P$503,"Lost",Tracker!$R$3:$R$503,Analysis!$F140,Tracker!$U$3:$U$503,Analysis!$F$134,Tracker!$V$3:$V$503,Analysis!$G$134)</f>
        <v>0</v>
      </c>
      <c r="J140" s="15"/>
      <c r="K140" s="139" t="s">
        <v>43</v>
      </c>
      <c r="L140" s="136">
        <f>COUNTIFS(Tracker!$R$3:$R$503,Analysis!$K140,Tracker!$I$3:$I$503,Analysis!$F$134)</f>
        <v>8</v>
      </c>
      <c r="M140" s="136">
        <f>COUNTIFS(Tracker!$P$3:$P$503,"Won",Tracker!$R$3:$R$503,Analysis!$K140,Tracker!$U$3:$U$503,Analysis!$F$134)</f>
        <v>1</v>
      </c>
      <c r="N140" s="131">
        <f>COUNTIFS(Tracker!$P$3:$P$503,"Lost",Tracker!$R$3:$R$503,Analysis!$K140,Tracker!$U$3:$U$503,Analysis!$F$134)</f>
        <v>2</v>
      </c>
    </row>
    <row r="141" spans="2:14" ht="15.75" x14ac:dyDescent="0.25">
      <c r="B141" s="126" t="s">
        <v>53</v>
      </c>
      <c r="C141" s="74">
        <f>COUNTIF(Tracker!$R$3:$R$503,Analysis!$B141)</f>
        <v>17</v>
      </c>
      <c r="D141" s="124">
        <f ca="1">AVERAGEIFS(Tracker!$W$3:$W$503,Tracker!$R$3:$R$503,Analysis!$B141)</f>
        <v>245.64705882352942</v>
      </c>
      <c r="F141" s="69" t="s">
        <v>44</v>
      </c>
      <c r="G141" s="74">
        <f>COUNTIFS(Tracker!$R$3:$R$503,Analysis!$F141,Tracker!$I$3:$I$503,Analysis!$F$134,Tracker!$J$3:$J$503,Analysis!$G$134)</f>
        <v>0</v>
      </c>
      <c r="H141" s="74">
        <f>COUNTIFS(Tracker!$P$3:$P$503,"Won",Tracker!$R$3:$R$503,Analysis!$F141,Tracker!$U$3:$U$503,Analysis!$F$134,Tracker!$V$3:$V$503,Analysis!$G$134)</f>
        <v>0</v>
      </c>
      <c r="I141" s="74">
        <f>COUNTIFS(Tracker!$P$3:$P$503,"Lost",Tracker!$R$3:$R$503,Analysis!$F141,Tracker!$U$3:$U$503,Analysis!$F$134,Tracker!$V$3:$V$503,Analysis!$G$134)</f>
        <v>1</v>
      </c>
      <c r="J141" s="15"/>
      <c r="K141" s="139" t="s">
        <v>44</v>
      </c>
      <c r="L141" s="136">
        <f>COUNTIFS(Tracker!$R$3:$R$503,Analysis!$K141,Tracker!$I$3:$I$503,Analysis!$F$134)</f>
        <v>8</v>
      </c>
      <c r="M141" s="136">
        <f>COUNTIFS(Tracker!$P$3:$P$503,"Won",Tracker!$R$3:$R$503,Analysis!$K141,Tracker!$U$3:$U$503,Analysis!$F$134)</f>
        <v>1</v>
      </c>
      <c r="N141" s="131">
        <f>COUNTIFS(Tracker!$P$3:$P$503,"Lost",Tracker!$R$3:$R$503,Analysis!$K141,Tracker!$U$3:$U$503,Analysis!$F$134)</f>
        <v>4</v>
      </c>
    </row>
    <row r="142" spans="2:14" ht="15.75" x14ac:dyDescent="0.25">
      <c r="B142" s="126" t="s">
        <v>54</v>
      </c>
      <c r="C142" s="74">
        <f>COUNTIF(Tracker!$R$3:$R$503,Analysis!$B142)</f>
        <v>17</v>
      </c>
      <c r="D142" s="124">
        <f ca="1">AVERAGEIFS(Tracker!$W$3:$W$503,Tracker!$R$3:$R$503,Analysis!$B142)</f>
        <v>232.1764705882353</v>
      </c>
      <c r="F142" s="69" t="s">
        <v>45</v>
      </c>
      <c r="G142" s="74">
        <f>COUNTIFS(Tracker!$R$3:$R$503,Analysis!$F142,Tracker!$I$3:$I$503,Analysis!$F$134,Tracker!$J$3:$J$503,Analysis!$G$134)</f>
        <v>0</v>
      </c>
      <c r="H142" s="74">
        <f>COUNTIFS(Tracker!$P$3:$P$503,"Won",Tracker!$R$3:$R$503,Analysis!$F142,Tracker!$U$3:$U$503,Analysis!$F$134,Tracker!$V$3:$V$503,Analysis!$G$134)</f>
        <v>1</v>
      </c>
      <c r="I142" s="74">
        <f>COUNTIFS(Tracker!$P$3:$P$503,"Lost",Tracker!$R$3:$R$503,Analysis!$F142,Tracker!$U$3:$U$503,Analysis!$F$134,Tracker!$V$3:$V$503,Analysis!$G$134)</f>
        <v>0</v>
      </c>
      <c r="J142" s="15"/>
      <c r="K142" s="139" t="s">
        <v>45</v>
      </c>
      <c r="L142" s="136">
        <f>COUNTIFS(Tracker!$R$3:$R$503,Analysis!$K142,Tracker!$I$3:$I$503,Analysis!$F$134)</f>
        <v>8</v>
      </c>
      <c r="M142" s="136">
        <f>COUNTIFS(Tracker!$P$3:$P$503,"Won",Tracker!$R$3:$R$503,Analysis!$K142,Tracker!$U$3:$U$503,Analysis!$F$134)</f>
        <v>3</v>
      </c>
      <c r="N142" s="131">
        <f>COUNTIFS(Tracker!$P$3:$P$503,"Lost",Tracker!$R$3:$R$503,Analysis!$K142,Tracker!$U$3:$U$503,Analysis!$F$134)</f>
        <v>0</v>
      </c>
    </row>
    <row r="143" spans="2:14" ht="15.75" x14ac:dyDescent="0.25">
      <c r="B143" s="126" t="s">
        <v>38</v>
      </c>
      <c r="C143" s="74">
        <f>COUNTIF(Tracker!$R$3:$R$503,Analysis!$B143)</f>
        <v>17</v>
      </c>
      <c r="D143" s="124">
        <f ca="1">AVERAGEIFS(Tracker!$W$3:$W$503,Tracker!$R$3:$R$503,Analysis!$B143)</f>
        <v>186.64705882352942</v>
      </c>
      <c r="F143" s="69" t="s">
        <v>46</v>
      </c>
      <c r="G143" s="74">
        <f>COUNTIFS(Tracker!$R$3:$R$503,Analysis!$F143,Tracker!$I$3:$I$503,Analysis!$F$134,Tracker!$J$3:$J$503,Analysis!$G$134)</f>
        <v>0</v>
      </c>
      <c r="H143" s="74">
        <f>COUNTIFS(Tracker!$P$3:$P$503,"Won",Tracker!$R$3:$R$503,Analysis!$F143,Tracker!$U$3:$U$503,Analysis!$F$134,Tracker!$V$3:$V$503,Analysis!$G$134)</f>
        <v>2</v>
      </c>
      <c r="I143" s="74">
        <f>COUNTIFS(Tracker!$P$3:$P$503,"Lost",Tracker!$R$3:$R$503,Analysis!$F143,Tracker!$U$3:$U$503,Analysis!$F$134,Tracker!$V$3:$V$503,Analysis!$G$134)</f>
        <v>0</v>
      </c>
      <c r="J143" s="15"/>
      <c r="K143" s="139" t="s">
        <v>46</v>
      </c>
      <c r="L143" s="136">
        <f>COUNTIFS(Tracker!$R$3:$R$503,Analysis!$K143,Tracker!$I$3:$I$503,Analysis!$F$134)</f>
        <v>5</v>
      </c>
      <c r="M143" s="136">
        <f>COUNTIFS(Tracker!$P$3:$P$503,"Won",Tracker!$R$3:$R$503,Analysis!$K143,Tracker!$U$3:$U$503,Analysis!$F$134)</f>
        <v>5</v>
      </c>
      <c r="N143" s="131">
        <f>COUNTIFS(Tracker!$P$3:$P$503,"Lost",Tracker!$R$3:$R$503,Analysis!$K143,Tracker!$U$3:$U$503,Analysis!$F$134)</f>
        <v>0</v>
      </c>
    </row>
    <row r="144" spans="2:14" ht="15.75" x14ac:dyDescent="0.25">
      <c r="B144" s="126" t="s">
        <v>40</v>
      </c>
      <c r="C144" s="74">
        <f>COUNTIF(Tracker!$R$3:$R$503,Analysis!$B144)</f>
        <v>17</v>
      </c>
      <c r="D144" s="124">
        <f ca="1">AVERAGEIFS(Tracker!$W$3:$W$503,Tracker!$R$3:$R$503,Analysis!$B144)</f>
        <v>215.88235294117646</v>
      </c>
      <c r="F144" s="69" t="s">
        <v>47</v>
      </c>
      <c r="G144" s="74">
        <f>COUNTIFS(Tracker!$R$3:$R$503,Analysis!$F144,Tracker!$I$3:$I$503,Analysis!$F$134,Tracker!$J$3:$J$503,Analysis!$G$134)</f>
        <v>0</v>
      </c>
      <c r="H144" s="74">
        <f>COUNTIFS(Tracker!$P$3:$P$503,"Won",Tracker!$R$3:$R$503,Analysis!$F144,Tracker!$U$3:$U$503,Analysis!$F$134,Tracker!$V$3:$V$503,Analysis!$G$134)</f>
        <v>0</v>
      </c>
      <c r="I144" s="74">
        <f>COUNTIFS(Tracker!$P$3:$P$503,"Lost",Tracker!$R$3:$R$503,Analysis!$F144,Tracker!$U$3:$U$503,Analysis!$F$134,Tracker!$V$3:$V$503,Analysis!$G$134)</f>
        <v>0</v>
      </c>
      <c r="J144" s="15"/>
      <c r="K144" s="139" t="s">
        <v>47</v>
      </c>
      <c r="L144" s="136">
        <f>COUNTIFS(Tracker!$R$3:$R$503,Analysis!$K144,Tracker!$I$3:$I$503,Analysis!$F$134)</f>
        <v>4</v>
      </c>
      <c r="M144" s="136">
        <f>COUNTIFS(Tracker!$P$3:$P$503,"Won",Tracker!$R$3:$R$503,Analysis!$K144,Tracker!$U$3:$U$503,Analysis!$F$134)</f>
        <v>2</v>
      </c>
      <c r="N144" s="131">
        <f>COUNTIFS(Tracker!$P$3:$P$503,"Lost",Tracker!$R$3:$R$503,Analysis!$K144,Tracker!$U$3:$U$503,Analysis!$F$134)</f>
        <v>1</v>
      </c>
    </row>
    <row r="145" spans="2:21" ht="15.75" x14ac:dyDescent="0.25">
      <c r="B145" s="126" t="s">
        <v>34</v>
      </c>
      <c r="C145" s="74">
        <f>COUNTIF(Tracker!$R$3:$R$503,Analysis!$B145)</f>
        <v>12</v>
      </c>
      <c r="D145" s="124">
        <f ca="1">AVERAGEIFS(Tracker!$W$3:$W$503,Tracker!$R$3:$R$503,Analysis!$B145)</f>
        <v>177.08333333333334</v>
      </c>
      <c r="F145" s="69" t="s">
        <v>48</v>
      </c>
      <c r="G145" s="74">
        <f>COUNTIFS(Tracker!$R$3:$R$503,Analysis!$F145,Tracker!$I$3:$I$503,Analysis!$F$134,Tracker!$J$3:$J$503,Analysis!$G$134)</f>
        <v>0</v>
      </c>
      <c r="H145" s="74">
        <f>COUNTIFS(Tracker!$P$3:$P$503,"Won",Tracker!$R$3:$R$503,Analysis!$F145,Tracker!$U$3:$U$503,Analysis!$F$134,Tracker!$V$3:$V$503,Analysis!$G$134)</f>
        <v>0</v>
      </c>
      <c r="I145" s="74">
        <f>COUNTIFS(Tracker!$P$3:$P$503,"Lost",Tracker!$R$3:$R$503,Analysis!$F145,Tracker!$U$3:$U$503,Analysis!$F$134,Tracker!$V$3:$V$503,Analysis!$G$134)</f>
        <v>0</v>
      </c>
      <c r="J145" s="15"/>
      <c r="K145" s="139" t="s">
        <v>48</v>
      </c>
      <c r="L145" s="136">
        <f>COUNTIFS(Tracker!$R$3:$R$503,Analysis!$K145,Tracker!$I$3:$I$503,Analysis!$F$134)</f>
        <v>6</v>
      </c>
      <c r="M145" s="136">
        <f>COUNTIFS(Tracker!$P$3:$P$503,"Won",Tracker!$R$3:$R$503,Analysis!$K145,Tracker!$U$3:$U$503,Analysis!$F$134)</f>
        <v>3</v>
      </c>
      <c r="N145" s="131">
        <f>COUNTIFS(Tracker!$P$3:$P$503,"Lost",Tracker!$R$3:$R$503,Analysis!$K145,Tracker!$U$3:$U$503,Analysis!$F$134)</f>
        <v>1</v>
      </c>
    </row>
    <row r="146" spans="2:21" ht="15.75" x14ac:dyDescent="0.25">
      <c r="B146" s="126" t="s">
        <v>35</v>
      </c>
      <c r="C146" s="74">
        <f>COUNTIF(Tracker!$R$3:$R$503,Analysis!$B146)</f>
        <v>12</v>
      </c>
      <c r="D146" s="124">
        <f ca="1">AVERAGEIFS(Tracker!$W$3:$W$503,Tracker!$R$3:$R$503,Analysis!$B146)</f>
        <v>313</v>
      </c>
      <c r="F146" s="69" t="s">
        <v>49</v>
      </c>
      <c r="G146" s="74">
        <f>COUNTIFS(Tracker!$R$3:$R$503,Analysis!$F146,Tracker!$I$3:$I$503,Analysis!$F$134,Tracker!$J$3:$J$503,Analysis!$G$134)</f>
        <v>1</v>
      </c>
      <c r="H146" s="74">
        <f>COUNTIFS(Tracker!$P$3:$P$503,"Won",Tracker!$R$3:$R$503,Analysis!$F146,Tracker!$U$3:$U$503,Analysis!$F$134,Tracker!$V$3:$V$503,Analysis!$G$134)</f>
        <v>0</v>
      </c>
      <c r="I146" s="74">
        <f>COUNTIFS(Tracker!$P$3:$P$503,"Lost",Tracker!$R$3:$R$503,Analysis!$F146,Tracker!$U$3:$U$503,Analysis!$F$134,Tracker!$V$3:$V$503,Analysis!$G$134)</f>
        <v>1</v>
      </c>
      <c r="J146" s="15"/>
      <c r="K146" s="139" t="s">
        <v>49</v>
      </c>
      <c r="L146" s="136">
        <f>COUNTIFS(Tracker!$R$3:$R$503,Analysis!$K146,Tracker!$I$3:$I$503,Analysis!$F$134)</f>
        <v>6</v>
      </c>
      <c r="M146" s="136">
        <f>COUNTIFS(Tracker!$P$3:$P$503,"Won",Tracker!$R$3:$R$503,Analysis!$K146,Tracker!$U$3:$U$503,Analysis!$F$134)</f>
        <v>2</v>
      </c>
      <c r="N146" s="131">
        <f>COUNTIFS(Tracker!$P$3:$P$503,"Lost",Tracker!$R$3:$R$503,Analysis!$K146,Tracker!$U$3:$U$503,Analysis!$F$134)</f>
        <v>2</v>
      </c>
    </row>
    <row r="147" spans="2:21" ht="15.75" x14ac:dyDescent="0.25">
      <c r="B147" s="126" t="s">
        <v>36</v>
      </c>
      <c r="C147" s="74">
        <f>COUNTIF(Tracker!$R$3:$R$503,Analysis!$B147)</f>
        <v>16</v>
      </c>
      <c r="D147" s="124">
        <f ca="1">AVERAGEIFS(Tracker!$W$3:$W$503,Tracker!$R$3:$R$503,Analysis!$B147)</f>
        <v>326.875</v>
      </c>
      <c r="F147" s="69" t="s">
        <v>50</v>
      </c>
      <c r="G147" s="74">
        <f>COUNTIFS(Tracker!$R$3:$R$503,Analysis!$F147,Tracker!$I$3:$I$503,Analysis!$F$134,Tracker!$J$3:$J$503,Analysis!$G$134)</f>
        <v>1</v>
      </c>
      <c r="H147" s="74">
        <f>COUNTIFS(Tracker!$P$3:$P$503,"Won",Tracker!$R$3:$R$503,Analysis!$F147,Tracker!$U$3:$U$503,Analysis!$F$134,Tracker!$V$3:$V$503,Analysis!$G$134)</f>
        <v>0</v>
      </c>
      <c r="I147" s="74">
        <f>COUNTIFS(Tracker!$P$3:$P$503,"Lost",Tracker!$R$3:$R$503,Analysis!$F147,Tracker!$U$3:$U$503,Analysis!$F$134,Tracker!$V$3:$V$503,Analysis!$G$134)</f>
        <v>0</v>
      </c>
      <c r="J147" s="15"/>
      <c r="K147" s="139" t="s">
        <v>50</v>
      </c>
      <c r="L147" s="136">
        <f>COUNTIFS(Tracker!$R$3:$R$503,Analysis!$K147,Tracker!$I$3:$I$503,Analysis!$F$134)</f>
        <v>6</v>
      </c>
      <c r="M147" s="136">
        <f>COUNTIFS(Tracker!$P$3:$P$503,"Won",Tracker!$R$3:$R$503,Analysis!$K147,Tracker!$U$3:$U$503,Analysis!$F$134)</f>
        <v>3</v>
      </c>
      <c r="N147" s="131">
        <f>COUNTIFS(Tracker!$P$3:$P$503,"Lost",Tracker!$R$3:$R$503,Analysis!$K147,Tracker!$U$3:$U$503,Analysis!$F$134)</f>
        <v>0</v>
      </c>
    </row>
    <row r="148" spans="2:21" ht="15.75" x14ac:dyDescent="0.25">
      <c r="B148" s="126" t="s">
        <v>37</v>
      </c>
      <c r="C148" s="74">
        <f>COUNTIF(Tracker!$R$3:$R$503,Analysis!$B148)</f>
        <v>16</v>
      </c>
      <c r="D148" s="124">
        <f ca="1">AVERAGEIFS(Tracker!$W$3:$W$503,Tracker!$R$3:$R$503,Analysis!$B148)</f>
        <v>301.6875</v>
      </c>
      <c r="F148" s="69" t="s">
        <v>51</v>
      </c>
      <c r="G148" s="74">
        <f>COUNTIFS(Tracker!$R$3:$R$503,Analysis!$F148,Tracker!$I$3:$I$503,Analysis!$F$134,Tracker!$J$3:$J$503,Analysis!$G$134)</f>
        <v>1</v>
      </c>
      <c r="H148" s="74">
        <f>COUNTIFS(Tracker!$P$3:$P$503,"Won",Tracker!$R$3:$R$503,Analysis!$F148,Tracker!$U$3:$U$503,Analysis!$F$134,Tracker!$V$3:$V$503,Analysis!$G$134)</f>
        <v>0</v>
      </c>
      <c r="I148" s="74">
        <f>COUNTIFS(Tracker!$P$3:$P$503,"Lost",Tracker!$R$3:$R$503,Analysis!$F148,Tracker!$U$3:$U$503,Analysis!$F$134,Tracker!$V$3:$V$503,Analysis!$G$134)</f>
        <v>0</v>
      </c>
      <c r="J148" s="15"/>
      <c r="K148" s="139" t="s">
        <v>51</v>
      </c>
      <c r="L148" s="136">
        <f>COUNTIFS(Tracker!$R$3:$R$503,Analysis!$K148,Tracker!$I$3:$I$503,Analysis!$F$134)</f>
        <v>5</v>
      </c>
      <c r="M148" s="136">
        <f>COUNTIFS(Tracker!$P$3:$P$503,"Won",Tracker!$R$3:$R$503,Analysis!$K148,Tracker!$U$3:$U$503,Analysis!$F$134)</f>
        <v>0</v>
      </c>
      <c r="N148" s="131">
        <f>COUNTIFS(Tracker!$P$3:$P$503,"Lost",Tracker!$R$3:$R$503,Analysis!$K148,Tracker!$U$3:$U$503,Analysis!$F$134)</f>
        <v>2</v>
      </c>
    </row>
    <row r="149" spans="2:21" ht="15.75" x14ac:dyDescent="0.25">
      <c r="F149" s="69" t="s">
        <v>52</v>
      </c>
      <c r="G149" s="74">
        <f>COUNTIFS(Tracker!$R$3:$R$503,Analysis!$F149,Tracker!$I$3:$I$503,Analysis!$F$134,Tracker!$J$3:$J$503,Analysis!$G$134)</f>
        <v>1</v>
      </c>
      <c r="H149" s="74">
        <f>COUNTIFS(Tracker!$P$3:$P$503,"Won",Tracker!$R$3:$R$503,Analysis!$F149,Tracker!$U$3:$U$503,Analysis!$F$134,Tracker!$V$3:$V$503,Analysis!$G$134)</f>
        <v>0</v>
      </c>
      <c r="I149" s="74">
        <f>COUNTIFS(Tracker!$P$3:$P$503,"Lost",Tracker!$R$3:$R$503,Analysis!$F149,Tracker!$U$3:$U$503,Analysis!$F$134,Tracker!$V$3:$V$503,Analysis!$G$134)</f>
        <v>0</v>
      </c>
      <c r="J149" s="15"/>
      <c r="K149" s="139" t="s">
        <v>52</v>
      </c>
      <c r="L149" s="136">
        <f>COUNTIFS(Tracker!$R$3:$R$503,Analysis!$K149,Tracker!$I$3:$I$503,Analysis!$F$134)</f>
        <v>4</v>
      </c>
      <c r="M149" s="136">
        <f>COUNTIFS(Tracker!$P$3:$P$503,"Won",Tracker!$R$3:$R$503,Analysis!$K149,Tracker!$U$3:$U$503,Analysis!$F$134)</f>
        <v>1</v>
      </c>
      <c r="N149" s="131">
        <f>COUNTIFS(Tracker!$P$3:$P$503,"Lost",Tracker!$R$3:$R$503,Analysis!$K149,Tracker!$U$3:$U$503,Analysis!$F$134)</f>
        <v>0</v>
      </c>
    </row>
    <row r="150" spans="2:21" ht="15.75" x14ac:dyDescent="0.25">
      <c r="B150" s="213" t="s">
        <v>363</v>
      </c>
      <c r="C150" s="213"/>
      <c r="F150" s="69" t="s">
        <v>53</v>
      </c>
      <c r="G150" s="74">
        <f>COUNTIFS(Tracker!$R$3:$R$503,Analysis!$F150,Tracker!$I$3:$I$503,Analysis!$F$134,Tracker!$J$3:$J$503,Analysis!$G$134)</f>
        <v>1</v>
      </c>
      <c r="H150" s="74">
        <f>COUNTIFS(Tracker!$P$3:$P$503,"Won",Tracker!$R$3:$R$503,Analysis!$F150,Tracker!$U$3:$U$503,Analysis!$F$134,Tracker!$V$3:$V$503,Analysis!$G$134)</f>
        <v>0</v>
      </c>
      <c r="I150" s="74">
        <f>COUNTIFS(Tracker!$P$3:$P$503,"Lost",Tracker!$R$3:$R$503,Analysis!$F150,Tracker!$U$3:$U$503,Analysis!$F$134,Tracker!$V$3:$V$503,Analysis!$G$134)</f>
        <v>0</v>
      </c>
      <c r="J150" s="15"/>
      <c r="K150" s="139" t="s">
        <v>53</v>
      </c>
      <c r="L150" s="136">
        <f>COUNTIFS(Tracker!$R$3:$R$503,Analysis!$K150,Tracker!$I$3:$I$503,Analysis!$F$134)</f>
        <v>4</v>
      </c>
      <c r="M150" s="136">
        <f>COUNTIFS(Tracker!$P$3:$P$503,"Won",Tracker!$R$3:$R$503,Analysis!$K150,Tracker!$U$3:$U$503,Analysis!$F$134)</f>
        <v>1</v>
      </c>
      <c r="N150" s="131">
        <f>COUNTIFS(Tracker!$P$3:$P$503,"Lost",Tracker!$R$3:$R$503,Analysis!$K150,Tracker!$U$3:$U$503,Analysis!$F$134)</f>
        <v>0</v>
      </c>
    </row>
    <row r="151" spans="2:21" ht="15.75" x14ac:dyDescent="0.25">
      <c r="F151" s="69" t="s">
        <v>54</v>
      </c>
      <c r="G151" s="74">
        <f>COUNTIFS(Tracker!$R$3:$R$503,Analysis!$F151,Tracker!$I$3:$I$503,Analysis!$F$134,Tracker!$J$3:$J$503,Analysis!$G$134)</f>
        <v>1</v>
      </c>
      <c r="H151" s="74">
        <f>COUNTIFS(Tracker!$P$3:$P$503,"Won",Tracker!$R$3:$R$503,Analysis!$F151,Tracker!$U$3:$U$503,Analysis!$F$134,Tracker!$V$3:$V$503,Analysis!$G$134)</f>
        <v>0</v>
      </c>
      <c r="I151" s="74">
        <f>COUNTIFS(Tracker!$P$3:$P$503,"Lost",Tracker!$R$3:$R$503,Analysis!$F151,Tracker!$U$3:$U$503,Analysis!$F$134,Tracker!$V$3:$V$503,Analysis!$G$134)</f>
        <v>0</v>
      </c>
      <c r="J151" s="15"/>
      <c r="K151" s="139" t="s">
        <v>54</v>
      </c>
      <c r="L151" s="136">
        <f>COUNTIFS(Tracker!$R$3:$R$503,Analysis!$K151,Tracker!$I$3:$I$503,Analysis!$F$134)</f>
        <v>4</v>
      </c>
      <c r="M151" s="136">
        <f>COUNTIFS(Tracker!$P$3:$P$503,"Won",Tracker!$R$3:$R$503,Analysis!$K151,Tracker!$U$3:$U$503,Analysis!$F$134)</f>
        <v>3</v>
      </c>
      <c r="N151" s="131">
        <f>COUNTIFS(Tracker!$P$3:$P$503,"Lost",Tracker!$R$3:$R$503,Analysis!$K151,Tracker!$U$3:$U$503,Analysis!$F$134)</f>
        <v>1</v>
      </c>
    </row>
    <row r="152" spans="2:21" ht="15.75" x14ac:dyDescent="0.25">
      <c r="B152" s="17" t="s">
        <v>352</v>
      </c>
      <c r="C152" s="17" t="s">
        <v>373</v>
      </c>
      <c r="F152" s="69" t="s">
        <v>38</v>
      </c>
      <c r="G152" s="74">
        <f>COUNTIFS(Tracker!$R$3:$R$503,Analysis!$F152,Tracker!$I$3:$I$503,Analysis!$F$134,Tracker!$J$3:$J$503,Analysis!$G$134)</f>
        <v>1</v>
      </c>
      <c r="H152" s="74">
        <f>COUNTIFS(Tracker!$P$3:$P$503,"Won",Tracker!$R$3:$R$503,Analysis!$F152,Tracker!$U$3:$U$503,Analysis!$F$134,Tracker!$V$3:$V$503,Analysis!$G$134)</f>
        <v>0</v>
      </c>
      <c r="I152" s="74">
        <f>COUNTIFS(Tracker!$P$3:$P$503,"Lost",Tracker!$R$3:$R$503,Analysis!$F152,Tracker!$U$3:$U$503,Analysis!$F$134,Tracker!$V$3:$V$503,Analysis!$G$134)</f>
        <v>0</v>
      </c>
      <c r="J152" s="15"/>
      <c r="K152" s="139" t="s">
        <v>38</v>
      </c>
      <c r="L152" s="136">
        <f>COUNTIFS(Tracker!$R$3:$R$503,Analysis!$K152,Tracker!$I$3:$I$503,Analysis!$F$134)</f>
        <v>4</v>
      </c>
      <c r="M152" s="136">
        <f>COUNTIFS(Tracker!$P$3:$P$503,"Won",Tracker!$R$3:$R$503,Analysis!$K152,Tracker!$U$3:$U$503,Analysis!$F$134)</f>
        <v>2</v>
      </c>
      <c r="N152" s="131">
        <f>COUNTIFS(Tracker!$P$3:$P$503,"Lost",Tracker!$R$3:$R$503,Analysis!$K152,Tracker!$U$3:$U$503,Analysis!$F$134)</f>
        <v>0</v>
      </c>
      <c r="S152">
        <f>SUM(Tracker!AA3:AA503)*0.57299</f>
        <v>3802189.055412</v>
      </c>
    </row>
    <row r="153" spans="2:21" ht="15.75" x14ac:dyDescent="0.25">
      <c r="B153" s="77" t="s">
        <v>354</v>
      </c>
      <c r="C153" s="76">
        <f>SUMIFS('Lawyers Data'!$Q$3:$Q$24,'Lawyers Data'!$D$3:$D$24,Analysis!$B153)</f>
        <v>1330766.1693942002</v>
      </c>
      <c r="D153" s="76"/>
      <c r="F153" s="69" t="s">
        <v>40</v>
      </c>
      <c r="G153" s="74">
        <f>COUNTIFS(Tracker!$R$3:$R$503,Analysis!$F153,Tracker!$I$3:$I$503,Analysis!$F$134,Tracker!$J$3:$J$503,Analysis!$G$134)</f>
        <v>1</v>
      </c>
      <c r="H153" s="74">
        <f>COUNTIFS(Tracker!$P$3:$P$503,"Won",Tracker!$R$3:$R$503,Analysis!$F153,Tracker!$U$3:$U$503,Analysis!$F$134,Tracker!$V$3:$V$503,Analysis!$G$134)</f>
        <v>0</v>
      </c>
      <c r="I153" s="74">
        <f>COUNTIFS(Tracker!$P$3:$P$503,"Lost",Tracker!$R$3:$R$503,Analysis!$F153,Tracker!$U$3:$U$503,Analysis!$F$134,Tracker!$V$3:$V$503,Analysis!$G$134)</f>
        <v>0</v>
      </c>
      <c r="J153" s="15"/>
      <c r="K153" s="139" t="s">
        <v>40</v>
      </c>
      <c r="L153" s="136">
        <f>COUNTIFS(Tracker!$R$3:$R$503,Analysis!$K153,Tracker!$I$3:$I$503,Analysis!$F$134)</f>
        <v>4</v>
      </c>
      <c r="M153" s="136">
        <f>COUNTIFS(Tracker!$P$3:$P$503,"Won",Tracker!$R$3:$R$503,Analysis!$K153,Tracker!$U$3:$U$503,Analysis!$F$134)</f>
        <v>1</v>
      </c>
      <c r="N153" s="131">
        <f>COUNTIFS(Tracker!$P$3:$P$503,"Lost",Tracker!$R$3:$R$503,Analysis!$K153,Tracker!$U$3:$U$503,Analysis!$F$134)</f>
        <v>2</v>
      </c>
    </row>
    <row r="154" spans="2:21" ht="15.75" x14ac:dyDescent="0.25">
      <c r="B154" s="77" t="s">
        <v>355</v>
      </c>
      <c r="C154" s="76">
        <f>SUMIFS('Lawyers Data'!$Q$3:$Q$24,'Lawyers Data'!$D$3:$D$24,Analysis!$B154)</f>
        <v>1140656.7166235996</v>
      </c>
      <c r="D154" s="76"/>
      <c r="F154" s="69" t="s">
        <v>34</v>
      </c>
      <c r="G154" s="74">
        <f>COUNTIFS(Tracker!$R$3:$R$503,Analysis!$F154,Tracker!$I$3:$I$503,Analysis!$F$134,Tracker!$J$3:$J$503,Analysis!$G$134)</f>
        <v>0</v>
      </c>
      <c r="H154" s="74">
        <f>COUNTIFS(Tracker!$P$3:$P$503,"Won",Tracker!$R$3:$R$503,Analysis!$F154,Tracker!$U$3:$U$503,Analysis!$F$134,Tracker!$V$3:$V$503,Analysis!$G$134)</f>
        <v>0</v>
      </c>
      <c r="I154" s="74">
        <f>COUNTIFS(Tracker!$P$3:$P$503,"Lost",Tracker!$R$3:$R$503,Analysis!$F154,Tracker!$U$3:$U$503,Analysis!$F$134,Tracker!$V$3:$V$503,Analysis!$G$134)</f>
        <v>0</v>
      </c>
      <c r="J154" s="15"/>
      <c r="K154" s="139" t="s">
        <v>34</v>
      </c>
      <c r="L154" s="136">
        <f>COUNTIFS(Tracker!$R$3:$R$503,Analysis!$K154,Tracker!$I$3:$I$503,Analysis!$F$134)</f>
        <v>3</v>
      </c>
      <c r="M154" s="136">
        <f>COUNTIFS(Tracker!$P$3:$P$503,"Won",Tracker!$R$3:$R$503,Analysis!$K154,Tracker!$U$3:$U$503,Analysis!$F$134)</f>
        <v>2</v>
      </c>
      <c r="N154" s="131">
        <f>COUNTIFS(Tracker!$P$3:$P$503,"Lost",Tracker!$R$3:$R$503,Analysis!$K154,Tracker!$U$3:$U$503,Analysis!$F$134)</f>
        <v>0</v>
      </c>
      <c r="P154" s="46" t="s">
        <v>352</v>
      </c>
      <c r="Q154" s="46" t="s">
        <v>385</v>
      </c>
      <c r="R154" s="46" t="s">
        <v>386</v>
      </c>
      <c r="S154" s="46" t="s">
        <v>387</v>
      </c>
      <c r="T154" s="46" t="s">
        <v>388</v>
      </c>
    </row>
    <row r="155" spans="2:21" ht="15.75" x14ac:dyDescent="0.25">
      <c r="B155" s="77" t="s">
        <v>356</v>
      </c>
      <c r="C155" s="76">
        <f>SUMIFS('Lawyers Data'!$Q$3:$Q$24,'Lawyers Data'!$D$3:$D$24,Analysis!$B155)</f>
        <v>836481.59219064005</v>
      </c>
      <c r="D155" s="76"/>
      <c r="F155" s="69" t="s">
        <v>35</v>
      </c>
      <c r="G155" s="74">
        <f>COUNTIFS(Tracker!$R$3:$R$503,Analysis!$F155,Tracker!$I$3:$I$503,Analysis!$F$134,Tracker!$J$3:$J$503,Analysis!$G$134)</f>
        <v>0</v>
      </c>
      <c r="H155" s="74">
        <f>COUNTIFS(Tracker!$P$3:$P$503,"Won",Tracker!$R$3:$R$503,Analysis!$F155,Tracker!$U$3:$U$503,Analysis!$F$134,Tracker!$V$3:$V$503,Analysis!$G$134)</f>
        <v>0</v>
      </c>
      <c r="I155" s="74">
        <f>COUNTIFS(Tracker!$P$3:$P$503,"Lost",Tracker!$R$3:$R$503,Analysis!$F155,Tracker!$U$3:$U$503,Analysis!$F$134,Tracker!$V$3:$V$503,Analysis!$G$134)</f>
        <v>0</v>
      </c>
      <c r="J155" s="15"/>
      <c r="K155" s="139" t="s">
        <v>35</v>
      </c>
      <c r="L155" s="136">
        <f>COUNTIFS(Tracker!$R$3:$R$503,Analysis!$K155,Tracker!$I$3:$I$503,Analysis!$F$134)</f>
        <v>3</v>
      </c>
      <c r="M155" s="136">
        <f>COUNTIFS(Tracker!$P$3:$P$503,"Won",Tracker!$R$3:$R$503,Analysis!$K155,Tracker!$U$3:$U$503,Analysis!$F$134)</f>
        <v>1</v>
      </c>
      <c r="N155" s="131">
        <f>COUNTIFS(Tracker!$P$3:$P$503,"Lost",Tracker!$R$3:$R$503,Analysis!$K155,Tracker!$U$3:$U$503,Analysis!$F$134)</f>
        <v>0</v>
      </c>
      <c r="P155" s="1" t="s">
        <v>354</v>
      </c>
      <c r="Q155" s="73">
        <v>0.35</v>
      </c>
      <c r="R155" s="78">
        <f>SUMIFS('Lawyers Data'!$G$3:$G$24,'Lawyers Data'!$D$3:$D$24,Analysis!$P155)</f>
        <v>8658.24</v>
      </c>
      <c r="S155">
        <f>$S$152*Q155</f>
        <v>1330766.1693942</v>
      </c>
      <c r="T155">
        <f>S155/R155</f>
        <v>153.69938571744373</v>
      </c>
    </row>
    <row r="156" spans="2:21" ht="15.75" x14ac:dyDescent="0.25">
      <c r="B156" s="77" t="s">
        <v>357</v>
      </c>
      <c r="C156" s="76">
        <f>SUMIFS('Lawyers Data'!$Q$3:$Q$24,'Lawyers Data'!$D$3:$D$24,Analysis!$B156)</f>
        <v>494284.57720356004</v>
      </c>
      <c r="D156" s="76"/>
      <c r="F156" s="69" t="s">
        <v>36</v>
      </c>
      <c r="G156" s="74">
        <f>(IF($F156="","",COUNTIFS(Tracker!$R$3:$R$503,Analysis!$F156,Tracker!$I$3:$I$503,$F$134,Tracker!$J$3:$J$503,$G$134)))+((COUNTIFS(Tracker!$R$3:$R$503,Analysis!$F156,Tracker!$I$3:$I$503,$F$134,Tracker!$J$3:$J$503,$G$134))+(COUNTIFS(Tracker!$R$3:$R$503,Analysis!$F156,Tracker!$I$3:$I$503,$F$134,Tracker!$J$3:$J$503,$G$134)))</f>
        <v>0</v>
      </c>
      <c r="H156" s="74">
        <f>COUNTIFS(Tracker!$P$3:$P$503,"Won",Tracker!$R$3:$R$503,Analysis!$F156,Tracker!$U$3:$U$503,Analysis!$F$134,Tracker!$V$3:$V$503,Analysis!$G$134)</f>
        <v>0</v>
      </c>
      <c r="I156" s="74">
        <f>COUNTIFS(Tracker!$P$3:$P$503,"Lost",Tracker!$R$3:$R$503,Analysis!$F156,Tracker!$U$3:$U$503,Analysis!$F$134,Tracker!$V$3:$V$503,Analysis!$G$134)</f>
        <v>0</v>
      </c>
      <c r="J156" s="15"/>
      <c r="K156" s="139" t="s">
        <v>36</v>
      </c>
      <c r="L156" s="136">
        <f>COUNTIFS(Tracker!$R$3:$R$503,Analysis!$K156,Tracker!$I$3:$I$503,Analysis!$F$134)</f>
        <v>5</v>
      </c>
      <c r="M156" s="136">
        <f>COUNTIFS(Tracker!$P$3:$P$503,"Won",Tracker!$R$3:$R$503,Analysis!$K156,Tracker!$U$3:$U$503,Analysis!$F$134)</f>
        <v>0</v>
      </c>
      <c r="N156" s="131">
        <f>COUNTIFS(Tracker!$P$3:$P$503,"Lost",Tracker!$R$3:$R$503,Analysis!$K156,Tracker!$U$3:$U$503,Analysis!$F$134)</f>
        <v>0</v>
      </c>
      <c r="P156" s="1" t="s">
        <v>355</v>
      </c>
      <c r="Q156" s="73">
        <v>0.3</v>
      </c>
      <c r="R156" s="78">
        <f>SUMIFS('Lawyers Data'!$G$3:$G$24,'Lawyers Data'!$D$3:$D$24,Analysis!$P156)</f>
        <v>18979.68</v>
      </c>
      <c r="S156">
        <f>$S$152*Q156</f>
        <v>1140656.7166235999</v>
      </c>
      <c r="T156">
        <f>S156/R156</f>
        <v>60.098838158683385</v>
      </c>
    </row>
    <row r="157" spans="2:21" ht="15.75" x14ac:dyDescent="0.25">
      <c r="F157" s="69" t="s">
        <v>37</v>
      </c>
      <c r="G157" s="74">
        <f>(IF($F157="","",COUNTIFS(Tracker!$R$3:$R$503,Analysis!$F157,Tracker!$I$3:$I$503,$F$134,Tracker!$J$3:$J$503,$G$134)))+((COUNTIFS(Tracker!$R$3:$R$503,Analysis!$F157,Tracker!$I$3:$I$503,$F$134,Tracker!$J$3:$J$503,$G$134))+(COUNTIFS(Tracker!$R$3:$R$503,Analysis!$F157,Tracker!$I$3:$I$503,$F$134,Tracker!$J$3:$J$503,$G$134)))</f>
        <v>0</v>
      </c>
      <c r="H157" s="74">
        <f>COUNTIFS(Tracker!$P$3:$P$503,"Won",Tracker!$R$3:$R$503,Analysis!$F157,Tracker!$U$3:$U$503,Analysis!$F$134,Tracker!$V$3:$V$503,Analysis!$G$134)</f>
        <v>0</v>
      </c>
      <c r="I157" s="74">
        <f>COUNTIFS(Tracker!$P$3:$P$503,"Lost",Tracker!$R$3:$R$503,Analysis!$F157,Tracker!$U$3:$U$503,Analysis!$F$134,Tracker!$V$3:$V$503,Analysis!$G$134)</f>
        <v>1</v>
      </c>
      <c r="J157" s="15"/>
      <c r="K157" s="139" t="s">
        <v>37</v>
      </c>
      <c r="L157" s="136">
        <f>COUNTIFS(Tracker!$R$3:$R$503,Analysis!$K157,Tracker!$I$3:$I$503,Analysis!$F$134)</f>
        <v>5</v>
      </c>
      <c r="M157" s="136">
        <f>COUNTIFS(Tracker!$P$3:$P$503,"Won",Tracker!$R$3:$R$503,Analysis!$K157,Tracker!$U$3:$U$503,Analysis!$F$134)</f>
        <v>0</v>
      </c>
      <c r="N157" s="131">
        <f>COUNTIFS(Tracker!$P$3:$P$503,"Lost",Tracker!$R$3:$R$503,Analysis!$K157,Tracker!$U$3:$U$503,Analysis!$F$134)</f>
        <v>4</v>
      </c>
      <c r="P157" s="1" t="s">
        <v>356</v>
      </c>
      <c r="Q157" s="73">
        <v>0.22</v>
      </c>
      <c r="R157" s="78">
        <f>SUMIFS('Lawyers Data'!$G$3:$G$24,'Lawyers Data'!$D$3:$D$24,Analysis!$P157)</f>
        <v>12654.48</v>
      </c>
      <c r="S157">
        <f>$S$152*Q157</f>
        <v>836481.59219064005</v>
      </c>
      <c r="T157">
        <f>S157/R157</f>
        <v>66.1016171498663</v>
      </c>
    </row>
    <row r="158" spans="2:21" x14ac:dyDescent="0.25">
      <c r="F158" s="15"/>
      <c r="G158" s="15"/>
      <c r="H158" s="15"/>
      <c r="I158" s="15"/>
      <c r="J158" s="15"/>
      <c r="K158" s="15"/>
      <c r="L158" s="15"/>
      <c r="M158" s="15"/>
      <c r="P158" s="1" t="s">
        <v>357</v>
      </c>
      <c r="Q158" s="73">
        <v>0.13</v>
      </c>
      <c r="R158" s="78">
        <f>SUMIFS('Lawyers Data'!$G$3:$G$24,'Lawyers Data'!$D$3:$D$24,Analysis!$P158)</f>
        <v>20755.920000000002</v>
      </c>
      <c r="S158">
        <f>$S$152*Q158</f>
        <v>494284.57720356004</v>
      </c>
      <c r="T158">
        <f>S158/R158</f>
        <v>23.81414927420996</v>
      </c>
    </row>
    <row r="160" spans="2:21" x14ac:dyDescent="0.25">
      <c r="F160" s="17" t="s">
        <v>349</v>
      </c>
      <c r="G160" s="46" t="s">
        <v>20</v>
      </c>
      <c r="H160" s="46" t="s">
        <v>165</v>
      </c>
      <c r="I160" s="46" t="s">
        <v>371</v>
      </c>
      <c r="J160" s="46" t="s">
        <v>164</v>
      </c>
      <c r="K160" s="46" t="s">
        <v>372</v>
      </c>
      <c r="P160" s="46" t="s">
        <v>352</v>
      </c>
      <c r="Q160" s="46" t="s">
        <v>389</v>
      </c>
      <c r="R160" s="46" t="s">
        <v>390</v>
      </c>
      <c r="S160" s="46" t="s">
        <v>366</v>
      </c>
      <c r="T160" s="46" t="s">
        <v>367</v>
      </c>
      <c r="U160" s="46" t="s">
        <v>382</v>
      </c>
    </row>
    <row r="161" spans="6:21" ht="15.75" x14ac:dyDescent="0.25">
      <c r="F161" s="138" t="s">
        <v>18</v>
      </c>
      <c r="G161" s="135">
        <f>INDEX('Lawyers Data'!$I$3:$I$24,MATCH(Analysis!$F161,'Lawyers Data'!$C$3:$C$24,0))</f>
        <v>22</v>
      </c>
      <c r="H161" s="136">
        <f>SUMIFS('Lawyers Data'!$L$3:$L$24,'Lawyers Data'!$C$3:$C$24,Analysis!$F161)</f>
        <v>9</v>
      </c>
      <c r="I161" s="137">
        <f>$H161/SUMIFS('Lawyers Data'!$I$3:$I$24,'Lawyers Data'!$C$3:$C$24,Analysis!$F161)</f>
        <v>0.40909090909090912</v>
      </c>
      <c r="J161" s="136">
        <f>SUMIFS('Lawyers Data'!$N$3:$N$24,'Lawyers Data'!$C$3:$C$24,Analysis!$F161)</f>
        <v>6</v>
      </c>
      <c r="K161" s="137">
        <f>$J161/SUMIFS('Lawyers Data'!$I$3:$I$24,'Lawyers Data'!$C$3:$C$24,Analysis!$F161)</f>
        <v>0.27272727272727271</v>
      </c>
      <c r="P161" s="1" t="s">
        <v>354</v>
      </c>
      <c r="Q161" s="44">
        <f>COUNTIF('Lawyers Data'!$D$3:$D$24,Analysis!$P161)</f>
        <v>3</v>
      </c>
      <c r="R161" s="79">
        <f>SUMIF('Lawyers Data'!$D$3:$D$24,$P161,'Lawyers Data'!$Q$3:$Q$24)</f>
        <v>1330766.1693942002</v>
      </c>
      <c r="S161" s="79">
        <f>SUMIF('Lawyers Data'!$D$3:$D$24,$P161,'Lawyers Data'!$R$3:$R$24)</f>
        <v>704177.50160622818</v>
      </c>
      <c r="T161" s="79">
        <f>SUMIF('Lawyers Data'!$D$3:$D$24,$P161,'Lawyers Data'!$S$3:$S$24)</f>
        <v>614431.94005097181</v>
      </c>
      <c r="U161" s="38">
        <f>$T161/$R161</f>
        <v>0.4617129246159582</v>
      </c>
    </row>
    <row r="162" spans="6:21" ht="15.75" x14ac:dyDescent="0.25">
      <c r="F162" s="138" t="s">
        <v>19</v>
      </c>
      <c r="G162" s="135">
        <f>INDEX('Lawyers Data'!$I$3:$I$24,MATCH(Analysis!$F162,'Lawyers Data'!$C$3:$C$24,0))</f>
        <v>21</v>
      </c>
      <c r="H162" s="136">
        <f>SUMIFS('Lawyers Data'!$L$3:$L$24,'Lawyers Data'!$C$3:$C$24,Analysis!$F162)</f>
        <v>5</v>
      </c>
      <c r="I162" s="137">
        <f>$H162/SUMIFS('Lawyers Data'!$I$3:$I$24,'Lawyers Data'!$C$3:$C$24,Analysis!$F162)</f>
        <v>0.23809523809523808</v>
      </c>
      <c r="J162" s="136">
        <f>SUMIFS('Lawyers Data'!$N$3:$N$24,'Lawyers Data'!$C$3:$C$24,Analysis!$F162)</f>
        <v>6</v>
      </c>
      <c r="K162" s="137">
        <f>$J162/SUMIFS('Lawyers Data'!$I$3:$I$24,'Lawyers Data'!$C$3:$C$24,Analysis!$F162)</f>
        <v>0.2857142857142857</v>
      </c>
      <c r="P162" s="1" t="s">
        <v>355</v>
      </c>
      <c r="Q162" s="44">
        <f>COUNTIF('Lawyers Data'!$D$3:$D$24,Analysis!$P162)</f>
        <v>7</v>
      </c>
      <c r="R162" s="79">
        <f>SUMIF('Lawyers Data'!$D$3:$D$24,$P162,'Lawyers Data'!$Q$3:$Q$24)</f>
        <v>1140656.7166235996</v>
      </c>
      <c r="S162" s="79">
        <f>SUMIF('Lawyers Data'!$D$3:$D$24,$P162,'Lawyers Data'!$R$3:$R$24)</f>
        <v>524918.76870995166</v>
      </c>
      <c r="T162" s="79">
        <f>SUMIF('Lawyers Data'!$D$3:$D$24,$P162,'Lawyers Data'!$S$3:$S$24)</f>
        <v>605317.89556764811</v>
      </c>
      <c r="U162" s="38">
        <f>$T162/$R162</f>
        <v>0.53067490573274234</v>
      </c>
    </row>
    <row r="163" spans="6:21" ht="15.75" x14ac:dyDescent="0.25">
      <c r="F163" s="139" t="s">
        <v>41</v>
      </c>
      <c r="G163" s="136">
        <f>INDEX('Lawyers Data'!$I$3:$I$24,MATCH(Analysis!$F163,'Lawyers Data'!$C$3:$C$24,0))</f>
        <v>26</v>
      </c>
      <c r="H163" s="136">
        <f>SUMIFS('Lawyers Data'!$L$3:$L$24,'Lawyers Data'!$C$3:$C$24,Analysis!$F163)</f>
        <v>8</v>
      </c>
      <c r="I163" s="137">
        <f>$H163/SUMIFS('Lawyers Data'!$I$3:$I$24,'Lawyers Data'!$C$3:$C$24,Analysis!$F163)</f>
        <v>0.30769230769230771</v>
      </c>
      <c r="J163" s="136">
        <f>SUMIFS('Lawyers Data'!$N$3:$N$24,'Lawyers Data'!$C$3:$C$24,Analysis!$F163)</f>
        <v>9</v>
      </c>
      <c r="K163" s="137">
        <f>$J163/SUMIFS('Lawyers Data'!$I$3:$I$24,'Lawyers Data'!$C$3:$C$24,Analysis!$F163)</f>
        <v>0.34615384615384615</v>
      </c>
      <c r="P163" s="1" t="s">
        <v>356</v>
      </c>
      <c r="Q163" s="44">
        <f>COUNTIF('Lawyers Data'!$D$3:$D$24,Analysis!$P163)</f>
        <v>4</v>
      </c>
      <c r="R163" s="79">
        <f>SUMIF('Lawyers Data'!$D$3:$D$24,$P163,'Lawyers Data'!$Q$3:$Q$24)</f>
        <v>836481.59219064005</v>
      </c>
      <c r="S163" s="79">
        <f>SUMIF('Lawyers Data'!$D$3:$D$24,$P163,'Lawyers Data'!$R$3:$R$24)</f>
        <v>406312.79626490496</v>
      </c>
      <c r="T163" s="79">
        <f>SUMIF('Lawyers Data'!$D$3:$D$24,$P163,'Lawyers Data'!$S$3:$S$24)</f>
        <v>422527.42420533503</v>
      </c>
      <c r="U163" s="38">
        <f>$T163/$R163</f>
        <v>0.50512459347585748</v>
      </c>
    </row>
    <row r="164" spans="6:21" ht="15.75" x14ac:dyDescent="0.25">
      <c r="F164" s="139" t="s">
        <v>42</v>
      </c>
      <c r="G164" s="136">
        <f>INDEX('Lawyers Data'!$I$3:$I$24,MATCH(Analysis!$F164,'Lawyers Data'!$C$3:$C$24,0))</f>
        <v>26</v>
      </c>
      <c r="H164" s="136">
        <f>SUMIFS('Lawyers Data'!$L$3:$L$24,'Lawyers Data'!$C$3:$C$24,Analysis!$F164)</f>
        <v>6</v>
      </c>
      <c r="I164" s="137">
        <f>$H164/SUMIFS('Lawyers Data'!$I$3:$I$24,'Lawyers Data'!$C$3:$C$24,Analysis!$F164)</f>
        <v>0.23076923076923078</v>
      </c>
      <c r="J164" s="136">
        <f>SUMIFS('Lawyers Data'!$N$3:$N$24,'Lawyers Data'!$C$3:$C$24,Analysis!$F164)</f>
        <v>11</v>
      </c>
      <c r="K164" s="137">
        <f>$J164/SUMIFS('Lawyers Data'!$I$3:$I$24,'Lawyers Data'!$C$3:$C$24,Analysis!$F164)</f>
        <v>0.42307692307692307</v>
      </c>
      <c r="P164" s="1" t="s">
        <v>357</v>
      </c>
      <c r="Q164" s="44">
        <f>COUNTIF('Lawyers Data'!$D$3:$D$24,Analysis!$P164)</f>
        <v>8</v>
      </c>
      <c r="R164" s="79">
        <f>SUMIF('Lawyers Data'!$D$3:$D$24,$P164,'Lawyers Data'!$Q$3:$Q$24)</f>
        <v>494284.57720356004</v>
      </c>
      <c r="S164" s="79">
        <f>SUMIF('Lawyers Data'!$D$3:$D$24,$P164,'Lawyers Data'!$R$3:$R$24)</f>
        <v>272714.91707241826</v>
      </c>
      <c r="T164" s="79">
        <f>SUMIF('Lawyers Data'!$D$3:$D$24,$P164,'Lawyers Data'!$S$3:$S$24)</f>
        <v>217054.30411454177</v>
      </c>
      <c r="U164" s="38">
        <f>$T164/$R164</f>
        <v>0.43912821505080629</v>
      </c>
    </row>
    <row r="165" spans="6:21" ht="15.75" x14ac:dyDescent="0.25">
      <c r="F165" s="139" t="s">
        <v>43</v>
      </c>
      <c r="G165" s="136">
        <f>INDEX('Lawyers Data'!$I$3:$I$24,MATCH(Analysis!$F165,'Lawyers Data'!$C$3:$C$24,0))</f>
        <v>31</v>
      </c>
      <c r="H165" s="136">
        <f>SUMIFS('Lawyers Data'!$L$3:$L$24,'Lawyers Data'!$C$3:$C$24,Analysis!$F165)</f>
        <v>9</v>
      </c>
      <c r="I165" s="137">
        <f>$H165/SUMIFS('Lawyers Data'!$I$3:$I$24,'Lawyers Data'!$C$3:$C$24,Analysis!$F165)</f>
        <v>0.29032258064516131</v>
      </c>
      <c r="J165" s="136">
        <f>SUMIFS('Lawyers Data'!$N$3:$N$24,'Lawyers Data'!$C$3:$C$24,Analysis!$F165)</f>
        <v>9</v>
      </c>
      <c r="K165" s="137">
        <f>$J165/SUMIFS('Lawyers Data'!$I$3:$I$24,'Lawyers Data'!$C$3:$C$24,Analysis!$F165)</f>
        <v>0.29032258064516131</v>
      </c>
    </row>
    <row r="166" spans="6:21" ht="15.75" x14ac:dyDescent="0.25">
      <c r="F166" s="139" t="s">
        <v>44</v>
      </c>
      <c r="G166" s="136">
        <f>INDEX('Lawyers Data'!$I$3:$I$24,MATCH(Analysis!$F166,'Lawyers Data'!$C$3:$C$24,0))</f>
        <v>31</v>
      </c>
      <c r="H166" s="136">
        <f>SUMIFS('Lawyers Data'!$L$3:$L$24,'Lawyers Data'!$C$3:$C$24,Analysis!$F166)</f>
        <v>5</v>
      </c>
      <c r="I166" s="137">
        <f>$H166/SUMIFS('Lawyers Data'!$I$3:$I$24,'Lawyers Data'!$C$3:$C$24,Analysis!$F166)</f>
        <v>0.16129032258064516</v>
      </c>
      <c r="J166" s="136">
        <f>SUMIFS('Lawyers Data'!$N$3:$N$24,'Lawyers Data'!$C$3:$C$24,Analysis!$F166)</f>
        <v>14</v>
      </c>
      <c r="K166" s="137">
        <f>$J166/SUMIFS('Lawyers Data'!$I$3:$I$24,'Lawyers Data'!$C$3:$C$24,Analysis!$F166)</f>
        <v>0.45161290322580644</v>
      </c>
      <c r="Q166" s="46" t="s">
        <v>391</v>
      </c>
      <c r="R166" s="46" t="s">
        <v>392</v>
      </c>
      <c r="S166" s="46" t="s">
        <v>393</v>
      </c>
      <c r="T166" s="46" t="s">
        <v>165</v>
      </c>
      <c r="U166" s="46" t="s">
        <v>394</v>
      </c>
    </row>
    <row r="167" spans="6:21" ht="15.75" x14ac:dyDescent="0.25">
      <c r="F167" s="139" t="s">
        <v>45</v>
      </c>
      <c r="G167" s="136">
        <f>INDEX('Lawyers Data'!$I$3:$I$24,MATCH(Analysis!$F167,'Lawyers Data'!$C$3:$C$24,0))</f>
        <v>27</v>
      </c>
      <c r="H167" s="136">
        <f>SUMIFS('Lawyers Data'!$L$3:$L$24,'Lawyers Data'!$C$3:$C$24,Analysis!$F167)</f>
        <v>8</v>
      </c>
      <c r="I167" s="137">
        <f>$H167/SUMIFS('Lawyers Data'!$I$3:$I$24,'Lawyers Data'!$C$3:$C$24,Analysis!$F167)</f>
        <v>0.29629629629629628</v>
      </c>
      <c r="J167" s="136">
        <f>SUMIFS('Lawyers Data'!$N$3:$N$24,'Lawyers Data'!$C$3:$C$24,Analysis!$F167)</f>
        <v>7</v>
      </c>
      <c r="K167" s="137">
        <f>$J167/SUMIFS('Lawyers Data'!$I$3:$I$24,'Lawyers Data'!$C$3:$C$24,Analysis!$F167)</f>
        <v>0.25925925925925924</v>
      </c>
      <c r="Q167">
        <v>1</v>
      </c>
      <c r="R167" t="str">
        <f>INDEX('Lawyers Data'!$C$3:$C$24,MATCH(Analysis!$Q167,'Lawyers Data'!$U$3:$U$24,0))</f>
        <v xml:space="preserve">Vernon Watson  </v>
      </c>
      <c r="S167">
        <f>COUNTIF(Tracker!$R$3:$R$503,Analysis!$R167)</f>
        <v>27</v>
      </c>
      <c r="T167">
        <f>COUNTIFS(Tracker!$R$3:$R$503,Analysis!$R167,Tracker!$P$3:$P$503,"Won")</f>
        <v>15</v>
      </c>
      <c r="U167" s="38">
        <f>$T167/$S167</f>
        <v>0.55555555555555558</v>
      </c>
    </row>
    <row r="168" spans="6:21" ht="15.75" x14ac:dyDescent="0.25">
      <c r="F168" s="139" t="s">
        <v>46</v>
      </c>
      <c r="G168" s="136">
        <f>INDEX('Lawyers Data'!$I$3:$I$24,MATCH(Analysis!$F168,'Lawyers Data'!$C$3:$C$24,0))</f>
        <v>24</v>
      </c>
      <c r="H168" s="136">
        <f>SUMIFS('Lawyers Data'!$L$3:$L$24,'Lawyers Data'!$C$3:$C$24,Analysis!$F168)</f>
        <v>15</v>
      </c>
      <c r="I168" s="137">
        <f>$H168/SUMIFS('Lawyers Data'!$I$3:$I$24,'Lawyers Data'!$C$3:$C$24,Analysis!$F168)</f>
        <v>0.625</v>
      </c>
      <c r="J168" s="136">
        <f>SUMIFS('Lawyers Data'!$N$3:$N$24,'Lawyers Data'!$C$3:$C$24,Analysis!$F168)</f>
        <v>3</v>
      </c>
      <c r="K168" s="137">
        <f>$J168/SUMIFS('Lawyers Data'!$I$3:$I$24,'Lawyers Data'!$C$3:$C$24,Analysis!$F168)</f>
        <v>0.125</v>
      </c>
      <c r="Q168">
        <v>2</v>
      </c>
      <c r="R168" t="str">
        <f>INDEX('Lawyers Data'!$C$3:$C$24,MATCH(Analysis!$Q168,'Lawyers Data'!$U$3:$U$24,0))</f>
        <v xml:space="preserve">Tabitha Hughes  </v>
      </c>
      <c r="S168">
        <f>COUNTIF(Tracker!$R$3:$R$503,Analysis!$R168)</f>
        <v>17</v>
      </c>
      <c r="T168">
        <f>COUNTIFS(Tracker!$R$3:$R$503,Analysis!$R168,Tracker!$P$3:$P$503,"Won")</f>
        <v>8</v>
      </c>
      <c r="U168" s="38">
        <f>$T168/$S168</f>
        <v>0.47058823529411764</v>
      </c>
    </row>
    <row r="169" spans="6:21" ht="15.75" x14ac:dyDescent="0.25">
      <c r="F169" s="139" t="s">
        <v>47</v>
      </c>
      <c r="G169" s="136">
        <f>INDEX('Lawyers Data'!$I$3:$I$24,MATCH(Analysis!$F169,'Lawyers Data'!$C$3:$C$24,0))</f>
        <v>20</v>
      </c>
      <c r="H169" s="136">
        <f>SUMIFS('Lawyers Data'!$L$3:$L$24,'Lawyers Data'!$C$3:$C$24,Analysis!$F169)</f>
        <v>7</v>
      </c>
      <c r="I169" s="137">
        <f>$H169/SUMIFS('Lawyers Data'!$I$3:$I$24,'Lawyers Data'!$C$3:$C$24,Analysis!$F169)</f>
        <v>0.35</v>
      </c>
      <c r="J169" s="136">
        <f>SUMIFS('Lawyers Data'!$N$3:$N$24,'Lawyers Data'!$C$3:$C$24,Analysis!$F169)</f>
        <v>7</v>
      </c>
      <c r="K169" s="137">
        <f>$J169/SUMIFS('Lawyers Data'!$I$3:$I$24,'Lawyers Data'!$C$3:$C$24,Analysis!$F169)</f>
        <v>0.35</v>
      </c>
      <c r="Q169">
        <v>3</v>
      </c>
      <c r="R169" t="str">
        <f>INDEX('Lawyers Data'!$C$3:$C$24,MATCH(Analysis!$Q169,'Lawyers Data'!$U$3:$U$24,0))</f>
        <v xml:space="preserve">Susan Bailey  </v>
      </c>
      <c r="S169">
        <f>COUNTIF(Tracker!$R$3:$R$503,Analysis!$R169)</f>
        <v>28</v>
      </c>
      <c r="T169">
        <f>COUNTIFS(Tracker!$R$3:$R$503,Analysis!$R169,Tracker!$P$3:$P$503,"Won")</f>
        <v>11</v>
      </c>
      <c r="U169" s="38">
        <f>$T169/$S169</f>
        <v>0.39285714285714285</v>
      </c>
    </row>
    <row r="170" spans="6:21" ht="15.75" x14ac:dyDescent="0.25">
      <c r="F170" s="139" t="s">
        <v>48</v>
      </c>
      <c r="G170" s="136">
        <f>INDEX('Lawyers Data'!$I$3:$I$24,MATCH(Analysis!$F170,'Lawyers Data'!$C$3:$C$24,0))</f>
        <v>25</v>
      </c>
      <c r="H170" s="136">
        <f>SUMIFS('Lawyers Data'!$L$3:$L$24,'Lawyers Data'!$C$3:$C$24,Analysis!$F170)</f>
        <v>10</v>
      </c>
      <c r="I170" s="137">
        <f>$H170/SUMIFS('Lawyers Data'!$I$3:$I$24,'Lawyers Data'!$C$3:$C$24,Analysis!$F170)</f>
        <v>0.4</v>
      </c>
      <c r="J170" s="136">
        <f>SUMIFS('Lawyers Data'!$N$3:$N$24,'Lawyers Data'!$C$3:$C$24,Analysis!$F170)</f>
        <v>9</v>
      </c>
      <c r="K170" s="137">
        <f>$J170/SUMIFS('Lawyers Data'!$I$3:$I$24,'Lawyers Data'!$C$3:$C$24,Analysis!$F170)</f>
        <v>0.36</v>
      </c>
    </row>
    <row r="171" spans="6:21" ht="15.75" x14ac:dyDescent="0.25">
      <c r="F171" s="139" t="s">
        <v>49</v>
      </c>
      <c r="G171" s="136">
        <f>INDEX('Lawyers Data'!$I$3:$I$24,MATCH(Analysis!$F171,'Lawyers Data'!$C$3:$C$24,0))</f>
        <v>24</v>
      </c>
      <c r="H171" s="136">
        <f>SUMIFS('Lawyers Data'!$L$3:$L$24,'Lawyers Data'!$C$3:$C$24,Analysis!$F171)</f>
        <v>6</v>
      </c>
      <c r="I171" s="137">
        <f>$H171/SUMIFS('Lawyers Data'!$I$3:$I$24,'Lawyers Data'!$C$3:$C$24,Analysis!$F171)</f>
        <v>0.25</v>
      </c>
      <c r="J171" s="136">
        <f>SUMIFS('Lawyers Data'!$N$3:$N$24,'Lawyers Data'!$C$3:$C$24,Analysis!$F171)</f>
        <v>10</v>
      </c>
      <c r="K171" s="137">
        <f>$J171/SUMIFS('Lawyers Data'!$I$3:$I$24,'Lawyers Data'!$C$3:$C$24,Analysis!$F171)</f>
        <v>0.41666666666666669</v>
      </c>
    </row>
    <row r="172" spans="6:21" ht="15.75" x14ac:dyDescent="0.25">
      <c r="F172" s="139" t="s">
        <v>50</v>
      </c>
      <c r="G172" s="136">
        <f>INDEX('Lawyers Data'!$I$3:$I$24,MATCH(Analysis!$F172,'Lawyers Data'!$C$3:$C$24,0))</f>
        <v>24</v>
      </c>
      <c r="H172" s="136">
        <f>SUMIFS('Lawyers Data'!$L$3:$L$24,'Lawyers Data'!$C$3:$C$24,Analysis!$F172)</f>
        <v>11</v>
      </c>
      <c r="I172" s="137">
        <f>$H172/SUMIFS('Lawyers Data'!$I$3:$I$24,'Lawyers Data'!$C$3:$C$24,Analysis!$F172)</f>
        <v>0.45833333333333331</v>
      </c>
      <c r="J172" s="136">
        <f>SUMIFS('Lawyers Data'!$N$3:$N$24,'Lawyers Data'!$C$3:$C$24,Analysis!$F172)</f>
        <v>8</v>
      </c>
      <c r="K172" s="137">
        <f>$J172/SUMIFS('Lawyers Data'!$I$3:$I$24,'Lawyers Data'!$C$3:$C$24,Analysis!$F172)</f>
        <v>0.33333333333333331</v>
      </c>
    </row>
    <row r="173" spans="6:21" ht="15.75" x14ac:dyDescent="0.25">
      <c r="F173" s="139" t="s">
        <v>51</v>
      </c>
      <c r="G173" s="136">
        <f>INDEX('Lawyers Data'!$I$3:$I$24,MATCH(Analysis!$F173,'Lawyers Data'!$C$3:$C$24,0))</f>
        <v>18</v>
      </c>
      <c r="H173" s="136">
        <f>SUMIFS('Lawyers Data'!$L$3:$L$24,'Lawyers Data'!$C$3:$C$24,Analysis!$F173)</f>
        <v>3</v>
      </c>
      <c r="I173" s="137">
        <f>$H173/SUMIFS('Lawyers Data'!$I$3:$I$24,'Lawyers Data'!$C$3:$C$24,Analysis!$F173)</f>
        <v>0.16666666666666666</v>
      </c>
      <c r="J173" s="136">
        <f>SUMIFS('Lawyers Data'!$N$3:$N$24,'Lawyers Data'!$C$3:$C$24,Analysis!$F173)</f>
        <v>11</v>
      </c>
      <c r="K173" s="137">
        <f>$J173/SUMIFS('Lawyers Data'!$I$3:$I$24,'Lawyers Data'!$C$3:$C$24,Analysis!$F173)</f>
        <v>0.61111111111111116</v>
      </c>
    </row>
    <row r="174" spans="6:21" ht="15.75" x14ac:dyDescent="0.25">
      <c r="F174" s="139" t="s">
        <v>52</v>
      </c>
      <c r="G174" s="136">
        <f>INDEX('Lawyers Data'!$I$3:$I$24,MATCH(Analysis!$F174,'Lawyers Data'!$C$3:$C$24,0))</f>
        <v>14</v>
      </c>
      <c r="H174" s="136">
        <f>SUMIFS('Lawyers Data'!$L$3:$L$24,'Lawyers Data'!$C$3:$C$24,Analysis!$F174)</f>
        <v>4</v>
      </c>
      <c r="I174" s="137">
        <f>$H174/SUMIFS('Lawyers Data'!$I$3:$I$24,'Lawyers Data'!$C$3:$C$24,Analysis!$F174)</f>
        <v>0.2857142857142857</v>
      </c>
      <c r="J174" s="136">
        <f>SUMIFS('Lawyers Data'!$N$3:$N$24,'Lawyers Data'!$C$3:$C$24,Analysis!$F174)</f>
        <v>6</v>
      </c>
      <c r="K174" s="137">
        <f>$J174/SUMIFS('Lawyers Data'!$I$3:$I$24,'Lawyers Data'!$C$3:$C$24,Analysis!$F174)</f>
        <v>0.42857142857142855</v>
      </c>
    </row>
    <row r="175" spans="6:21" ht="15.75" x14ac:dyDescent="0.25">
      <c r="F175" s="139" t="s">
        <v>53</v>
      </c>
      <c r="G175" s="136">
        <f>INDEX('Lawyers Data'!$I$3:$I$24,MATCH(Analysis!$F175,'Lawyers Data'!$C$3:$C$24,0))</f>
        <v>17</v>
      </c>
      <c r="H175" s="136">
        <f>SUMIFS('Lawyers Data'!$L$3:$L$24,'Lawyers Data'!$C$3:$C$24,Analysis!$F175)</f>
        <v>4</v>
      </c>
      <c r="I175" s="137">
        <f>$H175/SUMIFS('Lawyers Data'!$I$3:$I$24,'Lawyers Data'!$C$3:$C$24,Analysis!$F175)</f>
        <v>0.23529411764705882</v>
      </c>
      <c r="J175" s="136">
        <f>SUMIFS('Lawyers Data'!$N$3:$N$24,'Lawyers Data'!$C$3:$C$24,Analysis!$F175)</f>
        <v>7</v>
      </c>
      <c r="K175" s="137">
        <f>$J175/SUMIFS('Lawyers Data'!$I$3:$I$24,'Lawyers Data'!$C$3:$C$24,Analysis!$F175)</f>
        <v>0.41176470588235292</v>
      </c>
    </row>
    <row r="176" spans="6:21" ht="15.75" x14ac:dyDescent="0.25">
      <c r="F176" s="139" t="s">
        <v>54</v>
      </c>
      <c r="G176" s="136">
        <f>INDEX('Lawyers Data'!$I$3:$I$24,MATCH(Analysis!$F176,'Lawyers Data'!$C$3:$C$24,0))</f>
        <v>15</v>
      </c>
      <c r="H176" s="136">
        <f>SUMIFS('Lawyers Data'!$L$3:$L$24,'Lawyers Data'!$C$3:$C$24,Analysis!$F176)</f>
        <v>8</v>
      </c>
      <c r="I176" s="137">
        <f>$H176/SUMIFS('Lawyers Data'!$I$3:$I$24,'Lawyers Data'!$C$3:$C$24,Analysis!$F176)</f>
        <v>0.53333333333333333</v>
      </c>
      <c r="J176" s="136">
        <f>SUMIFS('Lawyers Data'!$N$3:$N$24,'Lawyers Data'!$C$3:$C$24,Analysis!$F176)</f>
        <v>2</v>
      </c>
      <c r="K176" s="137">
        <f>$J176/SUMIFS('Lawyers Data'!$I$3:$I$24,'Lawyers Data'!$C$3:$C$24,Analysis!$F176)</f>
        <v>0.13333333333333333</v>
      </c>
    </row>
    <row r="177" spans="2:11" ht="15.75" x14ac:dyDescent="0.25">
      <c r="F177" s="139" t="s">
        <v>38</v>
      </c>
      <c r="G177" s="136">
        <f>INDEX('Lawyers Data'!$I$3:$I$24,MATCH(Analysis!$F177,'Lawyers Data'!$C$3:$C$24,0))</f>
        <v>16</v>
      </c>
      <c r="H177" s="136">
        <f>SUMIFS('Lawyers Data'!$L$3:$L$24,'Lawyers Data'!$C$3:$C$24,Analysis!$F177)</f>
        <v>5</v>
      </c>
      <c r="I177" s="137">
        <f>$H177/SUMIFS('Lawyers Data'!$I$3:$I$24,'Lawyers Data'!$C$3:$C$24,Analysis!$F177)</f>
        <v>0.3125</v>
      </c>
      <c r="J177" s="136">
        <f>SUMIFS('Lawyers Data'!$N$3:$N$24,'Lawyers Data'!$C$3:$C$24,Analysis!$F177)</f>
        <v>2</v>
      </c>
      <c r="K177" s="137">
        <f>$J177/SUMIFS('Lawyers Data'!$I$3:$I$24,'Lawyers Data'!$C$3:$C$24,Analysis!$F177)</f>
        <v>0.125</v>
      </c>
    </row>
    <row r="178" spans="2:11" ht="15.75" x14ac:dyDescent="0.25">
      <c r="F178" s="139" t="s">
        <v>40</v>
      </c>
      <c r="G178" s="136">
        <f>INDEX('Lawyers Data'!$I$3:$I$24,MATCH(Analysis!$F178,'Lawyers Data'!$C$3:$C$24,0))</f>
        <v>16</v>
      </c>
      <c r="H178" s="136">
        <f>SUMIFS('Lawyers Data'!$L$3:$L$24,'Lawyers Data'!$C$3:$C$24,Analysis!$F178)</f>
        <v>4</v>
      </c>
      <c r="I178" s="137">
        <f>$H178/SUMIFS('Lawyers Data'!$I$3:$I$24,'Lawyers Data'!$C$3:$C$24,Analysis!$F178)</f>
        <v>0.25</v>
      </c>
      <c r="J178" s="136">
        <f>SUMIFS('Lawyers Data'!$N$3:$N$24,'Lawyers Data'!$C$3:$C$24,Analysis!$F178)</f>
        <v>5</v>
      </c>
      <c r="K178" s="137">
        <f>$J178/SUMIFS('Lawyers Data'!$I$3:$I$24,'Lawyers Data'!$C$3:$C$24,Analysis!$F178)</f>
        <v>0.3125</v>
      </c>
    </row>
    <row r="179" spans="2:11" ht="15.75" x14ac:dyDescent="0.25">
      <c r="F179" s="139" t="s">
        <v>34</v>
      </c>
      <c r="G179" s="136">
        <f>INDEX('Lawyers Data'!$I$3:$I$24,MATCH(Analysis!$F179,'Lawyers Data'!$C$3:$C$24,0))</f>
        <v>11</v>
      </c>
      <c r="H179" s="136">
        <f>SUMIFS('Lawyers Data'!$L$3:$L$24,'Lawyers Data'!$C$3:$C$24,Analysis!$F179)</f>
        <v>3</v>
      </c>
      <c r="I179" s="137">
        <f>$H179/SUMIFS('Lawyers Data'!$I$3:$I$24,'Lawyers Data'!$C$3:$C$24,Analysis!$F179)</f>
        <v>0.27272727272727271</v>
      </c>
      <c r="J179" s="136">
        <f>SUMIFS('Lawyers Data'!$N$3:$N$24,'Lawyers Data'!$C$3:$C$24,Analysis!$F179)</f>
        <v>4</v>
      </c>
      <c r="K179" s="137">
        <f>$J179/SUMIFS('Lawyers Data'!$I$3:$I$24,'Lawyers Data'!$C$3:$C$24,Analysis!$F179)</f>
        <v>0.36363636363636365</v>
      </c>
    </row>
    <row r="180" spans="2:11" ht="15.75" x14ac:dyDescent="0.25">
      <c r="F180" s="139" t="s">
        <v>35</v>
      </c>
      <c r="G180" s="136">
        <f>INDEX('Lawyers Data'!$I$3:$I$24,MATCH(Analysis!$F180,'Lawyers Data'!$C$3:$C$24,0))</f>
        <v>9</v>
      </c>
      <c r="H180" s="136">
        <f>SUMIFS('Lawyers Data'!$L$3:$L$24,'Lawyers Data'!$C$3:$C$24,Analysis!$F180)</f>
        <v>4</v>
      </c>
      <c r="I180" s="137">
        <f>$H180/SUMIFS('Lawyers Data'!$I$3:$I$24,'Lawyers Data'!$C$3:$C$24,Analysis!$F180)</f>
        <v>0.44444444444444442</v>
      </c>
      <c r="J180" s="136">
        <f>SUMIFS('Lawyers Data'!$N$3:$N$24,'Lawyers Data'!$C$3:$C$24,Analysis!$F180)</f>
        <v>3</v>
      </c>
      <c r="K180" s="137">
        <f>$J180/SUMIFS('Lawyers Data'!$I$3:$I$24,'Lawyers Data'!$C$3:$C$24,Analysis!$F180)</f>
        <v>0.33333333333333331</v>
      </c>
    </row>
    <row r="181" spans="2:11" ht="15.75" x14ac:dyDescent="0.25">
      <c r="F181" s="139" t="s">
        <v>36</v>
      </c>
      <c r="G181" s="136">
        <f>INDEX('Lawyers Data'!$I$3:$I$24,MATCH(Analysis!$F181,'Lawyers Data'!$C$3:$C$24,0))</f>
        <v>11</v>
      </c>
      <c r="H181" s="136">
        <f>SUMIFS('Lawyers Data'!$L$3:$L$24,'Lawyers Data'!$C$3:$C$24,Analysis!$F181)</f>
        <v>3</v>
      </c>
      <c r="I181" s="137">
        <f>$H181/SUMIFS('Lawyers Data'!$I$3:$I$24,'Lawyers Data'!$C$3:$C$24,Analysis!$F181)</f>
        <v>0.27272727272727271</v>
      </c>
      <c r="J181" s="136">
        <f>SUMIFS('Lawyers Data'!$N$3:$N$24,'Lawyers Data'!$C$3:$C$24,Analysis!$F181)</f>
        <v>4</v>
      </c>
      <c r="K181" s="137">
        <f>$J181/SUMIFS('Lawyers Data'!$I$3:$I$24,'Lawyers Data'!$C$3:$C$24,Analysis!$F181)</f>
        <v>0.36363636363636365</v>
      </c>
    </row>
    <row r="182" spans="2:11" ht="15.75" x14ac:dyDescent="0.25">
      <c r="F182" s="139" t="s">
        <v>37</v>
      </c>
      <c r="G182" s="136">
        <f>INDEX('Lawyers Data'!$I$3:$I$24,MATCH(Analysis!$F182,'Lawyers Data'!$C$3:$C$24,0))</f>
        <v>14</v>
      </c>
      <c r="H182" s="136">
        <f>SUMIFS('Lawyers Data'!$L$3:$L$24,'Lawyers Data'!$C$3:$C$24,Analysis!$F182)</f>
        <v>2</v>
      </c>
      <c r="I182" s="137">
        <f>$H182/SUMIFS('Lawyers Data'!$I$3:$I$24,'Lawyers Data'!$C$3:$C$24,Analysis!$F182)</f>
        <v>0.14285714285714285</v>
      </c>
      <c r="J182" s="136">
        <f>SUMIFS('Lawyers Data'!$N$3:$N$24,'Lawyers Data'!$C$3:$C$24,Analysis!$F182)</f>
        <v>6</v>
      </c>
      <c r="K182" s="137">
        <f>$J182/SUMIFS('Lawyers Data'!$I$3:$I$24,'Lawyers Data'!$C$3:$C$24,Analysis!$F182)</f>
        <v>0.42857142857142855</v>
      </c>
    </row>
    <row r="184" spans="2:11" s="47" customFormat="1" x14ac:dyDescent="0.25"/>
    <row r="185" spans="2:11" ht="15.75" thickBot="1" x14ac:dyDescent="0.3"/>
    <row r="186" spans="2:11" ht="16.5" thickBot="1" x14ac:dyDescent="0.3">
      <c r="B186" s="48" t="s">
        <v>397</v>
      </c>
    </row>
    <row r="187" spans="2:11" ht="15.75" thickBot="1" x14ac:dyDescent="0.3"/>
    <row r="188" spans="2:11" x14ac:dyDescent="0.25">
      <c r="C188" s="12" t="s">
        <v>398</v>
      </c>
      <c r="D188" s="82">
        <f>COUNTA('Clients Data'!$C$3:$C$24)</f>
        <v>22</v>
      </c>
    </row>
    <row r="189" spans="2:11" x14ac:dyDescent="0.25">
      <c r="C189" s="13" t="s">
        <v>344</v>
      </c>
      <c r="D189" s="83">
        <f>COUNTA(Tracker!$S$3:$S$503)</f>
        <v>501</v>
      </c>
    </row>
    <row r="190" spans="2:11" x14ac:dyDescent="0.25">
      <c r="C190" s="13" t="s">
        <v>395</v>
      </c>
      <c r="D190" s="84">
        <f>SUM('Clients Data'!$J$3:$J$24)</f>
        <v>6635698.7999999998</v>
      </c>
    </row>
    <row r="191" spans="2:11" x14ac:dyDescent="0.25">
      <c r="C191" s="80" t="s">
        <v>399</v>
      </c>
      <c r="D191" s="85">
        <f>SUM('Clients Data'!$K$3:$K$24)</f>
        <v>4572313.1160000004</v>
      </c>
    </row>
    <row r="192" spans="2:11" ht="15.75" thickBot="1" x14ac:dyDescent="0.3">
      <c r="C192" s="66" t="s">
        <v>400</v>
      </c>
      <c r="D192" s="86">
        <f>$D$190-$D$191</f>
        <v>2063385.6839999994</v>
      </c>
    </row>
    <row r="194" spans="2:12" x14ac:dyDescent="0.25">
      <c r="B194" s="213" t="s">
        <v>288</v>
      </c>
      <c r="C194" s="213"/>
      <c r="D194" s="213"/>
      <c r="E194" s="213"/>
      <c r="F194" s="213"/>
      <c r="H194" s="213" t="s">
        <v>402</v>
      </c>
      <c r="I194" s="213"/>
      <c r="J194" s="213"/>
      <c r="K194" s="213"/>
      <c r="L194" s="213"/>
    </row>
    <row r="195" spans="2:12" x14ac:dyDescent="0.25">
      <c r="H195" s="44">
        <f>'Clients Dashboard'!$Q$12</f>
        <v>2022</v>
      </c>
      <c r="I195" s="44" t="str">
        <f>'Clients Dashboard'!$Y$12</f>
        <v>Jan</v>
      </c>
    </row>
    <row r="196" spans="2:12" x14ac:dyDescent="0.25">
      <c r="B196" s="17" t="s">
        <v>2</v>
      </c>
      <c r="C196" s="46" t="s">
        <v>165</v>
      </c>
      <c r="D196" s="46" t="s">
        <v>164</v>
      </c>
      <c r="E196" s="46" t="s">
        <v>163</v>
      </c>
      <c r="F196" s="46" t="s">
        <v>344</v>
      </c>
      <c r="H196" s="17" t="s">
        <v>2</v>
      </c>
      <c r="I196" s="46" t="s">
        <v>165</v>
      </c>
      <c r="J196" s="46" t="s">
        <v>164</v>
      </c>
      <c r="K196" s="46" t="s">
        <v>162</v>
      </c>
      <c r="L196" s="46" t="s">
        <v>344</v>
      </c>
    </row>
    <row r="197" spans="2:12" x14ac:dyDescent="0.25">
      <c r="B197" s="3" t="s">
        <v>7</v>
      </c>
      <c r="C197" s="129">
        <f>COUNTIFS(Tracker!$C$3:$C$503,Analysis!$B197,Tracker!$P$3:$P$503,C$196)</f>
        <v>9</v>
      </c>
      <c r="D197" s="129">
        <f>COUNTIFS(Tracker!$C$3:$C$503,Analysis!$B197,Tracker!$P$3:$P$503,D$196)</f>
        <v>6</v>
      </c>
      <c r="E197" s="129">
        <f>COUNTIFS(Tracker!$C$3:$C$503,Analysis!$B197,Tracker!$P$3:$P$503,E$196)</f>
        <v>0</v>
      </c>
      <c r="F197" s="129">
        <f t="shared" ref="F197:F218" si="5">SUM($C197:$E197)</f>
        <v>15</v>
      </c>
      <c r="H197" s="3" t="s">
        <v>7</v>
      </c>
      <c r="I197" s="129">
        <f>COUNTIFS(Tracker!$C$3:$C$503,Analysis!$H197,Tracker!$P$3:$P$503,I$196,Tracker!$U$3:$U$503,Analysis!$H$195,Tracker!$V$3:$V$503,Analysis!$I$195)</f>
        <v>0</v>
      </c>
      <c r="J197" s="129">
        <f>COUNTIFS(Tracker!$C$3:$C$503,Analysis!$H197,Tracker!$P$3:$P$503,J$196,Tracker!$U$3:$U$503,Analysis!$H$195,Tracker!$V$3:$V$503,Analysis!$I$195)</f>
        <v>0</v>
      </c>
      <c r="K197" s="129">
        <f>COUNTIFS(Tracker!$C$3:$C$503,Analysis!$H197,Tracker!$P$3:$P$503,K$196,Tracker!$U$3:$U$503,Analysis!$H$195,Tracker!$V$3:$V$503,Analysis!$I$195)</f>
        <v>0</v>
      </c>
      <c r="L197" s="129">
        <f>SUM($I197:$K197)</f>
        <v>0</v>
      </c>
    </row>
    <row r="198" spans="2:12" x14ac:dyDescent="0.25">
      <c r="B198" s="68" t="s">
        <v>10</v>
      </c>
      <c r="C198" s="94">
        <f>COUNTIFS(Tracker!$C$3:$C$503,Analysis!$B198,Tracker!$P$3:$P$503,C$196)</f>
        <v>5</v>
      </c>
      <c r="D198" s="94">
        <f>COUNTIFS(Tracker!$C$3:$C$503,Analysis!$B198,Tracker!$P$3:$P$503,D$196)</f>
        <v>6</v>
      </c>
      <c r="E198" s="94">
        <f>COUNTIFS(Tracker!$C$3:$C$503,Analysis!$B198,Tracker!$P$3:$P$503,E$196)</f>
        <v>1</v>
      </c>
      <c r="F198" s="94">
        <f t="shared" si="5"/>
        <v>12</v>
      </c>
      <c r="H198" s="68" t="s">
        <v>10</v>
      </c>
      <c r="I198" s="129">
        <f>COUNTIFS(Tracker!$C$3:$C$503,Analysis!$H198,Tracker!$P$3:$P$503,I$196,Tracker!$U$3:$U$503,Analysis!$H$195,Tracker!$V$3:$V$503,Analysis!$I$195)</f>
        <v>0</v>
      </c>
      <c r="J198" s="129">
        <f>COUNTIFS(Tracker!$C$3:$C$503,Analysis!$H198,Tracker!$P$3:$P$503,J$196,Tracker!$U$3:$U$503,Analysis!$H$195,Tracker!$V$3:$V$503,Analysis!$I$195)</f>
        <v>0</v>
      </c>
      <c r="K198" s="129">
        <f>COUNTIFS(Tracker!$C$3:$C$503,Analysis!$H198,Tracker!$P$3:$P$503,K$196,Tracker!$U$3:$U$503,Analysis!$H$195,Tracker!$V$3:$V$503,Analysis!$I$195)</f>
        <v>0</v>
      </c>
      <c r="L198" s="129">
        <f t="shared" ref="L198:L218" si="6">SUM($I198:$K198)</f>
        <v>0</v>
      </c>
    </row>
    <row r="199" spans="2:12" x14ac:dyDescent="0.25">
      <c r="B199" s="15" t="s">
        <v>69</v>
      </c>
      <c r="C199" s="74">
        <f>COUNTIFS(Tracker!$C$3:$C$503,Analysis!$B199,Tracker!$P$3:$P$503,C$196)</f>
        <v>8</v>
      </c>
      <c r="D199" s="74">
        <f>COUNTIFS(Tracker!$C$3:$C$503,Analysis!$B199,Tracker!$P$3:$P$503,D$196)</f>
        <v>9</v>
      </c>
      <c r="E199" s="74">
        <f>COUNTIFS(Tracker!$C$3:$C$503,Analysis!$B199,Tracker!$P$3:$P$503,E$196)</f>
        <v>1</v>
      </c>
      <c r="F199" s="74">
        <f t="shared" si="5"/>
        <v>18</v>
      </c>
      <c r="H199" s="15" t="s">
        <v>69</v>
      </c>
      <c r="I199" s="129">
        <f>COUNTIFS(Tracker!$C$3:$C$503,Analysis!$H199,Tracker!$P$3:$P$503,I$196,Tracker!$U$3:$U$503,Analysis!$H$195,Tracker!$V$3:$V$503,Analysis!$I$195)</f>
        <v>0</v>
      </c>
      <c r="J199" s="129">
        <f>COUNTIFS(Tracker!$C$3:$C$503,Analysis!$H199,Tracker!$P$3:$P$503,J$196,Tracker!$U$3:$U$503,Analysis!$H$195,Tracker!$V$3:$V$503,Analysis!$I$195)</f>
        <v>0</v>
      </c>
      <c r="K199" s="129">
        <f>COUNTIFS(Tracker!$C$3:$C$503,Analysis!$H199,Tracker!$P$3:$P$503,K$196,Tracker!$U$3:$U$503,Analysis!$H$195,Tracker!$V$3:$V$503,Analysis!$I$195)</f>
        <v>0</v>
      </c>
      <c r="L199" s="129">
        <f t="shared" si="6"/>
        <v>0</v>
      </c>
    </row>
    <row r="200" spans="2:12" x14ac:dyDescent="0.25">
      <c r="B200" s="15" t="s">
        <v>70</v>
      </c>
      <c r="C200" s="74">
        <f>COUNTIFS(Tracker!$C$3:$C$503,Analysis!$B200,Tracker!$P$3:$P$503,C$196)</f>
        <v>6</v>
      </c>
      <c r="D200" s="74">
        <f>COUNTIFS(Tracker!$C$3:$C$503,Analysis!$B200,Tracker!$P$3:$P$503,D$196)</f>
        <v>11</v>
      </c>
      <c r="E200" s="74">
        <f>COUNTIFS(Tracker!$C$3:$C$503,Analysis!$B200,Tracker!$P$3:$P$503,E$196)</f>
        <v>0</v>
      </c>
      <c r="F200" s="74">
        <f t="shared" si="5"/>
        <v>17</v>
      </c>
      <c r="H200" s="15" t="s">
        <v>70</v>
      </c>
      <c r="I200" s="129">
        <f>COUNTIFS(Tracker!$C$3:$C$503,Analysis!$H200,Tracker!$P$3:$P$503,I$196,Tracker!$U$3:$U$503,Analysis!$H$195,Tracker!$V$3:$V$503,Analysis!$I$195)</f>
        <v>0</v>
      </c>
      <c r="J200" s="129">
        <f>COUNTIFS(Tracker!$C$3:$C$503,Analysis!$H200,Tracker!$P$3:$P$503,J$196,Tracker!$U$3:$U$503,Analysis!$H$195,Tracker!$V$3:$V$503,Analysis!$I$195)</f>
        <v>0</v>
      </c>
      <c r="K200" s="129">
        <f>COUNTIFS(Tracker!$C$3:$C$503,Analysis!$H200,Tracker!$P$3:$P$503,K$196,Tracker!$U$3:$U$503,Analysis!$H$195,Tracker!$V$3:$V$503,Analysis!$I$195)</f>
        <v>0</v>
      </c>
      <c r="L200" s="129">
        <f t="shared" si="6"/>
        <v>0</v>
      </c>
    </row>
    <row r="201" spans="2:12" x14ac:dyDescent="0.25">
      <c r="B201" s="15" t="s">
        <v>71</v>
      </c>
      <c r="C201" s="74">
        <f>COUNTIFS(Tracker!$C$3:$C$503,Analysis!$B201,Tracker!$P$3:$P$503,C$196)</f>
        <v>9</v>
      </c>
      <c r="D201" s="74">
        <f>COUNTIFS(Tracker!$C$3:$C$503,Analysis!$B201,Tracker!$P$3:$P$503,D$196)</f>
        <v>9</v>
      </c>
      <c r="E201" s="74">
        <f>COUNTIFS(Tracker!$C$3:$C$503,Analysis!$B201,Tracker!$P$3:$P$503,E$196)</f>
        <v>1</v>
      </c>
      <c r="F201" s="74">
        <f t="shared" si="5"/>
        <v>19</v>
      </c>
      <c r="H201" s="15" t="s">
        <v>71</v>
      </c>
      <c r="I201" s="129">
        <f>COUNTIFS(Tracker!$C$3:$C$503,Analysis!$H201,Tracker!$P$3:$P$503,I$196,Tracker!$U$3:$U$503,Analysis!$H$195,Tracker!$V$3:$V$503,Analysis!$I$195)</f>
        <v>0</v>
      </c>
      <c r="J201" s="129">
        <f>COUNTIFS(Tracker!$C$3:$C$503,Analysis!$H201,Tracker!$P$3:$P$503,J$196,Tracker!$U$3:$U$503,Analysis!$H$195,Tracker!$V$3:$V$503,Analysis!$I$195)</f>
        <v>0</v>
      </c>
      <c r="K201" s="129">
        <f>COUNTIFS(Tracker!$C$3:$C$503,Analysis!$H201,Tracker!$P$3:$P$503,K$196,Tracker!$U$3:$U$503,Analysis!$H$195,Tracker!$V$3:$V$503,Analysis!$I$195)</f>
        <v>0</v>
      </c>
      <c r="L201" s="129">
        <f t="shared" si="6"/>
        <v>0</v>
      </c>
    </row>
    <row r="202" spans="2:12" x14ac:dyDescent="0.25">
      <c r="B202" s="15" t="s">
        <v>72</v>
      </c>
      <c r="C202" s="74">
        <f>COUNTIFS(Tracker!$C$3:$C$503,Analysis!$B202,Tracker!$P$3:$P$503,C$196)</f>
        <v>5</v>
      </c>
      <c r="D202" s="74">
        <f>COUNTIFS(Tracker!$C$3:$C$503,Analysis!$B202,Tracker!$P$3:$P$503,D$196)</f>
        <v>14</v>
      </c>
      <c r="E202" s="74">
        <f>COUNTIFS(Tracker!$C$3:$C$503,Analysis!$B202,Tracker!$P$3:$P$503,E$196)</f>
        <v>1</v>
      </c>
      <c r="F202" s="74">
        <f t="shared" si="5"/>
        <v>20</v>
      </c>
      <c r="H202" s="15" t="s">
        <v>72</v>
      </c>
      <c r="I202" s="129">
        <f>COUNTIFS(Tracker!$C$3:$C$503,Analysis!$H202,Tracker!$P$3:$P$503,I$196,Tracker!$U$3:$U$503,Analysis!$H$195,Tracker!$V$3:$V$503,Analysis!$I$195)</f>
        <v>0</v>
      </c>
      <c r="J202" s="129">
        <f>COUNTIFS(Tracker!$C$3:$C$503,Analysis!$H202,Tracker!$P$3:$P$503,J$196,Tracker!$U$3:$U$503,Analysis!$H$195,Tracker!$V$3:$V$503,Analysis!$I$195)</f>
        <v>1</v>
      </c>
      <c r="K202" s="129">
        <f>COUNTIFS(Tracker!$C$3:$C$503,Analysis!$H202,Tracker!$P$3:$P$503,K$196,Tracker!$U$3:$U$503,Analysis!$H$195,Tracker!$V$3:$V$503,Analysis!$I$195)</f>
        <v>0</v>
      </c>
      <c r="L202" s="129">
        <f t="shared" si="6"/>
        <v>1</v>
      </c>
    </row>
    <row r="203" spans="2:12" x14ac:dyDescent="0.25">
      <c r="B203" s="15" t="s">
        <v>73</v>
      </c>
      <c r="C203" s="74">
        <f>COUNTIFS(Tracker!$C$3:$C$503,Analysis!$B203,Tracker!$P$3:$P$503,C$196)</f>
        <v>8</v>
      </c>
      <c r="D203" s="74">
        <f>COUNTIFS(Tracker!$C$3:$C$503,Analysis!$B203,Tracker!$P$3:$P$503,D$196)</f>
        <v>7</v>
      </c>
      <c r="E203" s="74">
        <f>COUNTIFS(Tracker!$C$3:$C$503,Analysis!$B203,Tracker!$P$3:$P$503,E$196)</f>
        <v>1</v>
      </c>
      <c r="F203" s="74">
        <f t="shared" si="5"/>
        <v>16</v>
      </c>
      <c r="H203" s="15" t="s">
        <v>73</v>
      </c>
      <c r="I203" s="129">
        <f>COUNTIFS(Tracker!$C$3:$C$503,Analysis!$H203,Tracker!$P$3:$P$503,I$196,Tracker!$U$3:$U$503,Analysis!$H$195,Tracker!$V$3:$V$503,Analysis!$I$195)</f>
        <v>0</v>
      </c>
      <c r="J203" s="129">
        <f>COUNTIFS(Tracker!$C$3:$C$503,Analysis!$H203,Tracker!$P$3:$P$503,J$196,Tracker!$U$3:$U$503,Analysis!$H$195,Tracker!$V$3:$V$503,Analysis!$I$195)</f>
        <v>0</v>
      </c>
      <c r="K203" s="129">
        <f>COUNTIFS(Tracker!$C$3:$C$503,Analysis!$H203,Tracker!$P$3:$P$503,K$196,Tracker!$U$3:$U$503,Analysis!$H$195,Tracker!$V$3:$V$503,Analysis!$I$195)</f>
        <v>0</v>
      </c>
      <c r="L203" s="129">
        <f t="shared" si="6"/>
        <v>0</v>
      </c>
    </row>
    <row r="204" spans="2:12" x14ac:dyDescent="0.25">
      <c r="B204" s="15" t="s">
        <v>74</v>
      </c>
      <c r="C204" s="74">
        <f>COUNTIFS(Tracker!$C$3:$C$503,Analysis!$B204,Tracker!$P$3:$P$503,C$196)</f>
        <v>15</v>
      </c>
      <c r="D204" s="74">
        <f>COUNTIFS(Tracker!$C$3:$C$503,Analysis!$B204,Tracker!$P$3:$P$503,D$196)</f>
        <v>3</v>
      </c>
      <c r="E204" s="74">
        <f>COUNTIFS(Tracker!$C$3:$C$503,Analysis!$B204,Tracker!$P$3:$P$503,E$196)</f>
        <v>0</v>
      </c>
      <c r="F204" s="74">
        <f t="shared" si="5"/>
        <v>18</v>
      </c>
      <c r="H204" s="15" t="s">
        <v>74</v>
      </c>
      <c r="I204" s="129">
        <f>COUNTIFS(Tracker!$C$3:$C$503,Analysis!$H204,Tracker!$P$3:$P$503,I$196,Tracker!$U$3:$U$503,Analysis!$H$195,Tracker!$V$3:$V$503,Analysis!$I$195)</f>
        <v>1</v>
      </c>
      <c r="J204" s="129">
        <f>COUNTIFS(Tracker!$C$3:$C$503,Analysis!$H204,Tracker!$P$3:$P$503,J$196,Tracker!$U$3:$U$503,Analysis!$H$195,Tracker!$V$3:$V$503,Analysis!$I$195)</f>
        <v>0</v>
      </c>
      <c r="K204" s="129">
        <f>COUNTIFS(Tracker!$C$3:$C$503,Analysis!$H204,Tracker!$P$3:$P$503,K$196,Tracker!$U$3:$U$503,Analysis!$H$195,Tracker!$V$3:$V$503,Analysis!$I$195)</f>
        <v>0</v>
      </c>
      <c r="L204" s="129">
        <f t="shared" si="6"/>
        <v>1</v>
      </c>
    </row>
    <row r="205" spans="2:12" x14ac:dyDescent="0.25">
      <c r="B205" s="15" t="s">
        <v>75</v>
      </c>
      <c r="C205" s="74">
        <f>COUNTIFS(Tracker!$C$3:$C$503,Analysis!$B205,Tracker!$P$3:$P$503,C$196)</f>
        <v>7</v>
      </c>
      <c r="D205" s="74">
        <f>COUNTIFS(Tracker!$C$3:$C$503,Analysis!$B205,Tracker!$P$3:$P$503,D$196)</f>
        <v>7</v>
      </c>
      <c r="E205" s="74">
        <f>COUNTIFS(Tracker!$C$3:$C$503,Analysis!$B205,Tracker!$P$3:$P$503,E$196)</f>
        <v>0</v>
      </c>
      <c r="F205" s="74">
        <f t="shared" si="5"/>
        <v>14</v>
      </c>
      <c r="H205" s="15" t="s">
        <v>75</v>
      </c>
      <c r="I205" s="129">
        <f>COUNTIFS(Tracker!$C$3:$C$503,Analysis!$H205,Tracker!$P$3:$P$503,I$196,Tracker!$U$3:$U$503,Analysis!$H$195,Tracker!$V$3:$V$503,Analysis!$I$195)</f>
        <v>0</v>
      </c>
      <c r="J205" s="129">
        <f>COUNTIFS(Tracker!$C$3:$C$503,Analysis!$H205,Tracker!$P$3:$P$503,J$196,Tracker!$U$3:$U$503,Analysis!$H$195,Tracker!$V$3:$V$503,Analysis!$I$195)</f>
        <v>0</v>
      </c>
      <c r="K205" s="129">
        <f>COUNTIFS(Tracker!$C$3:$C$503,Analysis!$H205,Tracker!$P$3:$P$503,K$196,Tracker!$U$3:$U$503,Analysis!$H$195,Tracker!$V$3:$V$503,Analysis!$I$195)</f>
        <v>0</v>
      </c>
      <c r="L205" s="129">
        <f t="shared" si="6"/>
        <v>0</v>
      </c>
    </row>
    <row r="206" spans="2:12" x14ac:dyDescent="0.25">
      <c r="B206" s="15" t="s">
        <v>76</v>
      </c>
      <c r="C206" s="74">
        <f>COUNTIFS(Tracker!$C$3:$C$503,Analysis!$B206,Tracker!$P$3:$P$503,C$196)</f>
        <v>10</v>
      </c>
      <c r="D206" s="74">
        <f>COUNTIFS(Tracker!$C$3:$C$503,Analysis!$B206,Tracker!$P$3:$P$503,D$196)</f>
        <v>9</v>
      </c>
      <c r="E206" s="74">
        <f>COUNTIFS(Tracker!$C$3:$C$503,Analysis!$B206,Tracker!$P$3:$P$503,E$196)</f>
        <v>2</v>
      </c>
      <c r="F206" s="74">
        <f t="shared" si="5"/>
        <v>21</v>
      </c>
      <c r="H206" s="15" t="s">
        <v>76</v>
      </c>
      <c r="I206" s="129">
        <f>COUNTIFS(Tracker!$C$3:$C$503,Analysis!$H206,Tracker!$P$3:$P$503,I$196,Tracker!$U$3:$U$503,Analysis!$H$195,Tracker!$V$3:$V$503,Analysis!$I$195)</f>
        <v>0</v>
      </c>
      <c r="J206" s="129">
        <f>COUNTIFS(Tracker!$C$3:$C$503,Analysis!$H206,Tracker!$P$3:$P$503,J$196,Tracker!$U$3:$U$503,Analysis!$H$195,Tracker!$V$3:$V$503,Analysis!$I$195)</f>
        <v>0</v>
      </c>
      <c r="K206" s="129">
        <f>COUNTIFS(Tracker!$C$3:$C$503,Analysis!$H206,Tracker!$P$3:$P$503,K$196,Tracker!$U$3:$U$503,Analysis!$H$195,Tracker!$V$3:$V$503,Analysis!$I$195)</f>
        <v>0</v>
      </c>
      <c r="L206" s="129">
        <f t="shared" si="6"/>
        <v>0</v>
      </c>
    </row>
    <row r="207" spans="2:12" x14ac:dyDescent="0.25">
      <c r="B207" s="15" t="s">
        <v>77</v>
      </c>
      <c r="C207" s="74">
        <f>COUNTIFS(Tracker!$C$3:$C$503,Analysis!$B207,Tracker!$P$3:$P$503,C$196)</f>
        <v>6</v>
      </c>
      <c r="D207" s="74">
        <f>COUNTIFS(Tracker!$C$3:$C$503,Analysis!$B207,Tracker!$P$3:$P$503,D$196)</f>
        <v>10</v>
      </c>
      <c r="E207" s="74">
        <f>COUNTIFS(Tracker!$C$3:$C$503,Analysis!$B207,Tracker!$P$3:$P$503,E$196)</f>
        <v>1</v>
      </c>
      <c r="F207" s="74">
        <f t="shared" si="5"/>
        <v>17</v>
      </c>
      <c r="H207" s="15" t="s">
        <v>77</v>
      </c>
      <c r="I207" s="129">
        <f>COUNTIFS(Tracker!$C$3:$C$503,Analysis!$H207,Tracker!$P$3:$P$503,I$196,Tracker!$U$3:$U$503,Analysis!$H$195,Tracker!$V$3:$V$503,Analysis!$I$195)</f>
        <v>1</v>
      </c>
      <c r="J207" s="129">
        <f>COUNTIFS(Tracker!$C$3:$C$503,Analysis!$H207,Tracker!$P$3:$P$503,J$196,Tracker!$U$3:$U$503,Analysis!$H$195,Tracker!$V$3:$V$503,Analysis!$I$195)</f>
        <v>0</v>
      </c>
      <c r="K207" s="129">
        <f>COUNTIFS(Tracker!$C$3:$C$503,Analysis!$H207,Tracker!$P$3:$P$503,K$196,Tracker!$U$3:$U$503,Analysis!$H$195,Tracker!$V$3:$V$503,Analysis!$I$195)</f>
        <v>1</v>
      </c>
      <c r="L207" s="129">
        <f t="shared" si="6"/>
        <v>2</v>
      </c>
    </row>
    <row r="208" spans="2:12" x14ac:dyDescent="0.25">
      <c r="B208" s="15" t="s">
        <v>78</v>
      </c>
      <c r="C208" s="74">
        <f>COUNTIFS(Tracker!$C$3:$C$503,Analysis!$B208,Tracker!$P$3:$P$503,C$196)</f>
        <v>11</v>
      </c>
      <c r="D208" s="74">
        <f>COUNTIFS(Tracker!$C$3:$C$503,Analysis!$B208,Tracker!$P$3:$P$503,D$196)</f>
        <v>8</v>
      </c>
      <c r="E208" s="74">
        <f>COUNTIFS(Tracker!$C$3:$C$503,Analysis!$B208,Tracker!$P$3:$P$503,E$196)</f>
        <v>2</v>
      </c>
      <c r="F208" s="74">
        <f t="shared" si="5"/>
        <v>21</v>
      </c>
      <c r="H208" s="15" t="s">
        <v>78</v>
      </c>
      <c r="I208" s="129">
        <f>COUNTIFS(Tracker!$C$3:$C$503,Analysis!$H208,Tracker!$P$3:$P$503,I$196,Tracker!$U$3:$U$503,Analysis!$H$195,Tracker!$V$3:$V$503,Analysis!$I$195)</f>
        <v>0</v>
      </c>
      <c r="J208" s="129">
        <f>COUNTIFS(Tracker!$C$3:$C$503,Analysis!$H208,Tracker!$P$3:$P$503,J$196,Tracker!$U$3:$U$503,Analysis!$H$195,Tracker!$V$3:$V$503,Analysis!$I$195)</f>
        <v>0</v>
      </c>
      <c r="K208" s="129">
        <f>COUNTIFS(Tracker!$C$3:$C$503,Analysis!$H208,Tracker!$P$3:$P$503,K$196,Tracker!$U$3:$U$503,Analysis!$H$195,Tracker!$V$3:$V$503,Analysis!$I$195)</f>
        <v>0</v>
      </c>
      <c r="L208" s="129">
        <f t="shared" si="6"/>
        <v>0</v>
      </c>
    </row>
    <row r="209" spans="2:12" x14ac:dyDescent="0.25">
      <c r="B209" s="15" t="s">
        <v>79</v>
      </c>
      <c r="C209" s="74">
        <f>COUNTIFS(Tracker!$C$3:$C$503,Analysis!$B209,Tracker!$P$3:$P$503,C$196)</f>
        <v>3</v>
      </c>
      <c r="D209" s="74">
        <f>COUNTIFS(Tracker!$C$3:$C$503,Analysis!$B209,Tracker!$P$3:$P$503,D$196)</f>
        <v>11</v>
      </c>
      <c r="E209" s="74">
        <f>COUNTIFS(Tracker!$C$3:$C$503,Analysis!$B209,Tracker!$P$3:$P$503,E$196)</f>
        <v>2</v>
      </c>
      <c r="F209" s="74">
        <f t="shared" si="5"/>
        <v>16</v>
      </c>
      <c r="H209" s="15" t="s">
        <v>79</v>
      </c>
      <c r="I209" s="129">
        <f>COUNTIFS(Tracker!$C$3:$C$503,Analysis!$H209,Tracker!$P$3:$P$503,I$196,Tracker!$U$3:$U$503,Analysis!$H$195,Tracker!$V$3:$V$503,Analysis!$I$195)</f>
        <v>0</v>
      </c>
      <c r="J209" s="129">
        <f>COUNTIFS(Tracker!$C$3:$C$503,Analysis!$H209,Tracker!$P$3:$P$503,J$196,Tracker!$U$3:$U$503,Analysis!$H$195,Tracker!$V$3:$V$503,Analysis!$I$195)</f>
        <v>1</v>
      </c>
      <c r="K209" s="129">
        <f>COUNTIFS(Tracker!$C$3:$C$503,Analysis!$H209,Tracker!$P$3:$P$503,K$196,Tracker!$U$3:$U$503,Analysis!$H$195,Tracker!$V$3:$V$503,Analysis!$I$195)</f>
        <v>0</v>
      </c>
      <c r="L209" s="129">
        <f t="shared" si="6"/>
        <v>1</v>
      </c>
    </row>
    <row r="210" spans="2:12" x14ac:dyDescent="0.25">
      <c r="B210" s="15" t="s">
        <v>80</v>
      </c>
      <c r="C210" s="74">
        <f>COUNTIFS(Tracker!$C$3:$C$503,Analysis!$B210,Tracker!$P$3:$P$503,C$196)</f>
        <v>4</v>
      </c>
      <c r="D210" s="74">
        <f>COUNTIFS(Tracker!$C$3:$C$503,Analysis!$B210,Tracker!$P$3:$P$503,D$196)</f>
        <v>6</v>
      </c>
      <c r="E210" s="74">
        <f>COUNTIFS(Tracker!$C$3:$C$503,Analysis!$B210,Tracker!$P$3:$P$503,E$196)</f>
        <v>2</v>
      </c>
      <c r="F210" s="74">
        <f t="shared" si="5"/>
        <v>12</v>
      </c>
      <c r="H210" s="15" t="s">
        <v>80</v>
      </c>
      <c r="I210" s="129">
        <f>COUNTIFS(Tracker!$C$3:$C$503,Analysis!$H210,Tracker!$P$3:$P$503,I$196,Tracker!$U$3:$U$503,Analysis!$H$195,Tracker!$V$3:$V$503,Analysis!$I$195)</f>
        <v>0</v>
      </c>
      <c r="J210" s="129">
        <f>COUNTIFS(Tracker!$C$3:$C$503,Analysis!$H210,Tracker!$P$3:$P$503,J$196,Tracker!$U$3:$U$503,Analysis!$H$195,Tracker!$V$3:$V$503,Analysis!$I$195)</f>
        <v>0</v>
      </c>
      <c r="K210" s="129">
        <f>COUNTIFS(Tracker!$C$3:$C$503,Analysis!$H210,Tracker!$P$3:$P$503,K$196,Tracker!$U$3:$U$503,Analysis!$H$195,Tracker!$V$3:$V$503,Analysis!$I$195)</f>
        <v>0</v>
      </c>
      <c r="L210" s="129">
        <f t="shared" si="6"/>
        <v>0</v>
      </c>
    </row>
    <row r="211" spans="2:12" x14ac:dyDescent="0.25">
      <c r="B211" s="15" t="s">
        <v>81</v>
      </c>
      <c r="C211" s="74">
        <f>COUNTIFS(Tracker!$C$3:$C$503,Analysis!$B211,Tracker!$P$3:$P$503,C$196)</f>
        <v>4</v>
      </c>
      <c r="D211" s="74">
        <f>COUNTIFS(Tracker!$C$3:$C$503,Analysis!$B211,Tracker!$P$3:$P$503,D$196)</f>
        <v>7</v>
      </c>
      <c r="E211" s="74">
        <f>COUNTIFS(Tracker!$C$3:$C$503,Analysis!$B211,Tracker!$P$3:$P$503,E$196)</f>
        <v>0</v>
      </c>
      <c r="F211" s="74">
        <f t="shared" si="5"/>
        <v>11</v>
      </c>
      <c r="H211" s="15" t="s">
        <v>81</v>
      </c>
      <c r="I211" s="129">
        <f>COUNTIFS(Tracker!$C$3:$C$503,Analysis!$H211,Tracker!$P$3:$P$503,I$196,Tracker!$U$3:$U$503,Analysis!$H$195,Tracker!$V$3:$V$503,Analysis!$I$195)</f>
        <v>0</v>
      </c>
      <c r="J211" s="129">
        <f>COUNTIFS(Tracker!$C$3:$C$503,Analysis!$H211,Tracker!$P$3:$P$503,J$196,Tracker!$U$3:$U$503,Analysis!$H$195,Tracker!$V$3:$V$503,Analysis!$I$195)</f>
        <v>0</v>
      </c>
      <c r="K211" s="129">
        <f>COUNTIFS(Tracker!$C$3:$C$503,Analysis!$H211,Tracker!$P$3:$P$503,K$196,Tracker!$U$3:$U$503,Analysis!$H$195,Tracker!$V$3:$V$503,Analysis!$I$195)</f>
        <v>0</v>
      </c>
      <c r="L211" s="129">
        <f t="shared" si="6"/>
        <v>0</v>
      </c>
    </row>
    <row r="212" spans="2:12" x14ac:dyDescent="0.25">
      <c r="B212" s="15" t="s">
        <v>82</v>
      </c>
      <c r="C212" s="74">
        <f>COUNTIFS(Tracker!$C$3:$C$503,Analysis!$B212,Tracker!$P$3:$P$503,C$196)</f>
        <v>8</v>
      </c>
      <c r="D212" s="74">
        <f>COUNTIFS(Tracker!$C$3:$C$503,Analysis!$B212,Tracker!$P$3:$P$503,D$196)</f>
        <v>2</v>
      </c>
      <c r="E212" s="74">
        <f>COUNTIFS(Tracker!$C$3:$C$503,Analysis!$B212,Tracker!$P$3:$P$503,E$196)</f>
        <v>1</v>
      </c>
      <c r="F212" s="74">
        <f t="shared" si="5"/>
        <v>11</v>
      </c>
      <c r="H212" s="15" t="s">
        <v>82</v>
      </c>
      <c r="I212" s="129">
        <f>COUNTIFS(Tracker!$C$3:$C$503,Analysis!$H212,Tracker!$P$3:$P$503,I$196,Tracker!$U$3:$U$503,Analysis!$H$195,Tracker!$V$3:$V$503,Analysis!$I$195)</f>
        <v>0</v>
      </c>
      <c r="J212" s="129">
        <f>COUNTIFS(Tracker!$C$3:$C$503,Analysis!$H212,Tracker!$P$3:$P$503,J$196,Tracker!$U$3:$U$503,Analysis!$H$195,Tracker!$V$3:$V$503,Analysis!$I$195)</f>
        <v>0</v>
      </c>
      <c r="K212" s="129">
        <f>COUNTIFS(Tracker!$C$3:$C$503,Analysis!$H212,Tracker!$P$3:$P$503,K$196,Tracker!$U$3:$U$503,Analysis!$H$195,Tracker!$V$3:$V$503,Analysis!$I$195)</f>
        <v>0</v>
      </c>
      <c r="L212" s="129">
        <f t="shared" si="6"/>
        <v>0</v>
      </c>
    </row>
    <row r="213" spans="2:12" x14ac:dyDescent="0.25">
      <c r="B213" s="15" t="s">
        <v>83</v>
      </c>
      <c r="C213" s="74">
        <f>COUNTIFS(Tracker!$C$3:$C$503,Analysis!$B213,Tracker!$P$3:$P$503,C$196)</f>
        <v>5</v>
      </c>
      <c r="D213" s="74">
        <f>COUNTIFS(Tracker!$C$3:$C$503,Analysis!$B213,Tracker!$P$3:$P$503,D$196)</f>
        <v>2</v>
      </c>
      <c r="E213" s="74">
        <f>COUNTIFS(Tracker!$C$3:$C$503,Analysis!$B213,Tracker!$P$3:$P$503,E$196)</f>
        <v>1</v>
      </c>
      <c r="F213" s="74">
        <f t="shared" si="5"/>
        <v>8</v>
      </c>
      <c r="H213" s="15" t="s">
        <v>83</v>
      </c>
      <c r="I213" s="129">
        <f>COUNTIFS(Tracker!$C$3:$C$503,Analysis!$H213,Tracker!$P$3:$P$503,I$196,Tracker!$U$3:$U$503,Analysis!$H$195,Tracker!$V$3:$V$503,Analysis!$I$195)</f>
        <v>0</v>
      </c>
      <c r="J213" s="129">
        <f>COUNTIFS(Tracker!$C$3:$C$503,Analysis!$H213,Tracker!$P$3:$P$503,J$196,Tracker!$U$3:$U$503,Analysis!$H$195,Tracker!$V$3:$V$503,Analysis!$I$195)</f>
        <v>0</v>
      </c>
      <c r="K213" s="129">
        <f>COUNTIFS(Tracker!$C$3:$C$503,Analysis!$H213,Tracker!$P$3:$P$503,K$196,Tracker!$U$3:$U$503,Analysis!$H$195,Tracker!$V$3:$V$503,Analysis!$I$195)</f>
        <v>1</v>
      </c>
      <c r="L213" s="129">
        <f t="shared" si="6"/>
        <v>1</v>
      </c>
    </row>
    <row r="214" spans="2:12" x14ac:dyDescent="0.25">
      <c r="B214" s="15" t="s">
        <v>84</v>
      </c>
      <c r="C214" s="74">
        <f>COUNTIFS(Tracker!$C$3:$C$503,Analysis!$B214,Tracker!$P$3:$P$503,C$196)</f>
        <v>4</v>
      </c>
      <c r="D214" s="74">
        <f>COUNTIFS(Tracker!$C$3:$C$503,Analysis!$B214,Tracker!$P$3:$P$503,D$196)</f>
        <v>5</v>
      </c>
      <c r="E214" s="74">
        <f>COUNTIFS(Tracker!$C$3:$C$503,Analysis!$B214,Tracker!$P$3:$P$503,E$196)</f>
        <v>0</v>
      </c>
      <c r="F214" s="74">
        <f t="shared" si="5"/>
        <v>9</v>
      </c>
      <c r="H214" s="15" t="s">
        <v>84</v>
      </c>
      <c r="I214" s="129">
        <f>COUNTIFS(Tracker!$C$3:$C$503,Analysis!$H214,Tracker!$P$3:$P$503,I$196,Tracker!$U$3:$U$503,Analysis!$H$195,Tracker!$V$3:$V$503,Analysis!$I$195)</f>
        <v>0</v>
      </c>
      <c r="J214" s="129">
        <f>COUNTIFS(Tracker!$C$3:$C$503,Analysis!$H214,Tracker!$P$3:$P$503,J$196,Tracker!$U$3:$U$503,Analysis!$H$195,Tracker!$V$3:$V$503,Analysis!$I$195)</f>
        <v>1</v>
      </c>
      <c r="K214" s="129">
        <f>COUNTIFS(Tracker!$C$3:$C$503,Analysis!$H214,Tracker!$P$3:$P$503,K$196,Tracker!$U$3:$U$503,Analysis!$H$195,Tracker!$V$3:$V$503,Analysis!$I$195)</f>
        <v>0</v>
      </c>
      <c r="L214" s="129">
        <f t="shared" si="6"/>
        <v>1</v>
      </c>
    </row>
    <row r="215" spans="2:12" x14ac:dyDescent="0.25">
      <c r="B215" s="15" t="s">
        <v>85</v>
      </c>
      <c r="C215" s="74">
        <f>COUNTIFS(Tracker!$C$3:$C$503,Analysis!$B215,Tracker!$P$3:$P$503,C$196)</f>
        <v>3</v>
      </c>
      <c r="D215" s="74">
        <f>COUNTIFS(Tracker!$C$3:$C$503,Analysis!$B215,Tracker!$P$3:$P$503,D$196)</f>
        <v>4</v>
      </c>
      <c r="E215" s="74">
        <f>COUNTIFS(Tracker!$C$3:$C$503,Analysis!$B215,Tracker!$P$3:$P$503,E$196)</f>
        <v>1</v>
      </c>
      <c r="F215" s="74">
        <f t="shared" si="5"/>
        <v>8</v>
      </c>
      <c r="H215" s="15" t="s">
        <v>85</v>
      </c>
      <c r="I215" s="129">
        <f>COUNTIFS(Tracker!$C$3:$C$503,Analysis!$H215,Tracker!$P$3:$P$503,I$196,Tracker!$U$3:$U$503,Analysis!$H$195,Tracker!$V$3:$V$503,Analysis!$I$195)</f>
        <v>0</v>
      </c>
      <c r="J215" s="129">
        <f>COUNTIFS(Tracker!$C$3:$C$503,Analysis!$H215,Tracker!$P$3:$P$503,J$196,Tracker!$U$3:$U$503,Analysis!$H$195,Tracker!$V$3:$V$503,Analysis!$I$195)</f>
        <v>0</v>
      </c>
      <c r="K215" s="129">
        <f>COUNTIFS(Tracker!$C$3:$C$503,Analysis!$H215,Tracker!$P$3:$P$503,K$196,Tracker!$U$3:$U$503,Analysis!$H$195,Tracker!$V$3:$V$503,Analysis!$I$195)</f>
        <v>0</v>
      </c>
      <c r="L215" s="129">
        <f t="shared" si="6"/>
        <v>0</v>
      </c>
    </row>
    <row r="216" spans="2:12" x14ac:dyDescent="0.25">
      <c r="B216" s="15" t="s">
        <v>86</v>
      </c>
      <c r="C216" s="74">
        <f>COUNTIFS(Tracker!$C$3:$C$503,Analysis!$B216,Tracker!$P$3:$P$503,C$196)</f>
        <v>4</v>
      </c>
      <c r="D216" s="74">
        <f>COUNTIFS(Tracker!$C$3:$C$503,Analysis!$B216,Tracker!$P$3:$P$503,D$196)</f>
        <v>3</v>
      </c>
      <c r="E216" s="74">
        <f>COUNTIFS(Tracker!$C$3:$C$503,Analysis!$B216,Tracker!$P$3:$P$503,E$196)</f>
        <v>2</v>
      </c>
      <c r="F216" s="74">
        <f t="shared" si="5"/>
        <v>9</v>
      </c>
      <c r="H216" s="15" t="s">
        <v>86</v>
      </c>
      <c r="I216" s="129">
        <f>COUNTIFS(Tracker!$C$3:$C$503,Analysis!$H216,Tracker!$P$3:$P$503,I$196,Tracker!$U$3:$U$503,Analysis!$H$195,Tracker!$V$3:$V$503,Analysis!$I$195)</f>
        <v>0</v>
      </c>
      <c r="J216" s="129">
        <f>COUNTIFS(Tracker!$C$3:$C$503,Analysis!$H216,Tracker!$P$3:$P$503,J$196,Tracker!$U$3:$U$503,Analysis!$H$195,Tracker!$V$3:$V$503,Analysis!$I$195)</f>
        <v>0</v>
      </c>
      <c r="K216" s="129">
        <f>COUNTIFS(Tracker!$C$3:$C$503,Analysis!$H216,Tracker!$P$3:$P$503,K$196,Tracker!$U$3:$U$503,Analysis!$H$195,Tracker!$V$3:$V$503,Analysis!$I$195)</f>
        <v>0</v>
      </c>
      <c r="L216" s="129">
        <f t="shared" si="6"/>
        <v>0</v>
      </c>
    </row>
    <row r="217" spans="2:12" x14ac:dyDescent="0.25">
      <c r="B217" s="15" t="s">
        <v>87</v>
      </c>
      <c r="C217" s="74">
        <f>COUNTIFS(Tracker!$C$3:$C$503,Analysis!$B217,Tracker!$P$3:$P$503,C$196)</f>
        <v>3</v>
      </c>
      <c r="D217" s="74">
        <f>COUNTIFS(Tracker!$C$3:$C$503,Analysis!$B217,Tracker!$P$3:$P$503,D$196)</f>
        <v>4</v>
      </c>
      <c r="E217" s="74">
        <f>COUNTIFS(Tracker!$C$3:$C$503,Analysis!$B217,Tracker!$P$3:$P$503,E$196)</f>
        <v>2</v>
      </c>
      <c r="F217" s="74">
        <f t="shared" si="5"/>
        <v>9</v>
      </c>
      <c r="H217" s="15" t="s">
        <v>87</v>
      </c>
      <c r="I217" s="129">
        <f>COUNTIFS(Tracker!$C$3:$C$503,Analysis!$H217,Tracker!$P$3:$P$503,I$196,Tracker!$U$3:$U$503,Analysis!$H$195,Tracker!$V$3:$V$503,Analysis!$I$195)</f>
        <v>1</v>
      </c>
      <c r="J217" s="129">
        <f>COUNTIFS(Tracker!$C$3:$C$503,Analysis!$H217,Tracker!$P$3:$P$503,J$196,Tracker!$U$3:$U$503,Analysis!$H$195,Tracker!$V$3:$V$503,Analysis!$I$195)</f>
        <v>0</v>
      </c>
      <c r="K217" s="129">
        <f>COUNTIFS(Tracker!$C$3:$C$503,Analysis!$H217,Tracker!$P$3:$P$503,K$196,Tracker!$U$3:$U$503,Analysis!$H$195,Tracker!$V$3:$V$503,Analysis!$I$195)</f>
        <v>1</v>
      </c>
      <c r="L217" s="129">
        <f t="shared" si="6"/>
        <v>2</v>
      </c>
    </row>
    <row r="218" spans="2:12" x14ac:dyDescent="0.25">
      <c r="B218" s="15" t="s">
        <v>88</v>
      </c>
      <c r="C218" s="74">
        <f>COUNTIFS(Tracker!$C$3:$C$503,Analysis!$B218,Tracker!$P$3:$P$503,C$196)</f>
        <v>2</v>
      </c>
      <c r="D218" s="74">
        <f>COUNTIFS(Tracker!$C$3:$C$503,Analysis!$B218,Tracker!$P$3:$P$503,D$196)</f>
        <v>6</v>
      </c>
      <c r="E218" s="74">
        <f>COUNTIFS(Tracker!$C$3:$C$503,Analysis!$B218,Tracker!$P$3:$P$503,E$196)</f>
        <v>1</v>
      </c>
      <c r="F218" s="74">
        <f t="shared" si="5"/>
        <v>9</v>
      </c>
      <c r="H218" s="15" t="s">
        <v>88</v>
      </c>
      <c r="I218" s="129">
        <f>COUNTIFS(Tracker!$C$3:$C$503,Analysis!$H218,Tracker!$P$3:$P$503,I$196,Tracker!$U$3:$U$503,Analysis!$H$195,Tracker!$V$3:$V$503,Analysis!$I$195)</f>
        <v>0</v>
      </c>
      <c r="J218" s="129">
        <f>COUNTIFS(Tracker!$C$3:$C$503,Analysis!$H218,Tracker!$P$3:$P$503,J$196,Tracker!$U$3:$U$503,Analysis!$H$195,Tracker!$V$3:$V$503,Analysis!$I$195)</f>
        <v>0</v>
      </c>
      <c r="K218" s="129">
        <f>COUNTIFS(Tracker!$C$3:$C$503,Analysis!$H218,Tracker!$P$3:$P$503,K$196,Tracker!$U$3:$U$503,Analysis!$H$195,Tracker!$V$3:$V$503,Analysis!$I$195)</f>
        <v>0</v>
      </c>
      <c r="L218" s="129">
        <f t="shared" si="6"/>
        <v>0</v>
      </c>
    </row>
    <row r="220" spans="2:12" x14ac:dyDescent="0.25">
      <c r="B220" s="213" t="s">
        <v>403</v>
      </c>
      <c r="C220" s="213"/>
      <c r="D220" s="213"/>
      <c r="H220" s="213" t="s">
        <v>401</v>
      </c>
      <c r="I220" s="213"/>
      <c r="J220" s="213"/>
      <c r="K220" s="213"/>
      <c r="L220" s="213"/>
    </row>
    <row r="221" spans="2:12" x14ac:dyDescent="0.25">
      <c r="H221" s="44"/>
      <c r="I221" s="44"/>
    </row>
    <row r="222" spans="2:12" x14ac:dyDescent="0.25">
      <c r="B222" s="34" t="s">
        <v>2</v>
      </c>
      <c r="C222" s="87" t="s">
        <v>374</v>
      </c>
      <c r="D222" s="87" t="s">
        <v>375</v>
      </c>
      <c r="H222" s="17" t="s">
        <v>2</v>
      </c>
      <c r="I222" s="46" t="s">
        <v>165</v>
      </c>
      <c r="J222" s="46" t="s">
        <v>164</v>
      </c>
      <c r="K222" s="46" t="s">
        <v>162</v>
      </c>
      <c r="L222" s="46" t="s">
        <v>344</v>
      </c>
    </row>
    <row r="223" spans="2:12" x14ac:dyDescent="0.25">
      <c r="B223" s="3" t="s">
        <v>7</v>
      </c>
      <c r="C223">
        <f>COUNTIF(Tracker!$C$3:$C$503,Analysis!$B223)</f>
        <v>27</v>
      </c>
      <c r="D223" s="78">
        <f ca="1">AVERAGEIF(Tracker!$C$3:$C$503,Analysis!$B223,Tracker!$W$3:$W$503)</f>
        <v>303.85185185185185</v>
      </c>
      <c r="H223" s="3" t="s">
        <v>7</v>
      </c>
      <c r="I223" s="129">
        <f>COUNTIFS(Tracker!$C$3:$C$503,Analysis!$H223,Tracker!$P$3:$P$503,I$222,Tracker!$U$3:$U$503,Analysis!$H$195)</f>
        <v>1</v>
      </c>
      <c r="J223" s="129">
        <f>COUNTIFS(Tracker!$C$3:$C$503,Analysis!$H223,Tracker!$P$3:$P$503,J$222,Tracker!$U$3:$U$503,Analysis!$H$195)</f>
        <v>2</v>
      </c>
      <c r="K223" s="129">
        <f>COUNTIFS(Tracker!$C$3:$C$503,Analysis!$H223,Tracker!$P$3:$P$503,K$222,Tracker!$U$3:$U$503,Analysis!$H$195)</f>
        <v>1</v>
      </c>
      <c r="L223" s="129">
        <f>SUM($I223:$K223)</f>
        <v>4</v>
      </c>
    </row>
    <row r="224" spans="2:12" x14ac:dyDescent="0.25">
      <c r="B224" s="68" t="s">
        <v>10</v>
      </c>
      <c r="C224">
        <f>COUNTIF(Tracker!$C$3:$C$503,Analysis!$B224)</f>
        <v>27</v>
      </c>
      <c r="D224" s="78">
        <f ca="1">AVERAGEIF(Tracker!$C$3:$C$503,Analysis!$B224,Tracker!$W$3:$W$503)</f>
        <v>281.81481481481484</v>
      </c>
      <c r="H224" s="68" t="s">
        <v>10</v>
      </c>
      <c r="I224" s="129">
        <f>COUNTIFS(Tracker!$C$3:$C$503,Analysis!$H224,Tracker!$P$3:$P$503,I$222,Tracker!$U$3:$U$503,Analysis!$H$195)</f>
        <v>0</v>
      </c>
      <c r="J224" s="129">
        <f>COUNTIFS(Tracker!$C$3:$C$503,Analysis!$H224,Tracker!$P$3:$P$503,J$222,Tracker!$U$3:$U$503,Analysis!$H$195)</f>
        <v>1</v>
      </c>
      <c r="K224" s="129">
        <f>COUNTIFS(Tracker!$C$3:$C$503,Analysis!$H224,Tracker!$P$3:$P$503,K$222,Tracker!$U$3:$U$503,Analysis!$H$195)</f>
        <v>3</v>
      </c>
      <c r="L224" s="129">
        <f t="shared" ref="L224:L244" si="7">SUM($I224:$K224)</f>
        <v>4</v>
      </c>
    </row>
    <row r="225" spans="2:12" x14ac:dyDescent="0.25">
      <c r="B225" s="15" t="s">
        <v>69</v>
      </c>
      <c r="C225">
        <f>COUNTIF(Tracker!$C$3:$C$503,Analysis!$B225)</f>
        <v>27</v>
      </c>
      <c r="D225" s="78">
        <f ca="1">AVERAGEIF(Tracker!$C$3:$C$503,Analysis!$B225,Tracker!$W$3:$W$503)</f>
        <v>236</v>
      </c>
      <c r="H225" s="15" t="s">
        <v>69</v>
      </c>
      <c r="I225" s="129">
        <f>COUNTIFS(Tracker!$C$3:$C$503,Analysis!$H225,Tracker!$P$3:$P$503,I$222,Tracker!$U$3:$U$503,Analysis!$H$195)</f>
        <v>3</v>
      </c>
      <c r="J225" s="129">
        <f>COUNTIFS(Tracker!$C$3:$C$503,Analysis!$H225,Tracker!$P$3:$P$503,J$222,Tracker!$U$3:$U$503,Analysis!$H$195)</f>
        <v>0</v>
      </c>
      <c r="K225" s="129">
        <f>COUNTIFS(Tracker!$C$3:$C$503,Analysis!$H225,Tracker!$P$3:$P$503,K$222,Tracker!$U$3:$U$503,Analysis!$H$195)</f>
        <v>3</v>
      </c>
      <c r="L225" s="129">
        <f t="shared" si="7"/>
        <v>6</v>
      </c>
    </row>
    <row r="226" spans="2:12" x14ac:dyDescent="0.25">
      <c r="B226" s="15" t="s">
        <v>70</v>
      </c>
      <c r="C226">
        <f>COUNTIF(Tracker!$C$3:$C$503,Analysis!$B226)</f>
        <v>27</v>
      </c>
      <c r="D226" s="78">
        <f ca="1">AVERAGEIF(Tracker!$C$3:$C$503,Analysis!$B226,Tracker!$W$3:$W$503)</f>
        <v>213.2962962962963</v>
      </c>
      <c r="H226" s="15" t="s">
        <v>70</v>
      </c>
      <c r="I226" s="129">
        <f>COUNTIFS(Tracker!$C$3:$C$503,Analysis!$H226,Tracker!$P$3:$P$503,I$222,Tracker!$U$3:$U$503,Analysis!$H$195)</f>
        <v>0</v>
      </c>
      <c r="J226" s="129">
        <f>COUNTIFS(Tracker!$C$3:$C$503,Analysis!$H226,Tracker!$P$3:$P$503,J$222,Tracker!$U$3:$U$503,Analysis!$H$195)</f>
        <v>3</v>
      </c>
      <c r="K226" s="129">
        <f>COUNTIFS(Tracker!$C$3:$C$503,Analysis!$H226,Tracker!$P$3:$P$503,K$222,Tracker!$U$3:$U$503,Analysis!$H$195)</f>
        <v>1</v>
      </c>
      <c r="L226" s="129">
        <f t="shared" si="7"/>
        <v>4</v>
      </c>
    </row>
    <row r="227" spans="2:12" x14ac:dyDescent="0.25">
      <c r="B227" s="15" t="s">
        <v>71</v>
      </c>
      <c r="C227">
        <f>COUNTIF(Tracker!$C$3:$C$503,Analysis!$B227)</f>
        <v>32</v>
      </c>
      <c r="D227" s="78">
        <f ca="1">AVERAGEIF(Tracker!$C$3:$C$503,Analysis!$B227,Tracker!$W$3:$W$503)</f>
        <v>228.28125</v>
      </c>
      <c r="H227" s="15" t="s">
        <v>71</v>
      </c>
      <c r="I227" s="129">
        <f>COUNTIFS(Tracker!$C$3:$C$503,Analysis!$H227,Tracker!$P$3:$P$503,I$222,Tracker!$U$3:$U$503,Analysis!$H$195)</f>
        <v>3</v>
      </c>
      <c r="J227" s="129">
        <f>COUNTIFS(Tracker!$C$3:$C$503,Analysis!$H227,Tracker!$P$3:$P$503,J$222,Tracker!$U$3:$U$503,Analysis!$H$195)</f>
        <v>2</v>
      </c>
      <c r="K227" s="129">
        <f>COUNTIFS(Tracker!$C$3:$C$503,Analysis!$H227,Tracker!$P$3:$P$503,K$222,Tracker!$U$3:$U$503,Analysis!$H$195)</f>
        <v>2</v>
      </c>
      <c r="L227" s="129">
        <f t="shared" si="7"/>
        <v>7</v>
      </c>
    </row>
    <row r="228" spans="2:12" x14ac:dyDescent="0.25">
      <c r="B228" s="15" t="s">
        <v>72</v>
      </c>
      <c r="C228">
        <f>COUNTIF(Tracker!$C$3:$C$503,Analysis!$B228)</f>
        <v>32</v>
      </c>
      <c r="D228" s="78">
        <f ca="1">AVERAGEIF(Tracker!$C$3:$C$503,Analysis!$B228,Tracker!$W$3:$W$503)</f>
        <v>210.4375</v>
      </c>
      <c r="H228" s="15" t="s">
        <v>72</v>
      </c>
      <c r="I228" s="129">
        <f>COUNTIFS(Tracker!$C$3:$C$503,Analysis!$H228,Tracker!$P$3:$P$503,I$222,Tracker!$U$3:$U$503,Analysis!$H$195)</f>
        <v>2</v>
      </c>
      <c r="J228" s="129">
        <f>COUNTIFS(Tracker!$C$3:$C$503,Analysis!$H228,Tracker!$P$3:$P$503,J$222,Tracker!$U$3:$U$503,Analysis!$H$195)</f>
        <v>4</v>
      </c>
      <c r="K228" s="129">
        <f>COUNTIFS(Tracker!$C$3:$C$503,Analysis!$H228,Tracker!$P$3:$P$503,K$222,Tracker!$U$3:$U$503,Analysis!$H$195)</f>
        <v>5</v>
      </c>
      <c r="L228" s="129">
        <f t="shared" si="7"/>
        <v>11</v>
      </c>
    </row>
    <row r="229" spans="2:12" x14ac:dyDescent="0.25">
      <c r="B229" s="15" t="s">
        <v>73</v>
      </c>
      <c r="C229">
        <f>COUNTIF(Tracker!$C$3:$C$503,Analysis!$B229)</f>
        <v>32</v>
      </c>
      <c r="D229" s="78">
        <f ca="1">AVERAGEIF(Tracker!$C$3:$C$503,Analysis!$B229,Tracker!$W$3:$W$503)</f>
        <v>253.8125</v>
      </c>
      <c r="H229" s="15" t="s">
        <v>73</v>
      </c>
      <c r="I229" s="129">
        <f>COUNTIFS(Tracker!$C$3:$C$503,Analysis!$H229,Tracker!$P$3:$P$503,I$222,Tracker!$U$3:$U$503,Analysis!$H$195)</f>
        <v>2</v>
      </c>
      <c r="J229" s="129">
        <f>COUNTIFS(Tracker!$C$3:$C$503,Analysis!$H229,Tracker!$P$3:$P$503,J$222,Tracker!$U$3:$U$503,Analysis!$H$195)</f>
        <v>3</v>
      </c>
      <c r="K229" s="129">
        <f>COUNTIFS(Tracker!$C$3:$C$503,Analysis!$H229,Tracker!$P$3:$P$503,K$222,Tracker!$U$3:$U$503,Analysis!$H$195)</f>
        <v>3</v>
      </c>
      <c r="L229" s="129">
        <f t="shared" si="7"/>
        <v>8</v>
      </c>
    </row>
    <row r="230" spans="2:12" x14ac:dyDescent="0.25">
      <c r="B230" s="15" t="s">
        <v>74</v>
      </c>
      <c r="C230">
        <f>COUNTIF(Tracker!$C$3:$C$503,Analysis!$B230)</f>
        <v>27</v>
      </c>
      <c r="D230" s="78">
        <f ca="1">AVERAGEIF(Tracker!$C$3:$C$503,Analysis!$B230,Tracker!$W$3:$W$503)</f>
        <v>260.14814814814815</v>
      </c>
      <c r="H230" s="15" t="s">
        <v>74</v>
      </c>
      <c r="I230" s="129">
        <f>COUNTIFS(Tracker!$C$3:$C$503,Analysis!$H230,Tracker!$P$3:$P$503,I$222,Tracker!$U$3:$U$503,Analysis!$H$195)</f>
        <v>3</v>
      </c>
      <c r="J230" s="129">
        <f>COUNTIFS(Tracker!$C$3:$C$503,Analysis!$H230,Tracker!$P$3:$P$503,J$222,Tracker!$U$3:$U$503,Analysis!$H$195)</f>
        <v>1</v>
      </c>
      <c r="K230" s="129">
        <f>COUNTIFS(Tracker!$C$3:$C$503,Analysis!$H230,Tracker!$P$3:$P$503,K$222,Tracker!$U$3:$U$503,Analysis!$H$195)</f>
        <v>1</v>
      </c>
      <c r="L230" s="129">
        <f t="shared" si="7"/>
        <v>5</v>
      </c>
    </row>
    <row r="231" spans="2:12" x14ac:dyDescent="0.25">
      <c r="B231" s="15" t="s">
        <v>75</v>
      </c>
      <c r="C231">
        <f>COUNTIF(Tracker!$C$3:$C$503,Analysis!$B231)</f>
        <v>22</v>
      </c>
      <c r="D231" s="78">
        <f ca="1">AVERAGEIF(Tracker!$C$3:$C$503,Analysis!$B231,Tracker!$W$3:$W$503)</f>
        <v>236</v>
      </c>
      <c r="H231" s="15" t="s">
        <v>75</v>
      </c>
      <c r="I231" s="129">
        <f>COUNTIFS(Tracker!$C$3:$C$503,Analysis!$H231,Tracker!$P$3:$P$503,I$222,Tracker!$U$3:$U$503,Analysis!$H$195)</f>
        <v>2</v>
      </c>
      <c r="J231" s="129">
        <f>COUNTIFS(Tracker!$C$3:$C$503,Analysis!$H231,Tracker!$P$3:$P$503,J$222,Tracker!$U$3:$U$503,Analysis!$H$195)</f>
        <v>2</v>
      </c>
      <c r="K231" s="129">
        <f>COUNTIFS(Tracker!$C$3:$C$503,Analysis!$H231,Tracker!$P$3:$P$503,K$222,Tracker!$U$3:$U$503,Analysis!$H$195)</f>
        <v>2</v>
      </c>
      <c r="L231" s="129">
        <f t="shared" si="7"/>
        <v>6</v>
      </c>
    </row>
    <row r="232" spans="2:12" x14ac:dyDescent="0.25">
      <c r="B232" s="15" t="s">
        <v>76</v>
      </c>
      <c r="C232">
        <f>COUNTIF(Tracker!$C$3:$C$503,Analysis!$B232)</f>
        <v>28</v>
      </c>
      <c r="D232" s="78">
        <f ca="1">AVERAGEIF(Tracker!$C$3:$C$503,Analysis!$B232,Tracker!$W$3:$W$503)</f>
        <v>252.42857142857142</v>
      </c>
      <c r="H232" s="15" t="s">
        <v>76</v>
      </c>
      <c r="I232" s="129">
        <f>COUNTIFS(Tracker!$C$3:$C$503,Analysis!$H232,Tracker!$P$3:$P$503,I$222,Tracker!$U$3:$U$503,Analysis!$H$195)</f>
        <v>1</v>
      </c>
      <c r="J232" s="129">
        <f>COUNTIFS(Tracker!$C$3:$C$503,Analysis!$H232,Tracker!$P$3:$P$503,J$222,Tracker!$U$3:$U$503,Analysis!$H$195)</f>
        <v>3</v>
      </c>
      <c r="K232" s="129">
        <f>COUNTIFS(Tracker!$C$3:$C$503,Analysis!$H232,Tracker!$P$3:$P$503,K$222,Tracker!$U$3:$U$503,Analysis!$H$195)</f>
        <v>0</v>
      </c>
      <c r="L232" s="129">
        <f t="shared" si="7"/>
        <v>4</v>
      </c>
    </row>
    <row r="233" spans="2:12" x14ac:dyDescent="0.25">
      <c r="B233" s="15" t="s">
        <v>77</v>
      </c>
      <c r="C233">
        <f>COUNTIF(Tracker!$C$3:$C$503,Analysis!$B233)</f>
        <v>28</v>
      </c>
      <c r="D233" s="78">
        <f ca="1">AVERAGEIF(Tracker!$C$3:$C$503,Analysis!$B233,Tracker!$W$3:$W$503)</f>
        <v>256.71428571428572</v>
      </c>
      <c r="H233" s="15" t="s">
        <v>77</v>
      </c>
      <c r="I233" s="129">
        <f>COUNTIFS(Tracker!$C$3:$C$503,Analysis!$H233,Tracker!$P$3:$P$503,I$222,Tracker!$U$3:$U$503,Analysis!$H$195)</f>
        <v>1</v>
      </c>
      <c r="J233" s="129">
        <f>COUNTIFS(Tracker!$C$3:$C$503,Analysis!$H233,Tracker!$P$3:$P$503,J$222,Tracker!$U$3:$U$503,Analysis!$H$195)</f>
        <v>2</v>
      </c>
      <c r="K233" s="129">
        <f>COUNTIFS(Tracker!$C$3:$C$503,Analysis!$H233,Tracker!$P$3:$P$503,K$222,Tracker!$U$3:$U$503,Analysis!$H$195)</f>
        <v>4</v>
      </c>
      <c r="L233" s="129">
        <f t="shared" si="7"/>
        <v>7</v>
      </c>
    </row>
    <row r="234" spans="2:12" x14ac:dyDescent="0.25">
      <c r="B234" s="15" t="s">
        <v>78</v>
      </c>
      <c r="C234">
        <f>COUNTIF(Tracker!$C$3:$C$503,Analysis!$B234)</f>
        <v>28</v>
      </c>
      <c r="D234" s="78">
        <f ca="1">AVERAGEIF(Tracker!$C$3:$C$503,Analysis!$B234,Tracker!$W$3:$W$503)</f>
        <v>280.57142857142856</v>
      </c>
      <c r="H234" s="15" t="s">
        <v>78</v>
      </c>
      <c r="I234" s="129">
        <f>COUNTIFS(Tracker!$C$3:$C$503,Analysis!$H234,Tracker!$P$3:$P$503,I$222,Tracker!$U$3:$U$503,Analysis!$H$195)</f>
        <v>2</v>
      </c>
      <c r="J234" s="129">
        <f>COUNTIFS(Tracker!$C$3:$C$503,Analysis!$H234,Tracker!$P$3:$P$503,J$222,Tracker!$U$3:$U$503,Analysis!$H$195)</f>
        <v>3</v>
      </c>
      <c r="K234" s="129">
        <f>COUNTIFS(Tracker!$C$3:$C$503,Analysis!$H234,Tracker!$P$3:$P$503,K$222,Tracker!$U$3:$U$503,Analysis!$H$195)</f>
        <v>1</v>
      </c>
      <c r="L234" s="129">
        <f t="shared" si="7"/>
        <v>6</v>
      </c>
    </row>
    <row r="235" spans="2:12" x14ac:dyDescent="0.25">
      <c r="B235" s="15" t="s">
        <v>79</v>
      </c>
      <c r="C235">
        <f>COUNTIF(Tracker!$C$3:$C$503,Analysis!$B235)</f>
        <v>23</v>
      </c>
      <c r="D235" s="78">
        <f ca="1">AVERAGEIF(Tracker!$C$3:$C$503,Analysis!$B235,Tracker!$W$3:$W$503)</f>
        <v>307.82608695652175</v>
      </c>
      <c r="H235" s="15" t="s">
        <v>79</v>
      </c>
      <c r="I235" s="129">
        <f>COUNTIFS(Tracker!$C$3:$C$503,Analysis!$H235,Tracker!$P$3:$P$503,I$222,Tracker!$U$3:$U$503,Analysis!$H$195)</f>
        <v>2</v>
      </c>
      <c r="J235" s="129">
        <f>COUNTIFS(Tracker!$C$3:$C$503,Analysis!$H235,Tracker!$P$3:$P$503,J$222,Tracker!$U$3:$U$503,Analysis!$H$195)</f>
        <v>7</v>
      </c>
      <c r="K235" s="129">
        <f>COUNTIFS(Tracker!$C$3:$C$503,Analysis!$H235,Tracker!$P$3:$P$503,K$222,Tracker!$U$3:$U$503,Analysis!$H$195)</f>
        <v>0</v>
      </c>
      <c r="L235" s="129">
        <f t="shared" si="7"/>
        <v>9</v>
      </c>
    </row>
    <row r="236" spans="2:12" x14ac:dyDescent="0.25">
      <c r="B236" s="15" t="s">
        <v>80</v>
      </c>
      <c r="C236">
        <f>COUNTIF(Tracker!$C$3:$C$503,Analysis!$B236)</f>
        <v>17</v>
      </c>
      <c r="D236" s="78">
        <f ca="1">AVERAGEIF(Tracker!$C$3:$C$503,Analysis!$B236,Tracker!$W$3:$W$503)</f>
        <v>280</v>
      </c>
      <c r="H236" s="15" t="s">
        <v>80</v>
      </c>
      <c r="I236" s="129">
        <f>COUNTIFS(Tracker!$C$3:$C$503,Analysis!$H236,Tracker!$P$3:$P$503,I$222,Tracker!$U$3:$U$503,Analysis!$H$195)</f>
        <v>1</v>
      </c>
      <c r="J236" s="129">
        <f>COUNTIFS(Tracker!$C$3:$C$503,Analysis!$H236,Tracker!$P$3:$P$503,J$222,Tracker!$U$3:$U$503,Analysis!$H$195)</f>
        <v>0</v>
      </c>
      <c r="K236" s="129">
        <f>COUNTIFS(Tracker!$C$3:$C$503,Analysis!$H236,Tracker!$P$3:$P$503,K$222,Tracker!$U$3:$U$503,Analysis!$H$195)</f>
        <v>1</v>
      </c>
      <c r="L236" s="129">
        <f t="shared" si="7"/>
        <v>2</v>
      </c>
    </row>
    <row r="237" spans="2:12" x14ac:dyDescent="0.25">
      <c r="B237" s="15" t="s">
        <v>81</v>
      </c>
      <c r="C237">
        <f>COUNTIF(Tracker!$C$3:$C$503,Analysis!$B237)</f>
        <v>17</v>
      </c>
      <c r="D237" s="78">
        <f ca="1">AVERAGEIF(Tracker!$C$3:$C$503,Analysis!$B237,Tracker!$W$3:$W$503)</f>
        <v>245.64705882352942</v>
      </c>
      <c r="H237" s="15" t="s">
        <v>81</v>
      </c>
      <c r="I237" s="129">
        <f>COUNTIFS(Tracker!$C$3:$C$503,Analysis!$H237,Tracker!$P$3:$P$503,I$222,Tracker!$U$3:$U$503,Analysis!$H$195)</f>
        <v>0</v>
      </c>
      <c r="J237" s="129">
        <f>COUNTIFS(Tracker!$C$3:$C$503,Analysis!$H237,Tracker!$P$3:$P$503,J$222,Tracker!$U$3:$U$503,Analysis!$H$195)</f>
        <v>1</v>
      </c>
      <c r="K237" s="129">
        <f>COUNTIFS(Tracker!$C$3:$C$503,Analysis!$H237,Tracker!$P$3:$P$503,K$222,Tracker!$U$3:$U$503,Analysis!$H$195)</f>
        <v>2</v>
      </c>
      <c r="L237" s="129">
        <f t="shared" si="7"/>
        <v>3</v>
      </c>
    </row>
    <row r="238" spans="2:12" x14ac:dyDescent="0.25">
      <c r="B238" s="15" t="s">
        <v>82</v>
      </c>
      <c r="C238">
        <f>COUNTIF(Tracker!$C$3:$C$503,Analysis!$B238)</f>
        <v>17</v>
      </c>
      <c r="D238" s="78">
        <f ca="1">AVERAGEIF(Tracker!$C$3:$C$503,Analysis!$B238,Tracker!$W$3:$W$503)</f>
        <v>232.1764705882353</v>
      </c>
      <c r="H238" s="15" t="s">
        <v>82</v>
      </c>
      <c r="I238" s="129">
        <f>COUNTIFS(Tracker!$C$3:$C$503,Analysis!$H238,Tracker!$P$3:$P$503,I$222,Tracker!$U$3:$U$503,Analysis!$H$195)</f>
        <v>2</v>
      </c>
      <c r="J238" s="129">
        <f>COUNTIFS(Tracker!$C$3:$C$503,Analysis!$H238,Tracker!$P$3:$P$503,J$222,Tracker!$U$3:$U$503,Analysis!$H$195)</f>
        <v>0</v>
      </c>
      <c r="K238" s="129">
        <f>COUNTIFS(Tracker!$C$3:$C$503,Analysis!$H238,Tracker!$P$3:$P$503,K$222,Tracker!$U$3:$U$503,Analysis!$H$195)</f>
        <v>1</v>
      </c>
      <c r="L238" s="129">
        <f t="shared" si="7"/>
        <v>3</v>
      </c>
    </row>
    <row r="239" spans="2:12" x14ac:dyDescent="0.25">
      <c r="B239" s="15" t="s">
        <v>83</v>
      </c>
      <c r="C239">
        <f>COUNTIF(Tracker!$C$3:$C$503,Analysis!$B239)</f>
        <v>17</v>
      </c>
      <c r="D239" s="78">
        <f ca="1">AVERAGEIF(Tracker!$C$3:$C$503,Analysis!$B239,Tracker!$W$3:$W$503)</f>
        <v>186.64705882352942</v>
      </c>
      <c r="H239" s="15" t="s">
        <v>83</v>
      </c>
      <c r="I239" s="129">
        <f>COUNTIFS(Tracker!$C$3:$C$503,Analysis!$H239,Tracker!$P$3:$P$503,I$222,Tracker!$U$3:$U$503,Analysis!$H$195)</f>
        <v>1</v>
      </c>
      <c r="J239" s="129">
        <f>COUNTIFS(Tracker!$C$3:$C$503,Analysis!$H239,Tracker!$P$3:$P$503,J$222,Tracker!$U$3:$U$503,Analysis!$H$195)</f>
        <v>1</v>
      </c>
      <c r="K239" s="129">
        <f>COUNTIFS(Tracker!$C$3:$C$503,Analysis!$H239,Tracker!$P$3:$P$503,K$222,Tracker!$U$3:$U$503,Analysis!$H$195)</f>
        <v>3</v>
      </c>
      <c r="L239" s="129">
        <f t="shared" si="7"/>
        <v>5</v>
      </c>
    </row>
    <row r="240" spans="2:12" x14ac:dyDescent="0.25">
      <c r="B240" s="15" t="s">
        <v>84</v>
      </c>
      <c r="C240">
        <f>COUNTIF(Tracker!$C$3:$C$503,Analysis!$B240)</f>
        <v>17</v>
      </c>
      <c r="D240" s="78">
        <f ca="1">AVERAGEIF(Tracker!$C$3:$C$503,Analysis!$B240,Tracker!$W$3:$W$503)</f>
        <v>215.88235294117646</v>
      </c>
      <c r="H240" s="15" t="s">
        <v>84</v>
      </c>
      <c r="I240" s="129">
        <f>COUNTIFS(Tracker!$C$3:$C$503,Analysis!$H240,Tracker!$P$3:$P$503,I$222,Tracker!$U$3:$U$503,Analysis!$H$195)</f>
        <v>1</v>
      </c>
      <c r="J240" s="129">
        <f>COUNTIFS(Tracker!$C$3:$C$503,Analysis!$H240,Tracker!$P$3:$P$503,J$222,Tracker!$U$3:$U$503,Analysis!$H$195)</f>
        <v>1</v>
      </c>
      <c r="K240" s="129">
        <f>COUNTIFS(Tracker!$C$3:$C$503,Analysis!$H240,Tracker!$P$3:$P$503,K$222,Tracker!$U$3:$U$503,Analysis!$H$195)</f>
        <v>0</v>
      </c>
      <c r="L240" s="129">
        <f t="shared" si="7"/>
        <v>2</v>
      </c>
    </row>
    <row r="241" spans="2:12" x14ac:dyDescent="0.25">
      <c r="B241" s="15" t="s">
        <v>85</v>
      </c>
      <c r="C241">
        <f>COUNTIF(Tracker!$C$3:$C$503,Analysis!$B241)</f>
        <v>12</v>
      </c>
      <c r="D241" s="78">
        <f ca="1">AVERAGEIF(Tracker!$C$3:$C$503,Analysis!$B241,Tracker!$W$3:$W$503)</f>
        <v>177.08333333333334</v>
      </c>
      <c r="H241" s="15" t="s">
        <v>85</v>
      </c>
      <c r="I241" s="129">
        <f>COUNTIFS(Tracker!$C$3:$C$503,Analysis!$H241,Tracker!$P$3:$P$503,I$222,Tracker!$U$3:$U$503,Analysis!$H$195)</f>
        <v>1</v>
      </c>
      <c r="J241" s="129">
        <f>COUNTIFS(Tracker!$C$3:$C$503,Analysis!$H241,Tracker!$P$3:$P$503,J$222,Tracker!$U$3:$U$503,Analysis!$H$195)</f>
        <v>0</v>
      </c>
      <c r="K241" s="129">
        <f>COUNTIFS(Tracker!$C$3:$C$503,Analysis!$H241,Tracker!$P$3:$P$503,K$222,Tracker!$U$3:$U$503,Analysis!$H$195)</f>
        <v>1</v>
      </c>
      <c r="L241" s="129">
        <f t="shared" si="7"/>
        <v>2</v>
      </c>
    </row>
    <row r="242" spans="2:12" x14ac:dyDescent="0.25">
      <c r="B242" s="15" t="s">
        <v>86</v>
      </c>
      <c r="C242">
        <f>COUNTIF(Tracker!$C$3:$C$503,Analysis!$B242)</f>
        <v>12</v>
      </c>
      <c r="D242" s="78">
        <f ca="1">AVERAGEIF(Tracker!$C$3:$C$503,Analysis!$B242,Tracker!$W$3:$W$503)</f>
        <v>313</v>
      </c>
      <c r="H242" s="15" t="s">
        <v>86</v>
      </c>
      <c r="I242" s="129">
        <f>COUNTIFS(Tracker!$C$3:$C$503,Analysis!$H242,Tracker!$P$3:$P$503,I$222,Tracker!$U$3:$U$503,Analysis!$H$195)</f>
        <v>1</v>
      </c>
      <c r="J242" s="129">
        <f>COUNTIFS(Tracker!$C$3:$C$503,Analysis!$H242,Tracker!$P$3:$P$503,J$222,Tracker!$U$3:$U$503,Analysis!$H$195)</f>
        <v>0</v>
      </c>
      <c r="K242" s="129">
        <f>COUNTIFS(Tracker!$C$3:$C$503,Analysis!$H242,Tracker!$P$3:$P$503,K$222,Tracker!$U$3:$U$503,Analysis!$H$195)</f>
        <v>1</v>
      </c>
      <c r="L242" s="129">
        <f t="shared" si="7"/>
        <v>2</v>
      </c>
    </row>
    <row r="243" spans="2:12" x14ac:dyDescent="0.25">
      <c r="B243" s="15" t="s">
        <v>87</v>
      </c>
      <c r="C243">
        <f>COUNTIF(Tracker!$C$3:$C$503,Analysis!$B243)</f>
        <v>16</v>
      </c>
      <c r="D243" s="78">
        <f ca="1">AVERAGEIF(Tracker!$C$3:$C$503,Analysis!$B243,Tracker!$W$3:$W$503)</f>
        <v>326.875</v>
      </c>
      <c r="H243" s="15" t="s">
        <v>87</v>
      </c>
      <c r="I243" s="129">
        <f>COUNTIFS(Tracker!$C$3:$C$503,Analysis!$H243,Tracker!$P$3:$P$503,I$222,Tracker!$U$3:$U$503,Analysis!$H$195)</f>
        <v>1</v>
      </c>
      <c r="J243" s="129">
        <f>COUNTIFS(Tracker!$C$3:$C$503,Analysis!$H243,Tracker!$P$3:$P$503,J$222,Tracker!$U$3:$U$503,Analysis!$H$195)</f>
        <v>1</v>
      </c>
      <c r="K243" s="129">
        <f>COUNTIFS(Tracker!$C$3:$C$503,Analysis!$H243,Tracker!$P$3:$P$503,K$222,Tracker!$U$3:$U$503,Analysis!$H$195)</f>
        <v>2</v>
      </c>
      <c r="L243" s="129">
        <f t="shared" si="7"/>
        <v>4</v>
      </c>
    </row>
    <row r="244" spans="2:12" x14ac:dyDescent="0.25">
      <c r="B244" s="15" t="s">
        <v>88</v>
      </c>
      <c r="C244">
        <f>COUNTIF(Tracker!$C$3:$C$503,Analysis!$B244)</f>
        <v>16</v>
      </c>
      <c r="D244" s="78">
        <f ca="1">AVERAGEIF(Tracker!$C$3:$C$503,Analysis!$B244,Tracker!$W$3:$W$503)</f>
        <v>301.6875</v>
      </c>
      <c r="H244" s="15" t="s">
        <v>88</v>
      </c>
      <c r="I244" s="129">
        <f>COUNTIFS(Tracker!$C$3:$C$503,Analysis!$H244,Tracker!$P$3:$P$503,I$222,Tracker!$U$3:$U$503,Analysis!$H$195)</f>
        <v>1</v>
      </c>
      <c r="J244" s="129">
        <f>COUNTIFS(Tracker!$C$3:$C$503,Analysis!$H244,Tracker!$P$3:$P$503,J$222,Tracker!$U$3:$U$503,Analysis!$H$195)</f>
        <v>1</v>
      </c>
      <c r="K244" s="129">
        <f>COUNTIFS(Tracker!$C$3:$C$503,Analysis!$H244,Tracker!$P$3:$P$503,K$222,Tracker!$U$3:$U$503,Analysis!$H$195)</f>
        <v>2</v>
      </c>
      <c r="L244" s="129">
        <f t="shared" si="7"/>
        <v>4</v>
      </c>
    </row>
    <row r="246" spans="2:12" x14ac:dyDescent="0.25">
      <c r="B246" s="213" t="s">
        <v>404</v>
      </c>
      <c r="C246" s="213"/>
      <c r="D246" s="213"/>
      <c r="E246" s="213"/>
      <c r="F246" s="213"/>
      <c r="G246" s="213"/>
      <c r="J246" s="213" t="s">
        <v>435</v>
      </c>
      <c r="K246" s="213"/>
      <c r="L246" s="213"/>
    </row>
    <row r="248" spans="2:12" x14ac:dyDescent="0.25">
      <c r="B248" s="34" t="s">
        <v>2</v>
      </c>
      <c r="C248" s="87" t="s">
        <v>344</v>
      </c>
      <c r="D248" s="87" t="s">
        <v>405</v>
      </c>
      <c r="E248" s="87" t="s">
        <v>395</v>
      </c>
      <c r="F248" s="87" t="s">
        <v>399</v>
      </c>
      <c r="G248" s="87" t="s">
        <v>400</v>
      </c>
      <c r="J248" s="46" t="s">
        <v>391</v>
      </c>
      <c r="K248" s="46" t="s">
        <v>2</v>
      </c>
      <c r="L248" s="34" t="s">
        <v>406</v>
      </c>
    </row>
    <row r="249" spans="2:12" x14ac:dyDescent="0.25">
      <c r="B249" s="3" t="s">
        <v>7</v>
      </c>
      <c r="C249">
        <f>COUNTIF(Tracker!$C$3:$C$503,Analysis!$B249)</f>
        <v>27</v>
      </c>
      <c r="D249">
        <f>VLOOKUP($B249,'Clients Data'!$C$3:$I$24,7,0)</f>
        <v>3913.68</v>
      </c>
      <c r="E249" s="79">
        <f>VLOOKUP($B249,'Clients Data'!$C$3:$L$24,8,0)</f>
        <v>464876.4</v>
      </c>
      <c r="F249" s="79">
        <f>VLOOKUP($B249,'Clients Data'!$C$3:$L$24,9,0)</f>
        <v>303192.96000000002</v>
      </c>
      <c r="G249" s="79">
        <f>VLOOKUP($B249,'Clients Data'!$C$3:$L$24,10,0)</f>
        <v>142679.03999999998</v>
      </c>
      <c r="J249" s="44">
        <v>1</v>
      </c>
      <c r="K249" t="str">
        <f>INDEX('Clients Data'!$C$3:$C$24,MATCH(Analysis!$J249,'Clients Data'!$M$3:$M$24,0))</f>
        <v>Blue Moon Innovations</v>
      </c>
      <c r="L249">
        <f>VLOOKUP($K249,'Clients Data'!$C$3:$I$24,7,0)</f>
        <v>4083.6</v>
      </c>
    </row>
    <row r="250" spans="2:12" x14ac:dyDescent="0.25">
      <c r="B250" s="68" t="s">
        <v>10</v>
      </c>
      <c r="C250">
        <f>COUNTIF(Tracker!$C$3:$C$503,Analysis!$B250)</f>
        <v>27</v>
      </c>
      <c r="D250">
        <f>VLOOKUP($B250,'Clients Data'!$C$3:$I$24,7,0)</f>
        <v>3036.9600000000005</v>
      </c>
      <c r="E250" s="79">
        <f>VLOOKUP($B250,'Clients Data'!$C$3:$L$24,8,0)</f>
        <v>317317.2</v>
      </c>
      <c r="F250" s="79">
        <f>VLOOKUP($B250,'Clients Data'!$C$3:$L$24,9,0)</f>
        <v>181727.52000000005</v>
      </c>
      <c r="G250" s="79">
        <f>VLOOKUP($B250,'Clients Data'!$C$3:$L$24,10,0)</f>
        <v>97853.28</v>
      </c>
      <c r="J250" s="44">
        <v>2</v>
      </c>
      <c r="K250" t="str">
        <f>INDEX('Clients Data'!$C$3:$C$24,MATCH(Analysis!$J250,'Clients Data'!$M$3:$M$24,0))</f>
        <v>Twilight Travels</v>
      </c>
      <c r="L250">
        <f>VLOOKUP($K250,'Clients Data'!$C$3:$I$24,7,0)</f>
        <v>3981.3599999999992</v>
      </c>
    </row>
    <row r="251" spans="2:12" x14ac:dyDescent="0.25">
      <c r="B251" s="15" t="s">
        <v>69</v>
      </c>
      <c r="C251">
        <f>COUNTIF(Tracker!$C$3:$C$503,Analysis!$B251)</f>
        <v>27</v>
      </c>
      <c r="D251">
        <f>VLOOKUP($B251,'Clients Data'!$C$3:$I$24,7,0)</f>
        <v>3187.44</v>
      </c>
      <c r="E251" s="79">
        <f>VLOOKUP($B251,'Clients Data'!$C$3:$L$24,8,0)</f>
        <v>386671.19999999995</v>
      </c>
      <c r="F251" s="79">
        <f>VLOOKUP($B251,'Clients Data'!$C$3:$L$24,9,0)</f>
        <v>272118.04800000007</v>
      </c>
      <c r="G251" s="79">
        <f>VLOOKUP($B251,'Clients Data'!$C$3:$L$24,10,0)</f>
        <v>128055.55199999997</v>
      </c>
      <c r="J251" s="44">
        <v>3</v>
      </c>
      <c r="K251" t="str">
        <f>INDEX('Clients Data'!$C$3:$C$24,MATCH(Analysis!$J251,'Clients Data'!$M$3:$M$24,0))</f>
        <v>ABC Corp</v>
      </c>
      <c r="L251">
        <f>VLOOKUP($K251,'Clients Data'!$C$3:$I$24,7,0)</f>
        <v>3913.68</v>
      </c>
    </row>
    <row r="252" spans="2:12" x14ac:dyDescent="0.25">
      <c r="B252" s="15" t="s">
        <v>70</v>
      </c>
      <c r="C252">
        <f>COUNTIF(Tracker!$C$3:$C$503,Analysis!$B252)</f>
        <v>27</v>
      </c>
      <c r="D252">
        <f>VLOOKUP($B252,'Clients Data'!$C$3:$I$24,7,0)</f>
        <v>2477.5200000000009</v>
      </c>
      <c r="E252" s="79">
        <f>VLOOKUP($B252,'Clients Data'!$C$3:$L$24,8,0)</f>
        <v>268622.40000000002</v>
      </c>
      <c r="F252" s="79">
        <f>VLOOKUP($B252,'Clients Data'!$C$3:$L$24,9,0)</f>
        <v>176820.83999999997</v>
      </c>
      <c r="G252" s="79">
        <f>VLOOKUP($B252,'Clients Data'!$C$3:$L$24,10,0)</f>
        <v>75780.360000000015</v>
      </c>
      <c r="J252" s="44">
        <v>4</v>
      </c>
      <c r="K252" t="str">
        <f>INDEX('Clients Data'!$C$3:$C$24,MATCH(Analysis!$J252,'Clients Data'!$M$3:$M$24,0))</f>
        <v>Golden Horizon Enterprises</v>
      </c>
      <c r="L252">
        <f>VLOOKUP($K252,'Clients Data'!$C$3:$I$24,7,0)</f>
        <v>3755.5199999999995</v>
      </c>
    </row>
    <row r="253" spans="2:12" x14ac:dyDescent="0.25">
      <c r="B253" s="15" t="s">
        <v>71</v>
      </c>
      <c r="C253">
        <f>COUNTIF(Tracker!$C$3:$C$503,Analysis!$B253)</f>
        <v>32</v>
      </c>
      <c r="D253">
        <f>VLOOKUP($B253,'Clients Data'!$C$3:$I$24,7,0)</f>
        <v>4083.6</v>
      </c>
      <c r="E253" s="79">
        <f>VLOOKUP($B253,'Clients Data'!$C$3:$L$24,8,0)</f>
        <v>435067.19999999995</v>
      </c>
      <c r="F253" s="79">
        <f>VLOOKUP($B253,'Clients Data'!$C$3:$L$24,9,0)</f>
        <v>272897.27999999997</v>
      </c>
      <c r="G253" s="79">
        <f>VLOOKUP($B253,'Clients Data'!$C$3:$L$24,10,0)</f>
        <v>181931.52000000002</v>
      </c>
      <c r="J253" s="44">
        <v>5</v>
      </c>
      <c r="K253" t="str">
        <f>INDEX('Clients Data'!$C$3:$C$24,MATCH(Analysis!$J253,'Clients Data'!$M$3:$M$24,0))</f>
        <v>Eclipse Eco-Tech</v>
      </c>
      <c r="L253">
        <f>VLOOKUP($K253,'Clients Data'!$C$3:$I$24,7,0)</f>
        <v>3705.36</v>
      </c>
    </row>
    <row r="254" spans="2:12" x14ac:dyDescent="0.25">
      <c r="B254" s="15" t="s">
        <v>72</v>
      </c>
      <c r="C254">
        <f>COUNTIF(Tracker!$C$3:$C$503,Analysis!$B254)</f>
        <v>32</v>
      </c>
      <c r="D254">
        <f>VLOOKUP($B254,'Clients Data'!$C$3:$I$24,7,0)</f>
        <v>3229.9199999999992</v>
      </c>
      <c r="E254" s="79">
        <f>VLOOKUP($B254,'Clients Data'!$C$3:$L$24,8,0)</f>
        <v>310651.2</v>
      </c>
      <c r="F254" s="79">
        <f>VLOOKUP($B254,'Clients Data'!$C$3:$L$24,9,0)</f>
        <v>187861.212</v>
      </c>
      <c r="G254" s="79">
        <f>VLOOKUP($B254,'Clients Data'!$C$3:$L$24,10,0)</f>
        <v>120107.98800000001</v>
      </c>
    </row>
    <row r="255" spans="2:12" x14ac:dyDescent="0.25">
      <c r="B255" s="15" t="s">
        <v>73</v>
      </c>
      <c r="C255">
        <f>COUNTIF(Tracker!$C$3:$C$503,Analysis!$B255)</f>
        <v>32</v>
      </c>
      <c r="D255">
        <f>VLOOKUP($B255,'Clients Data'!$C$3:$I$24,7,0)</f>
        <v>3755.5199999999995</v>
      </c>
      <c r="E255" s="79">
        <f>VLOOKUP($B255,'Clients Data'!$C$3:$L$24,8,0)</f>
        <v>347107.2</v>
      </c>
      <c r="F255" s="79">
        <f>VLOOKUP($B255,'Clients Data'!$C$3:$L$24,9,0)</f>
        <v>240031.74</v>
      </c>
      <c r="G255" s="79">
        <f>VLOOKUP($B255,'Clients Data'!$C$3:$L$24,10,0)</f>
        <v>129247.85999999999</v>
      </c>
    </row>
    <row r="256" spans="2:12" x14ac:dyDescent="0.25">
      <c r="B256" s="15" t="s">
        <v>74</v>
      </c>
      <c r="C256">
        <f>COUNTIF(Tracker!$C$3:$C$503,Analysis!$B256)</f>
        <v>27</v>
      </c>
      <c r="D256">
        <f>VLOOKUP($B256,'Clients Data'!$C$3:$I$24,7,0)</f>
        <v>3519.36</v>
      </c>
      <c r="E256" s="79">
        <f>VLOOKUP($B256,'Clients Data'!$C$3:$L$24,8,0)</f>
        <v>358108.8</v>
      </c>
      <c r="F256" s="79">
        <f>VLOOKUP($B256,'Clients Data'!$C$3:$L$24,9,0)</f>
        <v>305423.09999999998</v>
      </c>
      <c r="G256" s="79">
        <f>VLOOKUP($B256,'Clients Data'!$C$3:$L$24,10,0)</f>
        <v>101807.70000000001</v>
      </c>
    </row>
    <row r="257" spans="2:7" x14ac:dyDescent="0.25">
      <c r="B257" s="15" t="s">
        <v>75</v>
      </c>
      <c r="C257">
        <f>COUNTIF(Tracker!$C$3:$C$503,Analysis!$B257)</f>
        <v>22</v>
      </c>
      <c r="D257">
        <f>VLOOKUP($B257,'Clients Data'!$C$3:$I$24,7,0)</f>
        <v>2544.4800000000005</v>
      </c>
      <c r="E257" s="79">
        <f>VLOOKUP($B257,'Clients Data'!$C$3:$L$24,8,0)</f>
        <v>263762.40000000002</v>
      </c>
      <c r="F257" s="79">
        <f>VLOOKUP($B257,'Clients Data'!$C$3:$L$24,9,0)</f>
        <v>161823.79199999996</v>
      </c>
      <c r="G257" s="79">
        <f>VLOOKUP($B257,'Clients Data'!$C$3:$L$24,10,0)</f>
        <v>56857.008000000002</v>
      </c>
    </row>
    <row r="258" spans="2:7" x14ac:dyDescent="0.25">
      <c r="B258" s="15" t="s">
        <v>76</v>
      </c>
      <c r="C258">
        <f>COUNTIF(Tracker!$C$3:$C$503,Analysis!$B258)</f>
        <v>28</v>
      </c>
      <c r="D258">
        <f>VLOOKUP($B258,'Clients Data'!$C$3:$I$24,7,0)</f>
        <v>3388.08</v>
      </c>
      <c r="E258" s="79">
        <f>VLOOKUP($B258,'Clients Data'!$C$3:$L$24,8,0)</f>
        <v>372763.19999999995</v>
      </c>
      <c r="F258" s="79">
        <f>VLOOKUP($B258,'Clients Data'!$C$3:$L$24,9,0)</f>
        <v>234287.83199999999</v>
      </c>
      <c r="G258" s="79">
        <f>VLOOKUP($B258,'Clients Data'!$C$3:$L$24,10,0)</f>
        <v>143595.76799999998</v>
      </c>
    </row>
    <row r="259" spans="2:7" x14ac:dyDescent="0.25">
      <c r="B259" s="15" t="s">
        <v>77</v>
      </c>
      <c r="C259">
        <f>COUNTIF(Tracker!$C$3:$C$503,Analysis!$B259)</f>
        <v>28</v>
      </c>
      <c r="D259">
        <f>VLOOKUP($B259,'Clients Data'!$C$3:$I$24,7,0)</f>
        <v>3705.36</v>
      </c>
      <c r="E259" s="79">
        <f>VLOOKUP($B259,'Clients Data'!$C$3:$L$24,8,0)</f>
        <v>377910</v>
      </c>
      <c r="F259" s="79">
        <f>VLOOKUP($B259,'Clients Data'!$C$3:$L$24,9,0)</f>
        <v>227968.95599999998</v>
      </c>
      <c r="G259" s="79">
        <f>VLOOKUP($B259,'Clients Data'!$C$3:$L$24,10,0)</f>
        <v>145750.644</v>
      </c>
    </row>
    <row r="260" spans="2:7" x14ac:dyDescent="0.25">
      <c r="B260" s="15" t="s">
        <v>78</v>
      </c>
      <c r="C260">
        <f>COUNTIF(Tracker!$C$3:$C$503,Analysis!$B260)</f>
        <v>28</v>
      </c>
      <c r="D260">
        <f>VLOOKUP($B260,'Clients Data'!$C$3:$I$24,7,0)</f>
        <v>3981.3599999999992</v>
      </c>
      <c r="E260" s="79">
        <f>VLOOKUP($B260,'Clients Data'!$C$3:$L$24,8,0)</f>
        <v>476805.6</v>
      </c>
      <c r="F260" s="79">
        <f>VLOOKUP($B260,'Clients Data'!$C$3:$L$24,9,0)</f>
        <v>338200.99200000003</v>
      </c>
      <c r="G260" s="79">
        <f>VLOOKUP($B260,'Clients Data'!$C$3:$L$24,10,0)</f>
        <v>159153.408</v>
      </c>
    </row>
    <row r="261" spans="2:7" x14ac:dyDescent="0.25">
      <c r="B261" s="15" t="s">
        <v>79</v>
      </c>
      <c r="C261">
        <f>COUNTIF(Tracker!$C$3:$C$503,Analysis!$B261)</f>
        <v>23</v>
      </c>
      <c r="D261">
        <f>VLOOKUP($B261,'Clients Data'!$C$3:$I$24,7,0)</f>
        <v>3580.0799999999995</v>
      </c>
      <c r="E261" s="79">
        <f>VLOOKUP($B261,'Clients Data'!$C$3:$L$24,8,0)</f>
        <v>346320</v>
      </c>
      <c r="F261" s="79">
        <f>VLOOKUP($B261,'Clients Data'!$C$3:$L$24,9,0)</f>
        <v>245145.10799999998</v>
      </c>
      <c r="G261" s="79">
        <f>VLOOKUP($B261,'Clients Data'!$C$3:$L$24,10,0)</f>
        <v>100129.69200000001</v>
      </c>
    </row>
    <row r="262" spans="2:7" x14ac:dyDescent="0.25">
      <c r="B262" s="15" t="s">
        <v>80</v>
      </c>
      <c r="C262">
        <f>COUNTIF(Tracker!$C$3:$C$503,Analysis!$B262)</f>
        <v>17</v>
      </c>
      <c r="D262">
        <f>VLOOKUP($B262,'Clients Data'!$C$3:$I$24,7,0)</f>
        <v>2500.8000000000002</v>
      </c>
      <c r="E262" s="79">
        <f>VLOOKUP($B262,'Clients Data'!$C$3:$L$24,8,0)</f>
        <v>334574.40000000002</v>
      </c>
      <c r="F262" s="79">
        <f>VLOOKUP($B262,'Clients Data'!$C$3:$L$24,9,0)</f>
        <v>257391.90000000002</v>
      </c>
      <c r="G262" s="79">
        <f>VLOOKUP($B262,'Clients Data'!$C$3:$L$24,10,0)</f>
        <v>85797.299999999988</v>
      </c>
    </row>
    <row r="263" spans="2:7" x14ac:dyDescent="0.25">
      <c r="B263" s="15" t="s">
        <v>81</v>
      </c>
      <c r="C263">
        <f>COUNTIF(Tracker!$C$3:$C$503,Analysis!$B263)</f>
        <v>17</v>
      </c>
      <c r="D263">
        <f>VLOOKUP($B263,'Clients Data'!$C$3:$I$24,7,0)</f>
        <v>2072.6400000000003</v>
      </c>
      <c r="E263" s="79">
        <f>VLOOKUP($B263,'Clients Data'!$C$3:$L$24,8,0)</f>
        <v>219999.6</v>
      </c>
      <c r="F263" s="79">
        <f>VLOOKUP($B263,'Clients Data'!$C$3:$L$24,9,0)</f>
        <v>147636</v>
      </c>
      <c r="G263" s="79">
        <f>VLOOKUP($B263,'Clients Data'!$C$3:$L$24,10,0)</f>
        <v>49212</v>
      </c>
    </row>
    <row r="264" spans="2:7" x14ac:dyDescent="0.25">
      <c r="B264" s="15" t="s">
        <v>82</v>
      </c>
      <c r="C264">
        <f>COUNTIF(Tracker!$C$3:$C$503,Analysis!$B264)</f>
        <v>17</v>
      </c>
      <c r="D264">
        <f>VLOOKUP($B264,'Clients Data'!$C$3:$I$24,7,0)</f>
        <v>1662.4799999999998</v>
      </c>
      <c r="E264" s="79">
        <f>VLOOKUP($B264,'Clients Data'!$C$3:$L$24,8,0)</f>
        <v>202548</v>
      </c>
      <c r="F264" s="79">
        <f>VLOOKUP($B264,'Clients Data'!$C$3:$L$24,9,0)</f>
        <v>158524.80000000005</v>
      </c>
      <c r="G264" s="79">
        <f>VLOOKUP($B264,'Clients Data'!$C$3:$L$24,10,0)</f>
        <v>39631.199999999983</v>
      </c>
    </row>
    <row r="265" spans="2:7" x14ac:dyDescent="0.25">
      <c r="B265" s="15" t="s">
        <v>83</v>
      </c>
      <c r="C265">
        <f>COUNTIF(Tracker!$C$3:$C$503,Analysis!$B265)</f>
        <v>17</v>
      </c>
      <c r="D265">
        <f>VLOOKUP($B265,'Clients Data'!$C$3:$I$24,7,0)</f>
        <v>1362.72</v>
      </c>
      <c r="E265" s="79">
        <f>VLOOKUP($B265,'Clients Data'!$C$3:$L$24,8,0)</f>
        <v>143184</v>
      </c>
      <c r="F265" s="79">
        <f>VLOOKUP($B265,'Clients Data'!$C$3:$L$24,9,0)</f>
        <v>102177.74399999999</v>
      </c>
      <c r="G265" s="79">
        <f>VLOOKUP($B265,'Clients Data'!$C$3:$L$24,10,0)</f>
        <v>32266.656000000003</v>
      </c>
    </row>
    <row r="266" spans="2:7" x14ac:dyDescent="0.25">
      <c r="B266" s="15" t="s">
        <v>84</v>
      </c>
      <c r="C266">
        <f>COUNTIF(Tracker!$C$3:$C$503,Analysis!$B266)</f>
        <v>17</v>
      </c>
      <c r="D266">
        <f>VLOOKUP($B266,'Clients Data'!$C$3:$I$24,7,0)</f>
        <v>1707.6</v>
      </c>
      <c r="E266" s="79">
        <f>VLOOKUP($B266,'Clients Data'!$C$3:$L$24,8,0)</f>
        <v>176838</v>
      </c>
      <c r="F266" s="79">
        <f>VLOOKUP($B266,'Clients Data'!$C$3:$L$24,9,0)</f>
        <v>148200.91200000001</v>
      </c>
      <c r="G266" s="79">
        <f>VLOOKUP($B266,'Clients Data'!$C$3:$L$24,10,0)</f>
        <v>46800.288</v>
      </c>
    </row>
    <row r="267" spans="2:7" x14ac:dyDescent="0.25">
      <c r="B267" s="15" t="s">
        <v>85</v>
      </c>
      <c r="C267">
        <f>COUNTIF(Tracker!$C$3:$C$503,Analysis!$B267)</f>
        <v>12</v>
      </c>
      <c r="D267">
        <f>VLOOKUP($B267,'Clients Data'!$C$3:$I$24,7,0)</f>
        <v>753.12</v>
      </c>
      <c r="E267" s="79">
        <f>VLOOKUP($B267,'Clients Data'!$C$3:$L$24,8,0)</f>
        <v>109584</v>
      </c>
      <c r="F267" s="79">
        <f>VLOOKUP($B267,'Clients Data'!$C$3:$L$24,9,0)</f>
        <v>83544</v>
      </c>
      <c r="G267" s="79">
        <f>VLOOKUP($B267,'Clients Data'!$C$3:$L$24,10,0)</f>
        <v>20886</v>
      </c>
    </row>
    <row r="268" spans="2:7" x14ac:dyDescent="0.25">
      <c r="B268" s="15" t="s">
        <v>86</v>
      </c>
      <c r="C268">
        <f>COUNTIF(Tracker!$C$3:$C$503,Analysis!$B268)</f>
        <v>12</v>
      </c>
      <c r="D268">
        <f>VLOOKUP($B268,'Clients Data'!$C$3:$I$24,7,0)</f>
        <v>1683.12</v>
      </c>
      <c r="E268" s="79">
        <f>VLOOKUP($B268,'Clients Data'!$C$3:$L$24,8,0)</f>
        <v>195924</v>
      </c>
      <c r="F268" s="79">
        <f>VLOOKUP($B268,'Clients Data'!$C$3:$L$24,9,0)</f>
        <v>100565.88</v>
      </c>
      <c r="G268" s="79">
        <f>VLOOKUP($B268,'Clients Data'!$C$3:$L$24,10,0)</f>
        <v>17746.919999999998</v>
      </c>
    </row>
    <row r="269" spans="2:7" x14ac:dyDescent="0.25">
      <c r="B269" s="15" t="s">
        <v>87</v>
      </c>
      <c r="C269">
        <f>COUNTIF(Tracker!$C$3:$C$503,Analysis!$B269)</f>
        <v>16</v>
      </c>
      <c r="D269">
        <f>VLOOKUP($B269,'Clients Data'!$C$3:$I$24,7,0)</f>
        <v>2813.52</v>
      </c>
      <c r="E269" s="79">
        <f>VLOOKUP($B269,'Clients Data'!$C$3:$L$24,8,0)</f>
        <v>370200</v>
      </c>
      <c r="F269" s="79">
        <f>VLOOKUP($B269,'Clients Data'!$C$3:$L$24,9,0)</f>
        <v>287049.84000000003</v>
      </c>
      <c r="G269" s="79">
        <f>VLOOKUP($B269,'Clients Data'!$C$3:$L$24,10,0)</f>
        <v>85742.159999999974</v>
      </c>
    </row>
    <row r="270" spans="2:7" x14ac:dyDescent="0.25">
      <c r="B270" s="15" t="s">
        <v>88</v>
      </c>
      <c r="C270">
        <f>COUNTIF(Tracker!$C$3:$C$503,Analysis!$B270)</f>
        <v>16</v>
      </c>
      <c r="D270">
        <f>VLOOKUP($B270,'Clients Data'!$C$3:$I$24,7,0)</f>
        <v>2088.96</v>
      </c>
      <c r="E270" s="79">
        <f>VLOOKUP($B270,'Clients Data'!$C$3:$L$24,8,0)</f>
        <v>156864</v>
      </c>
      <c r="F270" s="79">
        <f>VLOOKUP($B270,'Clients Data'!$C$3:$L$24,9,0)</f>
        <v>139722.66</v>
      </c>
      <c r="G270" s="79">
        <f>VLOOKUP($B270,'Clients Data'!$C$3:$L$24,10,0)</f>
        <v>41735.339999999997</v>
      </c>
    </row>
    <row r="273" spans="2:14" x14ac:dyDescent="0.25">
      <c r="B273" s="213" t="s">
        <v>416</v>
      </c>
      <c r="C273" s="213"/>
      <c r="D273" s="213"/>
      <c r="E273" s="213"/>
      <c r="F273" s="213"/>
      <c r="G273" s="213"/>
      <c r="H273" s="213"/>
      <c r="I273" s="213"/>
      <c r="J273" s="213"/>
      <c r="K273" s="213"/>
    </row>
    <row r="275" spans="2:14" x14ac:dyDescent="0.25">
      <c r="B275" s="34" t="s">
        <v>31</v>
      </c>
      <c r="C275" s="34" t="s">
        <v>344</v>
      </c>
      <c r="D275" s="88" t="s">
        <v>397</v>
      </c>
      <c r="E275" s="88" t="s">
        <v>165</v>
      </c>
      <c r="F275" s="88" t="s">
        <v>394</v>
      </c>
      <c r="G275" s="88" t="s">
        <v>164</v>
      </c>
      <c r="H275" s="88" t="s">
        <v>358</v>
      </c>
      <c r="I275" s="88" t="s">
        <v>162</v>
      </c>
      <c r="J275" s="88" t="s">
        <v>359</v>
      </c>
      <c r="K275" s="34" t="s">
        <v>395</v>
      </c>
    </row>
    <row r="276" spans="2:14" x14ac:dyDescent="0.25">
      <c r="B276" t="str">
        <f t="array" ref="B276">IFERROR(INDEX(Tracker!$E$3:$E$503,MATCH(0,COUNTIF($B$275:B275,Tracker!$E$3:$E$503),0)),"")</f>
        <v xml:space="preserve">New York  </v>
      </c>
      <c r="C276" s="44">
        <f>COUNTIFS(Tracker!$E$3:$E$503,Analysis!$B276)</f>
        <v>50</v>
      </c>
      <c r="D276" s="44">
        <f t="array" ref="D276">SUMPRODUCT((Tracker!$E$3:$E$503=Analysis!C$288)*(IFERROR(1/COUNTIFS(Tracker!$C$3:$C$503,Tracker!$C$3:$C$503,Tracker!$E$3:$E$503,Analysis!C$288),0)))</f>
        <v>1.9999999999999984</v>
      </c>
      <c r="E276" s="44">
        <f>COUNTIFS(Tracker!$E$3:$E$503,$B276,Tracker!$P$3:$P$503,Analysis!E$275)</f>
        <v>12</v>
      </c>
      <c r="F276" s="16">
        <f>$E276/$C276</f>
        <v>0.24</v>
      </c>
      <c r="G276" s="44">
        <f>COUNTIFS(Tracker!$E$3:$E$503,$B276,Tracker!$P$3:$P$503,Analysis!G$275)</f>
        <v>17</v>
      </c>
      <c r="H276" s="16">
        <f>$G276/$C276</f>
        <v>0.34</v>
      </c>
      <c r="I276" s="44">
        <f>COUNTIFS(Tracker!$E$3:$E$503,$B276,Tracker!$P$3:$P$503,Analysis!I$275)</f>
        <v>11</v>
      </c>
      <c r="J276" s="16">
        <f>$I276/$C276</f>
        <v>0.22</v>
      </c>
      <c r="K276">
        <f>SUMIFS(Tracker!$AA$3:$AA$503,Tracker!$E$3:$E$503,Analysis!$B276)</f>
        <v>811196.4</v>
      </c>
    </row>
    <row r="277" spans="2:14" x14ac:dyDescent="0.25">
      <c r="B277" t="str">
        <f t="array" ref="B277">IFERROR(INDEX(Tracker!$E$3:$E$503,MATCH(0,COUNTIF($B$275:B276,Tracker!$E$3:$E$503),0)),"")</f>
        <v xml:space="preserve">Los Angeles  </v>
      </c>
      <c r="C277" s="44">
        <f>COUNTIFS(Tracker!$E$3:$E$503,Analysis!$B277)</f>
        <v>61</v>
      </c>
      <c r="D277" s="44">
        <f t="array" ref="D277">SUMPRODUCT((Tracker!$E$3:$E$503=Analysis!D$288)*(IFERROR(1/COUNTIFS(Tracker!$C$3:$C$503,Tracker!$C$3:$C$503,Tracker!$E$3:$E$503,Analysis!D$288),0)))</f>
        <v>2.9999999999999982</v>
      </c>
      <c r="E277" s="44">
        <f>COUNTIFS(Tracker!$E$3:$E$503,$B277,Tracker!$P$3:$P$503,Analysis!E$275)</f>
        <v>13</v>
      </c>
      <c r="F277" s="16">
        <f t="shared" ref="F277:F283" si="8">$E277/$C277</f>
        <v>0.21311475409836064</v>
      </c>
      <c r="G277" s="44">
        <f>COUNTIFS(Tracker!$E$3:$E$503,$B277,Tracker!$P$3:$P$503,Analysis!G$275)</f>
        <v>17</v>
      </c>
      <c r="H277" s="16">
        <f t="shared" ref="H277:H283" si="9">$G277/$C277</f>
        <v>0.27868852459016391</v>
      </c>
      <c r="I277" s="44">
        <f>COUNTIFS(Tracker!$E$3:$E$503,$B277,Tracker!$P$3:$P$503,Analysis!I$275)</f>
        <v>21</v>
      </c>
      <c r="J277" s="16">
        <f t="shared" ref="J277:J283" si="10">$I277/$C277</f>
        <v>0.34426229508196721</v>
      </c>
      <c r="K277">
        <f>SUMIFS(Tracker!$AA$3:$AA$503,Tracker!$E$3:$E$503,Analysis!$B277)</f>
        <v>828729.59999999986</v>
      </c>
    </row>
    <row r="278" spans="2:14" x14ac:dyDescent="0.25">
      <c r="B278" t="str">
        <f t="array" ref="B278">IFERROR(INDEX(Tracker!$E$3:$E$503,MATCH(0,COUNTIF($B$275:B277,Tracker!$E$3:$E$503),0)),"")</f>
        <v xml:space="preserve">Chicago  </v>
      </c>
      <c r="C278" s="44">
        <f>COUNTIFS(Tracker!$E$3:$E$503,Analysis!$B278)</f>
        <v>56</v>
      </c>
      <c r="D278" s="44">
        <f t="array" ref="D278">SUMPRODUCT((Tracker!$E$3:$E$503=Analysis!E$288)*(IFERROR(1/COUNTIFS(Tracker!$C$3:$C$503,Tracker!$C$3:$C$503,Tracker!$E$3:$E$503,Analysis!E$288),0)))</f>
        <v>3</v>
      </c>
      <c r="E278" s="44">
        <f>COUNTIFS(Tracker!$E$3:$E$503,$B278,Tracker!$P$3:$P$503,Analysis!E$275)</f>
        <v>15</v>
      </c>
      <c r="F278" s="16">
        <f t="shared" si="8"/>
        <v>0.26785714285714285</v>
      </c>
      <c r="G278" s="44">
        <f>COUNTIFS(Tracker!$E$3:$E$503,$B278,Tracker!$P$3:$P$503,Analysis!G$275)</f>
        <v>20</v>
      </c>
      <c r="H278" s="16">
        <f t="shared" si="9"/>
        <v>0.35714285714285715</v>
      </c>
      <c r="I278" s="44">
        <f>COUNTIFS(Tracker!$E$3:$E$503,$B278,Tracker!$P$3:$P$503,Analysis!I$275)</f>
        <v>19</v>
      </c>
      <c r="J278" s="16">
        <f t="shared" si="10"/>
        <v>0.3392857142857143</v>
      </c>
      <c r="K278">
        <f>SUMIFS(Tracker!$AA$3:$AA$503,Tracker!$E$3:$E$503,Analysis!$B278)</f>
        <v>716254.79999999993</v>
      </c>
    </row>
    <row r="279" spans="2:14" x14ac:dyDescent="0.25">
      <c r="B279" t="str">
        <f t="array" ref="B279">IFERROR(INDEX(Tracker!$E$3:$E$503,MATCH(0,COUNTIF($B$275:B278,Tracker!$E$3:$E$503),0)),"")</f>
        <v xml:space="preserve">Houston  </v>
      </c>
      <c r="C279" s="44">
        <f>COUNTIFS(Tracker!$E$3:$E$503,Analysis!$B279)</f>
        <v>56</v>
      </c>
      <c r="D279" s="44">
        <f t="array" ref="D279">SUMPRODUCT((Tracker!$E$3:$E$503=Analysis!F$288)*(IFERROR(1/COUNTIFS(Tracker!$C$3:$C$503,Tracker!$C$3:$C$503,Tracker!$E$3:$E$503,Analysis!F$288),0)))</f>
        <v>3</v>
      </c>
      <c r="E279" s="44">
        <f>COUNTIFS(Tracker!$E$3:$E$503,$B279,Tracker!$P$3:$P$503,Analysis!E$275)</f>
        <v>18</v>
      </c>
      <c r="F279" s="16">
        <f t="shared" si="8"/>
        <v>0.32142857142857145</v>
      </c>
      <c r="G279" s="44">
        <f>COUNTIFS(Tracker!$E$3:$E$503,$B279,Tracker!$P$3:$P$503,Analysis!G$275)</f>
        <v>16</v>
      </c>
      <c r="H279" s="16">
        <f t="shared" si="9"/>
        <v>0.2857142857142857</v>
      </c>
      <c r="I279" s="44">
        <f>COUNTIFS(Tracker!$E$3:$E$503,$B279,Tracker!$P$3:$P$503,Analysis!I$275)</f>
        <v>16</v>
      </c>
      <c r="J279" s="16">
        <f t="shared" si="10"/>
        <v>0.2857142857142857</v>
      </c>
      <c r="K279">
        <f>SUMIFS(Tracker!$AA$3:$AA$503,Tracker!$E$3:$E$503,Analysis!$B279)</f>
        <v>667094.4</v>
      </c>
    </row>
    <row r="280" spans="2:14" x14ac:dyDescent="0.25">
      <c r="B280" t="str">
        <f t="array" ref="B280">IFERROR(INDEX(Tracker!$E$3:$E$503,MATCH(0,COUNTIF($B$275:B279,Tracker!$E$3:$E$503),0)),"")</f>
        <v xml:space="preserve">Phoenix  </v>
      </c>
      <c r="C280" s="44">
        <f>COUNTIFS(Tracker!$E$3:$E$503,Analysis!$B280)</f>
        <v>87</v>
      </c>
      <c r="D280" s="44">
        <f t="array" ref="D280">SUMPRODUCT((Tracker!$E$3:$E$503=Analysis!G$288)*(IFERROR(1/COUNTIFS(Tracker!$C$3:$C$503,Tracker!$C$3:$C$503,Tracker!$E$3:$E$503,Analysis!G$288),0)))</f>
        <v>3.9999999999999973</v>
      </c>
      <c r="E280" s="44">
        <f>COUNTIFS(Tracker!$E$3:$E$503,$B280,Tracker!$P$3:$P$503,Analysis!E$275)</f>
        <v>24</v>
      </c>
      <c r="F280" s="16">
        <f t="shared" si="8"/>
        <v>0.27586206896551724</v>
      </c>
      <c r="G280" s="44">
        <f>COUNTIFS(Tracker!$E$3:$E$503,$B280,Tracker!$P$3:$P$503,Analysis!G$275)</f>
        <v>22</v>
      </c>
      <c r="H280" s="16">
        <f t="shared" si="9"/>
        <v>0.25287356321839083</v>
      </c>
      <c r="I280" s="44">
        <f>COUNTIFS(Tracker!$E$3:$E$503,$B280,Tracker!$P$3:$P$503,Analysis!I$275)</f>
        <v>32</v>
      </c>
      <c r="J280" s="16">
        <f t="shared" si="10"/>
        <v>0.36781609195402298</v>
      </c>
      <c r="K280">
        <f>SUMIFS(Tracker!$AA$3:$AA$503,Tracker!$E$3:$E$503,Analysis!$B280)</f>
        <v>1212213.5999999999</v>
      </c>
    </row>
    <row r="281" spans="2:14" x14ac:dyDescent="0.25">
      <c r="B281" t="str">
        <f t="array" ref="B281">IFERROR(INDEX(Tracker!$E$3:$E$503,MATCH(0,COUNTIF($B$275:B280,Tracker!$E$3:$E$503),0)),"")</f>
        <v xml:space="preserve">Philadelphia  </v>
      </c>
      <c r="C281" s="44">
        <f>COUNTIFS(Tracker!$E$3:$E$503,Analysis!$B281)</f>
        <v>76</v>
      </c>
      <c r="D281" s="44">
        <f t="array" ref="D281">SUMPRODUCT((Tracker!$E$3:$E$503=Analysis!H$288)*(IFERROR(1/COUNTIFS(Tracker!$C$3:$C$503,Tracker!$C$3:$C$503,Tracker!$E$3:$E$503,Analysis!H$288),0)))</f>
        <v>2.9999999999999996</v>
      </c>
      <c r="E281" s="44">
        <f>COUNTIFS(Tracker!$E$3:$E$503,$B281,Tracker!$P$3:$P$503,Analysis!E$275)</f>
        <v>17</v>
      </c>
      <c r="F281" s="16">
        <f t="shared" si="8"/>
        <v>0.22368421052631579</v>
      </c>
      <c r="G281" s="44">
        <f>COUNTIFS(Tracker!$E$3:$E$503,$B281,Tracker!$P$3:$P$503,Analysis!G$275)</f>
        <v>29</v>
      </c>
      <c r="H281" s="16">
        <f t="shared" si="9"/>
        <v>0.38157894736842107</v>
      </c>
      <c r="I281" s="44">
        <f>COUNTIFS(Tracker!$E$3:$E$503,$B281,Tracker!$P$3:$P$503,Analysis!I$275)</f>
        <v>24</v>
      </c>
      <c r="J281" s="16">
        <f t="shared" si="10"/>
        <v>0.31578947368421051</v>
      </c>
      <c r="K281">
        <f>SUMIFS(Tracker!$AA$3:$AA$503,Tracker!$E$3:$E$503,Analysis!$B281)</f>
        <v>840278.4</v>
      </c>
    </row>
    <row r="282" spans="2:14" x14ac:dyDescent="0.25">
      <c r="B282" t="str">
        <f t="array" ref="B282">IFERROR(INDEX(Tracker!$E$3:$E$503,MATCH(0,COUNTIF($B$275:B281,Tracker!$E$3:$E$503),0)),"")</f>
        <v xml:space="preserve">San Antonio  </v>
      </c>
      <c r="C282" s="44">
        <f>COUNTIFS(Tracker!$E$3:$E$503,Analysis!$B282)</f>
        <v>60</v>
      </c>
      <c r="D282" s="44">
        <f t="array" ref="D282">SUMPRODUCT((Tracker!$E$3:$E$503=Analysis!I$288)*(IFERROR(1/COUNTIFS(Tracker!$C$3:$C$503,Tracker!$C$3:$C$503,Tracker!$E$3:$E$503,Analysis!I$288),0)))</f>
        <v>2.0000000000000013</v>
      </c>
      <c r="E282" s="44">
        <f>COUNTIFS(Tracker!$E$3:$E$503,$B282,Tracker!$P$3:$P$503,Analysis!E$275)</f>
        <v>14</v>
      </c>
      <c r="F282" s="16">
        <f t="shared" si="8"/>
        <v>0.23333333333333334</v>
      </c>
      <c r="G282" s="44">
        <f>COUNTIFS(Tracker!$E$3:$E$503,$B282,Tracker!$P$3:$P$503,Analysis!G$275)</f>
        <v>17</v>
      </c>
      <c r="H282" s="16">
        <f t="shared" si="9"/>
        <v>0.28333333333333333</v>
      </c>
      <c r="I282" s="44">
        <f>COUNTIFS(Tracker!$E$3:$E$503,$B282,Tracker!$P$3:$P$503,Analysis!I$275)</f>
        <v>20</v>
      </c>
      <c r="J282" s="16">
        <f t="shared" si="10"/>
        <v>0.33333333333333331</v>
      </c>
      <c r="K282">
        <f>SUMIFS(Tracker!$AA$3:$AA$503,Tracker!$E$3:$E$503,Analysis!$B282)</f>
        <v>725017.2</v>
      </c>
    </row>
    <row r="283" spans="2:14" x14ac:dyDescent="0.25">
      <c r="B283" t="str">
        <f t="array" ref="B283">IFERROR(INDEX(Tracker!$E$3:$E$503,MATCH(0,COUNTIF($B$275:B282,Tracker!$E$3:$E$503),0)),"")</f>
        <v xml:space="preserve">San Diego  </v>
      </c>
      <c r="C283" s="44">
        <f>COUNTIFS(Tracker!$E$3:$E$503,Analysis!$B283)</f>
        <v>55</v>
      </c>
      <c r="D283" s="44">
        <f t="array" ref="D283">SUMPRODUCT((Tracker!$E$3:$E$503=Analysis!J$288)*(IFERROR(1/COUNTIFS(Tracker!$C$3:$C$503,Tracker!$C$3:$C$503,Tracker!$E$3:$E$503,Analysis!J$288),0)))</f>
        <v>2.0000000000000004</v>
      </c>
      <c r="E283" s="44">
        <f>COUNTIFS(Tracker!$E$3:$E$503,$B283,Tracker!$P$3:$P$503,Analysis!E$275)</f>
        <v>26</v>
      </c>
      <c r="F283" s="16">
        <f t="shared" si="8"/>
        <v>0.47272727272727272</v>
      </c>
      <c r="G283" s="44">
        <f>COUNTIFS(Tracker!$E$3:$E$503,$B283,Tracker!$P$3:$P$503,Analysis!G$275)</f>
        <v>11</v>
      </c>
      <c r="H283" s="16">
        <f t="shared" si="9"/>
        <v>0.2</v>
      </c>
      <c r="I283" s="44">
        <f>COUNTIFS(Tracker!$E$3:$E$503,$B283,Tracker!$P$3:$P$503,Analysis!I$275)</f>
        <v>11</v>
      </c>
      <c r="J283" s="16">
        <f t="shared" si="10"/>
        <v>0.2</v>
      </c>
      <c r="K283">
        <f>SUMIFS(Tracker!$AA$3:$AA$503,Tracker!$E$3:$E$503,Analysis!$B283)</f>
        <v>834914.4</v>
      </c>
    </row>
    <row r="286" spans="2:14" ht="15.75" thickBot="1" x14ac:dyDescent="0.3"/>
    <row r="287" spans="2:14" ht="15.75" thickBot="1" x14ac:dyDescent="0.3">
      <c r="B287" s="220" t="s">
        <v>417</v>
      </c>
      <c r="C287" s="219" t="s">
        <v>31</v>
      </c>
      <c r="D287" s="219"/>
      <c r="E287" s="219"/>
      <c r="F287" s="219"/>
      <c r="G287" s="219"/>
      <c r="H287" s="219"/>
      <c r="I287" s="219"/>
      <c r="J287" s="219"/>
    </row>
    <row r="288" spans="2:14" ht="15.75" thickBot="1" x14ac:dyDescent="0.3">
      <c r="B288" s="221"/>
      <c r="C288" s="98" t="str">
        <f t="array" ref="C288">IFERROR(INDEX(Tracker!$E$3:$E$503,MATCH(0,COUNTIF($B$288:B288,Tracker!$E$3:$E$503),0)),"")</f>
        <v xml:space="preserve">New York  </v>
      </c>
      <c r="D288" s="97" t="str">
        <f t="array" ref="D288">IFERROR(INDEX(Tracker!$E$3:$E$503,MATCH(0,COUNTIF($B$288:C288,Tracker!$E$3:$E$503),0)),"")</f>
        <v xml:space="preserve">Los Angeles  </v>
      </c>
      <c r="E288" s="97" t="str">
        <f t="array" ref="E288">IFERROR(INDEX(Tracker!$E$3:$E$503,MATCH(0,COUNTIF($B$288:D288,Tracker!$E$3:$E$503),0)),"")</f>
        <v xml:space="preserve">Chicago  </v>
      </c>
      <c r="F288" s="97" t="str">
        <f t="array" ref="F288">IFERROR(INDEX(Tracker!$E$3:$E$503,MATCH(0,COUNTIF($B$288:E288,Tracker!$E$3:$E$503),0)),"")</f>
        <v xml:space="preserve">Houston  </v>
      </c>
      <c r="G288" s="97" t="str">
        <f t="array" ref="G288">IFERROR(INDEX(Tracker!$E$3:$E$503,MATCH(0,COUNTIF($B$288:F288,Tracker!$E$3:$E$503),0)),"")</f>
        <v xml:space="preserve">Phoenix  </v>
      </c>
      <c r="H288" s="97" t="str">
        <f t="array" ref="H288">IFERROR(INDEX(Tracker!$E$3:$E$503,MATCH(0,COUNTIF($B$288:G288,Tracker!$E$3:$E$503),0)),"")</f>
        <v xml:space="preserve">Philadelphia  </v>
      </c>
      <c r="I288" s="97" t="str">
        <f t="array" ref="I288">IFERROR(INDEX(Tracker!$E$3:$E$503,MATCH(0,COUNTIF($B$288:H288,Tracker!$E$3:$E$503),0)),"")</f>
        <v xml:space="preserve">San Antonio  </v>
      </c>
      <c r="J288" s="97" t="str">
        <f t="array" ref="J288">IFERROR(INDEX(Tracker!$E$3:$E$503,MATCH(0,COUNTIF($B$288:I288,Tracker!$E$3:$E$503),0)),"")</f>
        <v xml:space="preserve">San Diego  </v>
      </c>
      <c r="K288" s="74"/>
      <c r="L288" s="102" t="s">
        <v>31</v>
      </c>
      <c r="M288" s="90" t="str">
        <f>INDEX($C$288:$J288,$N$288)</f>
        <v xml:space="preserve">Los Angeles  </v>
      </c>
      <c r="N288">
        <v>2</v>
      </c>
    </row>
    <row r="289" spans="2:19" x14ac:dyDescent="0.25">
      <c r="B289" s="88" t="s">
        <v>397</v>
      </c>
      <c r="C289" s="94">
        <f t="array" ref="C289">SUMPRODUCT((Tracker!$E$3:$E$503=Analysis!C$288)*(IFERROR(1/COUNTIFS(Tracker!$C$3:$C$503,Tracker!$C$3:$C$503,Tracker!$E$3:$E$503,Analysis!C$288),0)))</f>
        <v>1.9999999999999984</v>
      </c>
      <c r="D289" s="94">
        <f t="array" ref="D289">SUMPRODUCT((Tracker!$E$3:$E$503=Analysis!D$288)*(IFERROR(1/COUNTIFS(Tracker!$C$3:$C$503,Tracker!$C$3:$C$503,Tracker!$E$3:$E$503,Analysis!D$288),0)))</f>
        <v>2.9999999999999982</v>
      </c>
      <c r="E289" s="94">
        <f t="array" ref="E289">SUMPRODUCT((Tracker!$E$3:$E$503=Analysis!E$288)*(IFERROR(1/COUNTIFS(Tracker!$C$3:$C$503,Tracker!$C$3:$C$503,Tracker!$E$3:$E$503,Analysis!E$288),0)))</f>
        <v>3</v>
      </c>
      <c r="F289" s="94">
        <f t="array" ref="F289">SUMPRODUCT((Tracker!$E$3:$E$503=Analysis!F$288)*(IFERROR(1/COUNTIFS(Tracker!$C$3:$C$503,Tracker!$C$3:$C$503,Tracker!$E$3:$E$503,Analysis!F$288),0)))</f>
        <v>3</v>
      </c>
      <c r="G289" s="94">
        <f t="array" ref="G289">SUMPRODUCT((Tracker!$E$3:$E$503=Analysis!G$288)*(IFERROR(1/COUNTIFS(Tracker!$C$3:$C$503,Tracker!$C$3:$C$503,Tracker!$E$3:$E$503,Analysis!G$288),0)))</f>
        <v>3.9999999999999973</v>
      </c>
      <c r="H289" s="94">
        <f t="array" ref="H289">SUMPRODUCT((Tracker!$E$3:$E$503=Analysis!H$288)*(IFERROR(1/COUNTIFS(Tracker!$C$3:$C$503,Tracker!$C$3:$C$503,Tracker!$E$3:$E$503,Analysis!H$288),0)))</f>
        <v>2.9999999999999996</v>
      </c>
      <c r="I289" s="94">
        <f t="array" ref="I289">SUMPRODUCT((Tracker!$E$3:$E$503=Analysis!I$288)*(IFERROR(1/COUNTIFS(Tracker!$C$3:$C$503,Tracker!$C$3:$C$503,Tracker!$E$3:$E$503,Analysis!I$288),0)))</f>
        <v>2.0000000000000013</v>
      </c>
      <c r="J289" s="94">
        <f t="array" ref="J289">SUMPRODUCT((Tracker!$E$3:$E$503=Analysis!J$288)*(IFERROR(1/COUNTIFS(Tracker!$C$3:$C$503,Tracker!$C$3:$C$503,Tracker!$E$3:$E$503,Analysis!J$288),0)))</f>
        <v>2.0000000000000004</v>
      </c>
      <c r="K289" s="44"/>
      <c r="L289" s="90" t="s">
        <v>397</v>
      </c>
      <c r="M289" s="91">
        <f>INDEX($C$288:$J$298,,MATCH($M$288,$C$288:$J$288,0))</f>
        <v>2.9999999999999982</v>
      </c>
    </row>
    <row r="290" spans="2:19" x14ac:dyDescent="0.25">
      <c r="B290" s="90" t="s">
        <v>349</v>
      </c>
      <c r="C290" s="94">
        <f t="array" ref="C290">SUMPRODUCT((Tracker!$E$3:$E$503=Analysis!C$288)*(IFERROR(1/COUNTIFS(Tracker!$R$3:$R$503,Tracker!$R$3:$R$503,Tracker!$E$3:$E$503,Analysis!C$288),0)))</f>
        <v>1.9999999999999984</v>
      </c>
      <c r="D290" s="94">
        <f t="array" ref="D290">SUMPRODUCT((Tracker!$E$3:$E$503=Analysis!D$288)*(IFERROR(1/COUNTIFS(Tracker!$R$3:$R$503,Tracker!$R$3:$R$503,Tracker!$E$3:$E$503,Analysis!D$288),0)))</f>
        <v>2.9999999999999982</v>
      </c>
      <c r="E290" s="94">
        <f t="array" ref="E290">SUMPRODUCT((Tracker!$E$3:$E$503=Analysis!E$288)*(IFERROR(1/COUNTIFS(Tracker!$R$3:$R$503,Tracker!$R$3:$R$503,Tracker!$E$3:$E$503,Analysis!E$288),0)))</f>
        <v>3</v>
      </c>
      <c r="F290" s="94">
        <f t="array" ref="F290">SUMPRODUCT((Tracker!$E$3:$E$503=Analysis!F$288)*(IFERROR(1/COUNTIFS(Tracker!$R$3:$R$503,Tracker!$R$3:$R$503,Tracker!$E$3:$E$503,Analysis!F$288),0)))</f>
        <v>3</v>
      </c>
      <c r="G290" s="94">
        <f t="array" ref="G290">SUMPRODUCT((Tracker!$E$3:$E$503=Analysis!G$288)*(IFERROR(1/COUNTIFS(Tracker!$R$3:$R$503,Tracker!$R$3:$R$503,Tracker!$E$3:$E$503,Analysis!G$288),0)))</f>
        <v>3.9999999999999973</v>
      </c>
      <c r="H290" s="94">
        <f t="array" ref="H290">SUMPRODUCT((Tracker!$E$3:$E$503=Analysis!H$288)*(IFERROR(1/COUNTIFS(Tracker!$R$3:$R$503,Tracker!$R$3:$R$503,Tracker!$E$3:$E$503,Analysis!H$288),0)))</f>
        <v>2.9999999999999996</v>
      </c>
      <c r="I290" s="94">
        <f t="array" ref="I290">SUMPRODUCT((Tracker!$E$3:$E$503=Analysis!I$288)*(IFERROR(1/COUNTIFS(Tracker!$R$3:$R$503,Tracker!$R$3:$R$503,Tracker!$E$3:$E$503,Analysis!I$288),0)))</f>
        <v>2.0000000000000013</v>
      </c>
      <c r="J290" s="94">
        <f t="array" ref="J290">SUMPRODUCT((Tracker!$E$3:$E$503=Analysis!J$288)*(IFERROR(1/COUNTIFS(Tracker!$R$3:$R$503,Tracker!$R$3:$R$503,Tracker!$E$3:$E$503,Analysis!J$288),0)))</f>
        <v>2.0000000000000004</v>
      </c>
      <c r="K290" s="44"/>
      <c r="L290" s="90" t="s">
        <v>349</v>
      </c>
      <c r="M290" s="92">
        <f t="shared" ref="M290:M298" si="11">INDEX($C$288:$J$298,,MATCH($M$288,$C$288:$J$288,0))</f>
        <v>2.9999999999999982</v>
      </c>
    </row>
    <row r="291" spans="2:19" x14ac:dyDescent="0.25">
      <c r="B291" s="88" t="s">
        <v>344</v>
      </c>
      <c r="C291" s="94">
        <f>COUNTIFS(Tracker!$E$3:$E$503,Analysis!C$288)</f>
        <v>50</v>
      </c>
      <c r="D291" s="94">
        <f>COUNTIFS(Tracker!$E$3:$E$503,Analysis!D$288)</f>
        <v>61</v>
      </c>
      <c r="E291" s="94">
        <f>COUNTIFS(Tracker!$E$3:$E$503,Analysis!E$288)</f>
        <v>56</v>
      </c>
      <c r="F291" s="94">
        <f>COUNTIFS(Tracker!$E$3:$E$503,Analysis!F$288)</f>
        <v>56</v>
      </c>
      <c r="G291" s="94">
        <f>COUNTIFS(Tracker!$E$3:$E$503,Analysis!G$288)</f>
        <v>87</v>
      </c>
      <c r="H291" s="94">
        <f>COUNTIFS(Tracker!$E$3:$E$503,Analysis!H$288)</f>
        <v>76</v>
      </c>
      <c r="I291" s="94">
        <f>COUNTIFS(Tracker!$E$3:$E$503,Analysis!I$288)</f>
        <v>60</v>
      </c>
      <c r="J291" s="94">
        <f>COUNTIFS(Tracker!$E$3:$E$503,Analysis!J$288)</f>
        <v>55</v>
      </c>
      <c r="K291" s="44"/>
      <c r="L291" s="90" t="s">
        <v>344</v>
      </c>
      <c r="M291" s="92">
        <f t="shared" si="11"/>
        <v>61</v>
      </c>
    </row>
    <row r="292" spans="2:19" x14ac:dyDescent="0.25">
      <c r="B292" s="88" t="s">
        <v>165</v>
      </c>
      <c r="C292" s="94">
        <f>COUNTIFS(Tracker!$E$3:$E$503,C$288,Tracker!$P$3:$P$503,Analysis!$B$292)</f>
        <v>12</v>
      </c>
      <c r="D292" s="94">
        <f>COUNTIFS(Tracker!$E$3:$E$503,D$288,Tracker!$P$3:$P$503,Analysis!$B$292)</f>
        <v>13</v>
      </c>
      <c r="E292" s="94">
        <f>COUNTIFS(Tracker!$E$3:$E$503,E$288,Tracker!$P$3:$P$503,Analysis!$B$292)</f>
        <v>15</v>
      </c>
      <c r="F292" s="94">
        <f>COUNTIFS(Tracker!$E$3:$E$503,F$288,Tracker!$P$3:$P$503,Analysis!$B$292)</f>
        <v>18</v>
      </c>
      <c r="G292" s="94">
        <f>COUNTIFS(Tracker!$E$3:$E$503,G$288,Tracker!$P$3:$P$503,Analysis!$B$292)</f>
        <v>24</v>
      </c>
      <c r="H292" s="94">
        <f>COUNTIFS(Tracker!$E$3:$E$503,H$288,Tracker!$P$3:$P$503,Analysis!$B$292)</f>
        <v>17</v>
      </c>
      <c r="I292" s="94">
        <f>COUNTIFS(Tracker!$E$3:$E$503,I$288,Tracker!$P$3:$P$503,Analysis!$B$292)</f>
        <v>14</v>
      </c>
      <c r="J292" s="94">
        <f>COUNTIFS(Tracker!$E$3:$E$503,J$288,Tracker!$P$3:$P$503,Analysis!$B$292)</f>
        <v>26</v>
      </c>
      <c r="K292" s="16"/>
      <c r="L292" s="90" t="s">
        <v>165</v>
      </c>
      <c r="M292" s="99">
        <f t="shared" si="11"/>
        <v>13</v>
      </c>
    </row>
    <row r="293" spans="2:19" x14ac:dyDescent="0.25">
      <c r="B293" s="88" t="s">
        <v>394</v>
      </c>
      <c r="C293" s="95">
        <f t="shared" ref="C293:J293" si="12">C$292/C$291</f>
        <v>0.24</v>
      </c>
      <c r="D293" s="95">
        <f t="shared" si="12"/>
        <v>0.21311475409836064</v>
      </c>
      <c r="E293" s="95">
        <f t="shared" si="12"/>
        <v>0.26785714285714285</v>
      </c>
      <c r="F293" s="95">
        <f t="shared" si="12"/>
        <v>0.32142857142857145</v>
      </c>
      <c r="G293" s="95">
        <f t="shared" si="12"/>
        <v>0.27586206896551724</v>
      </c>
      <c r="H293" s="95">
        <f t="shared" si="12"/>
        <v>0.22368421052631579</v>
      </c>
      <c r="I293" s="95">
        <f t="shared" si="12"/>
        <v>0.23333333333333334</v>
      </c>
      <c r="J293" s="95">
        <f t="shared" si="12"/>
        <v>0.47272727272727272</v>
      </c>
      <c r="K293" s="44"/>
      <c r="L293" s="90" t="s">
        <v>394</v>
      </c>
      <c r="M293" s="93">
        <f t="shared" si="11"/>
        <v>0.21311475409836064</v>
      </c>
    </row>
    <row r="294" spans="2:19" x14ac:dyDescent="0.25">
      <c r="B294" s="88" t="s">
        <v>164</v>
      </c>
      <c r="C294" s="94">
        <f>COUNTIFS(Tracker!$E$3:$E$503,C$288,Tracker!$P$3:$P$503,Analysis!$B$294)</f>
        <v>17</v>
      </c>
      <c r="D294" s="94">
        <f>COUNTIFS(Tracker!$E$3:$E$503,D$288,Tracker!$P$3:$P$503,Analysis!$B$294)</f>
        <v>17</v>
      </c>
      <c r="E294" s="94">
        <f>COUNTIFS(Tracker!$E$3:$E$503,E$288,Tracker!$P$3:$P$503,Analysis!$B$294)</f>
        <v>20</v>
      </c>
      <c r="F294" s="94">
        <f>COUNTIFS(Tracker!$E$3:$E$503,F$288,Tracker!$P$3:$P$503,Analysis!$B$294)</f>
        <v>16</v>
      </c>
      <c r="G294" s="94">
        <f>COUNTIFS(Tracker!$E$3:$E$503,G$288,Tracker!$P$3:$P$503,Analysis!$B$294)</f>
        <v>22</v>
      </c>
      <c r="H294" s="94">
        <f>COUNTIFS(Tracker!$E$3:$E$503,H$288,Tracker!$P$3:$P$503,Analysis!$B$294)</f>
        <v>29</v>
      </c>
      <c r="I294" s="94">
        <f>COUNTIFS(Tracker!$E$3:$E$503,I$288,Tracker!$P$3:$P$503,Analysis!$B$294)</f>
        <v>17</v>
      </c>
      <c r="J294" s="94">
        <f>COUNTIFS(Tracker!$E$3:$E$503,J$288,Tracker!$P$3:$P$503,Analysis!$B$294)</f>
        <v>11</v>
      </c>
      <c r="K294" s="16"/>
      <c r="L294" s="90" t="s">
        <v>164</v>
      </c>
      <c r="M294" s="99">
        <f t="shared" si="11"/>
        <v>17</v>
      </c>
    </row>
    <row r="295" spans="2:19" x14ac:dyDescent="0.25">
      <c r="B295" s="88" t="s">
        <v>358</v>
      </c>
      <c r="C295" s="95">
        <f t="shared" ref="C295:J295" si="13">C$294/C$291</f>
        <v>0.34</v>
      </c>
      <c r="D295" s="95">
        <f t="shared" si="13"/>
        <v>0.27868852459016391</v>
      </c>
      <c r="E295" s="95">
        <f t="shared" si="13"/>
        <v>0.35714285714285715</v>
      </c>
      <c r="F295" s="95">
        <f t="shared" si="13"/>
        <v>0.2857142857142857</v>
      </c>
      <c r="G295" s="95">
        <f t="shared" si="13"/>
        <v>0.25287356321839083</v>
      </c>
      <c r="H295" s="95">
        <f t="shared" si="13"/>
        <v>0.38157894736842107</v>
      </c>
      <c r="I295" s="95">
        <f t="shared" si="13"/>
        <v>0.28333333333333333</v>
      </c>
      <c r="J295" s="95">
        <f t="shared" si="13"/>
        <v>0.2</v>
      </c>
      <c r="K295" s="44"/>
      <c r="L295" s="90" t="s">
        <v>358</v>
      </c>
      <c r="M295" s="93">
        <f t="shared" si="11"/>
        <v>0.27868852459016391</v>
      </c>
    </row>
    <row r="296" spans="2:19" x14ac:dyDescent="0.25">
      <c r="B296" s="88" t="s">
        <v>163</v>
      </c>
      <c r="C296" s="44">
        <f>COUNTIFS(Tracker!$E$3:$E$503,C$288,Tracker!$P$3:$P$503,Analysis!$B$296)</f>
        <v>2</v>
      </c>
      <c r="D296" s="44">
        <f>COUNTIFS(Tracker!$E$3:$E$503,D$288,Tracker!$P$3:$P$503,Analysis!$B$296)</f>
        <v>3</v>
      </c>
      <c r="E296" s="44">
        <f>COUNTIFS(Tracker!$E$3:$E$503,E$288,Tracker!$P$3:$P$503,Analysis!$B$296)</f>
        <v>2</v>
      </c>
      <c r="F296" s="44">
        <f>COUNTIFS(Tracker!$E$3:$E$503,F$288,Tracker!$P$3:$P$503,Analysis!$B$296)</f>
        <v>3</v>
      </c>
      <c r="G296" s="44">
        <f>COUNTIFS(Tracker!$E$3:$E$503,G$288,Tracker!$P$3:$P$503,Analysis!$B$296)</f>
        <v>4</v>
      </c>
      <c r="H296" s="44">
        <f>COUNTIFS(Tracker!$E$3:$E$503,H$288,Tracker!$P$3:$P$503,Analysis!$B$296)</f>
        <v>4</v>
      </c>
      <c r="I296" s="44">
        <f>COUNTIFS(Tracker!$E$3:$E$503,I$288,Tracker!$P$3:$P$503,Analysis!$B$296)</f>
        <v>2</v>
      </c>
      <c r="J296" s="44">
        <f>COUNTIFS(Tracker!$E$3:$E$503,J$288,Tracker!$P$3:$P$503,Analysis!$B$296)</f>
        <v>2</v>
      </c>
      <c r="K296" s="16"/>
      <c r="L296" s="90" t="s">
        <v>163</v>
      </c>
      <c r="M296" s="99">
        <f t="shared" si="11"/>
        <v>3</v>
      </c>
    </row>
    <row r="297" spans="2:19" x14ac:dyDescent="0.25">
      <c r="B297" s="88" t="s">
        <v>162</v>
      </c>
      <c r="C297" s="94">
        <f>COUNTIFS(Tracker!$E$3:$E$503,C$288,Tracker!$P$3:$P$503,Analysis!$B$297)</f>
        <v>11</v>
      </c>
      <c r="D297" s="94">
        <f>COUNTIFS(Tracker!$E$3:$E$503,D$288,Tracker!$P$3:$P$503,Analysis!$B$297)</f>
        <v>21</v>
      </c>
      <c r="E297" s="94">
        <f>COUNTIFS(Tracker!$E$3:$E$503,E$288,Tracker!$P$3:$P$503,Analysis!$B$297)</f>
        <v>19</v>
      </c>
      <c r="F297" s="94">
        <f>COUNTIFS(Tracker!$E$3:$E$503,F$288,Tracker!$P$3:$P$503,Analysis!$B$297)</f>
        <v>16</v>
      </c>
      <c r="G297" s="94">
        <f>COUNTIFS(Tracker!$E$3:$E$503,G$288,Tracker!$P$3:$P$503,Analysis!$B$297)</f>
        <v>32</v>
      </c>
      <c r="H297" s="94">
        <f>COUNTIFS(Tracker!$E$3:$E$503,H$288,Tracker!$P$3:$P$503,Analysis!$B$297)</f>
        <v>24</v>
      </c>
      <c r="I297" s="94">
        <f>COUNTIFS(Tracker!$E$3:$E$503,I$288,Tracker!$P$3:$P$503,Analysis!$B$297)</f>
        <v>20</v>
      </c>
      <c r="J297" s="94">
        <f>COUNTIFS(Tracker!$E$3:$E$503,J$288,Tracker!$P$3:$P$503,Analysis!$B$297)</f>
        <v>11</v>
      </c>
      <c r="K297" s="44"/>
      <c r="L297" s="90" t="s">
        <v>162</v>
      </c>
      <c r="M297" s="100">
        <f t="shared" si="11"/>
        <v>21</v>
      </c>
    </row>
    <row r="298" spans="2:19" ht="15.75" thickBot="1" x14ac:dyDescent="0.3">
      <c r="B298" s="88" t="s">
        <v>395</v>
      </c>
      <c r="C298" s="96">
        <f>SUMIFS(Tracker!$AA$3:$AA$503,Tracker!$E$3:$E$503,Analysis!$B276)</f>
        <v>811196.4</v>
      </c>
      <c r="D298" s="96">
        <f>SUMIFS(Tracker!$AA$3:$AA$503,Tracker!$E$3:$E$503,Analysis!$B277)</f>
        <v>828729.59999999986</v>
      </c>
      <c r="E298" s="96">
        <f>SUMIFS(Tracker!$AA$3:$AA$503,Tracker!$E$3:$E$503,Analysis!$B278)</f>
        <v>716254.79999999993</v>
      </c>
      <c r="F298" s="96">
        <f>SUMIFS(Tracker!$AA$3:$AA$503,Tracker!$E$3:$E$503,Analysis!$B279)</f>
        <v>667094.4</v>
      </c>
      <c r="G298" s="96">
        <f>SUMIFS(Tracker!$AA$3:$AA$503,Tracker!$E$3:$E$503,Analysis!$B280)</f>
        <v>1212213.5999999999</v>
      </c>
      <c r="H298" s="96">
        <f>SUMIFS(Tracker!$AA$3:$AA$503,Tracker!$E$3:$E$503,Analysis!$B281)</f>
        <v>840278.4</v>
      </c>
      <c r="I298" s="96">
        <f>SUMIFS(Tracker!$AA$3:$AA$503,Tracker!$E$3:$E$503,Analysis!$B282)</f>
        <v>725017.2</v>
      </c>
      <c r="J298" s="96">
        <f>SUMIFS(Tracker!$AA$3:$AA$503,Tracker!$E$3:$E$503,Analysis!$B283)</f>
        <v>834914.4</v>
      </c>
      <c r="L298" s="90" t="s">
        <v>395</v>
      </c>
      <c r="M298" s="101">
        <f t="shared" si="11"/>
        <v>828729.59999999986</v>
      </c>
    </row>
    <row r="301" spans="2:19" s="47" customFormat="1" x14ac:dyDescent="0.25"/>
    <row r="302" spans="2:19" ht="15.75" thickBot="1" x14ac:dyDescent="0.3"/>
    <row r="303" spans="2:19" ht="16.5" thickBot="1" x14ac:dyDescent="0.3">
      <c r="B303" s="48" t="s">
        <v>0</v>
      </c>
      <c r="Q303" t="s">
        <v>422</v>
      </c>
    </row>
    <row r="304" spans="2:19" ht="15" customHeight="1" x14ac:dyDescent="0.25">
      <c r="L304" s="90" t="s">
        <v>423</v>
      </c>
      <c r="M304" s="90">
        <f>'Billing Dashboard'!$Q$12</f>
        <v>2022</v>
      </c>
      <c r="N304" s="90" t="s">
        <v>425</v>
      </c>
      <c r="Q304" s="90" t="s">
        <v>322</v>
      </c>
      <c r="R304" s="87" t="s">
        <v>426</v>
      </c>
      <c r="S304" s="90" t="s">
        <v>427</v>
      </c>
    </row>
    <row r="305" spans="1:19" ht="15.75" customHeight="1" x14ac:dyDescent="0.25">
      <c r="L305" s="111" t="s">
        <v>310</v>
      </c>
      <c r="M305" s="79">
        <f>SUMIFS(Tracker!$AA$3:$AA$503,Tracker!$AD$3:$AD$503,Analysis!M$304,Tracker!$AE$3:$AE$503,Analysis!$E316)</f>
        <v>108428.4</v>
      </c>
      <c r="N305" s="38">
        <f t="shared" ref="N305:N316" si="14">$M305/$N$317</f>
        <v>9.7663710501143003E-2</v>
      </c>
      <c r="Q305" s="74">
        <f ca="1">YEAR(TODAY())-1</f>
        <v>2023</v>
      </c>
      <c r="R305" s="79">
        <f ca="1">SUMIF(Tracker!$AD$3:$AD$503,Analysis!$Q305,Tracker!$AA$3:$AA$503)</f>
        <v>194976</v>
      </c>
      <c r="S305" s="16">
        <f ca="1">IFERROR(($R305-$R306)/$R306,0)</f>
        <v>-0.8240606388738495</v>
      </c>
    </row>
    <row r="306" spans="1:19" x14ac:dyDescent="0.25">
      <c r="C306" s="104" t="s">
        <v>344</v>
      </c>
      <c r="D306" s="105">
        <f>COUNTA(Tracker!$S$3:$S$503)</f>
        <v>501</v>
      </c>
      <c r="L306" s="111" t="s">
        <v>311</v>
      </c>
      <c r="M306" s="79">
        <f>SUMIFS(Tracker!$AA$3:$AA$503,Tracker!$AD$3:$AD$503,Analysis!M$304,Tracker!$AE$3:$AE$503,Analysis!$E317)</f>
        <v>98284.800000000003</v>
      </c>
      <c r="N306" s="38">
        <f t="shared" si="14"/>
        <v>8.8527159432978272E-2</v>
      </c>
      <c r="Q306" s="74">
        <f ca="1">$Q305-1</f>
        <v>2022</v>
      </c>
      <c r="R306" s="79">
        <f ca="1">SUMIF(Tracker!$AD$3:$AD$503,Analysis!$Q306,Tracker!$AA$3:$AA$503)</f>
        <v>1108200</v>
      </c>
      <c r="S306" s="16">
        <f ca="1">IFERROR(($R306-$R307)/$R307,0)</f>
        <v>-2.5993887017400633E-2</v>
      </c>
    </row>
    <row r="307" spans="1:19" x14ac:dyDescent="0.25">
      <c r="C307" s="106" t="s">
        <v>405</v>
      </c>
      <c r="D307" s="107">
        <f>SUM(Tracker!$Z$3:$Z$503)</f>
        <v>61048.320000000022</v>
      </c>
      <c r="L307" s="111" t="s">
        <v>312</v>
      </c>
      <c r="M307" s="79">
        <f>SUMIFS(Tracker!$AA$3:$AA$503,Tracker!$AD$3:$AD$503,Analysis!M$304,Tracker!$AE$3:$AE$503,Analysis!$E318)</f>
        <v>124305.59999999999</v>
      </c>
      <c r="N307" s="38">
        <f t="shared" si="14"/>
        <v>0.11196463410020698</v>
      </c>
      <c r="Q307" s="74">
        <f ca="1">$Q306-1</f>
        <v>2021</v>
      </c>
      <c r="R307" s="79">
        <f ca="1">SUMIF(Tracker!$AD$3:$AD$503,Analysis!$Q307,Tracker!$AA$3:$AA$503)</f>
        <v>1137775.2000000004</v>
      </c>
      <c r="S307" s="16">
        <f ca="1">IFERROR(($R307-$R308)/$R308,0)</f>
        <v>2.4995189166218293E-3</v>
      </c>
    </row>
    <row r="308" spans="1:19" x14ac:dyDescent="0.25">
      <c r="C308" s="106" t="s">
        <v>395</v>
      </c>
      <c r="D308" s="108">
        <f>SUM(Tracker!$AA$3:$AA$503)</f>
        <v>6635698.7999999998</v>
      </c>
      <c r="L308" s="111" t="s">
        <v>313</v>
      </c>
      <c r="M308" s="79">
        <f>SUMIFS(Tracker!$AA$3:$AA$503,Tracker!$AD$3:$AD$503,Analysis!M$304,Tracker!$AE$3:$AE$503,Analysis!$E319)</f>
        <v>91212</v>
      </c>
      <c r="N308" s="38">
        <f t="shared" si="14"/>
        <v>8.2156541664640051E-2</v>
      </c>
      <c r="Q308" s="74">
        <f ca="1">$Q307-1</f>
        <v>2020</v>
      </c>
      <c r="R308" s="79">
        <f ca="1">SUMIF(Tracker!$AD$3:$AD$503,Analysis!$Q308,Tracker!$AA$3:$AA$503)</f>
        <v>1134938.3999999999</v>
      </c>
      <c r="S308" s="16">
        <f ca="1">IFERROR(($R308-$R309)/$R309,0)</f>
        <v>0.12083781199004051</v>
      </c>
    </row>
    <row r="309" spans="1:19" x14ac:dyDescent="0.25">
      <c r="C309" s="106" t="s">
        <v>421</v>
      </c>
      <c r="D309" s="109">
        <f>$D$308/$D$306</f>
        <v>13244.907784431138</v>
      </c>
      <c r="L309" s="111" t="s">
        <v>314</v>
      </c>
      <c r="M309" s="79">
        <f>SUMIFS(Tracker!$AA$3:$AA$503,Tracker!$AD$3:$AD$503,Analysis!M$304,Tracker!$AE$3:$AE$503,Analysis!$E320)</f>
        <v>48174</v>
      </c>
      <c r="N309" s="38">
        <f t="shared" si="14"/>
        <v>4.3391321735652869E-2</v>
      </c>
      <c r="Q309" s="74">
        <f ca="1">$Q308-1</f>
        <v>2019</v>
      </c>
      <c r="R309" s="79">
        <f ca="1">SUMIF(Tracker!$AD$3:$AD$503,Analysis!$Q309,Tracker!$AA$3:$AA$503)</f>
        <v>1012580.3999999999</v>
      </c>
      <c r="S309" s="16"/>
    </row>
    <row r="310" spans="1:19" x14ac:dyDescent="0.25">
      <c r="C310" s="110" t="s">
        <v>436</v>
      </c>
      <c r="D310" s="81">
        <f>MAX(Tracker!$AA$3:$AA$503)</f>
        <v>146448</v>
      </c>
      <c r="L310" s="111" t="s">
        <v>315</v>
      </c>
      <c r="M310" s="79">
        <f>SUMIFS(Tracker!$AA$3:$AA$503,Tracker!$AD$3:$AD$503,Analysis!M$304,Tracker!$AE$3:$AE$503,Analysis!$E321)</f>
        <v>51909.599999999999</v>
      </c>
      <c r="N310" s="38">
        <f t="shared" si="14"/>
        <v>4.6756054194566493E-2</v>
      </c>
    </row>
    <row r="311" spans="1:19" x14ac:dyDescent="0.25">
      <c r="L311" s="111" t="s">
        <v>316</v>
      </c>
      <c r="M311" s="79">
        <f>SUMIFS(Tracker!$AA$3:$AA$503,Tracker!$AD$3:$AD$503,Analysis!M$304,Tracker!$AE$3:$AE$503,Analysis!$E322)</f>
        <v>147432</v>
      </c>
      <c r="N311" s="38">
        <f t="shared" si="14"/>
        <v>0.13279506260909979</v>
      </c>
    </row>
    <row r="312" spans="1:19" x14ac:dyDescent="0.25">
      <c r="L312" s="111" t="s">
        <v>317</v>
      </c>
      <c r="M312" s="79">
        <f>SUMIFS(Tracker!$AA$3:$AA$503,Tracker!$AD$3:$AD$503,Analysis!M$304,Tracker!$AE$3:$AE$503,Analysis!$E323)</f>
        <v>79941.600000000006</v>
      </c>
      <c r="N312" s="38">
        <f t="shared" si="14"/>
        <v>7.2005058447769915E-2</v>
      </c>
    </row>
    <row r="313" spans="1:19" ht="15.75" thickBot="1" x14ac:dyDescent="0.3">
      <c r="L313" s="111" t="s">
        <v>318</v>
      </c>
      <c r="M313" s="79">
        <f>SUMIFS(Tracker!$AA$3:$AA$503,Tracker!$AD$3:$AD$503,Analysis!M$304,Tracker!$AE$3:$AE$503,Analysis!$E324)</f>
        <v>131769.60000000001</v>
      </c>
      <c r="N313" s="38">
        <f t="shared" si="14"/>
        <v>0.11868761382858564</v>
      </c>
    </row>
    <row r="314" spans="1:19" x14ac:dyDescent="0.25">
      <c r="E314" s="217" t="s">
        <v>423</v>
      </c>
      <c r="F314" s="215" t="s">
        <v>322</v>
      </c>
      <c r="G314" s="215"/>
      <c r="H314" s="215"/>
      <c r="I314" s="215"/>
      <c r="J314" s="216"/>
      <c r="L314" s="111" t="s">
        <v>319</v>
      </c>
      <c r="M314" s="79">
        <f>SUMIFS(Tracker!$AA$3:$AA$503,Tracker!$AD$3:$AD$503,Analysis!M$304,Tracker!$AE$3:$AE$503,Analysis!$E325)</f>
        <v>112080</v>
      </c>
      <c r="N314" s="38">
        <f t="shared" si="14"/>
        <v>0.10095278241648968</v>
      </c>
    </row>
    <row r="315" spans="1:19" ht="15.75" thickBot="1" x14ac:dyDescent="0.3">
      <c r="E315" s="218"/>
      <c r="F315" s="120">
        <f ca="1">YEAR(TODAY())-1</f>
        <v>2023</v>
      </c>
      <c r="G315" s="120">
        <f ca="1">F$315-1</f>
        <v>2022</v>
      </c>
      <c r="H315" s="120">
        <f ca="1">G$315-1</f>
        <v>2021</v>
      </c>
      <c r="I315" s="120">
        <f ca="1">H$315-1</f>
        <v>2020</v>
      </c>
      <c r="J315" s="121">
        <f ca="1">I$315-1</f>
        <v>2019</v>
      </c>
      <c r="L315" s="111" t="s">
        <v>320</v>
      </c>
      <c r="M315" s="79">
        <f>SUMIFS(Tracker!$AA$3:$AA$503,Tracker!$AD$3:$AD$503,Analysis!M$304,Tracker!$AE$3:$AE$503,Analysis!$E326)</f>
        <v>12974.4</v>
      </c>
      <c r="N315" s="38">
        <f t="shared" si="14"/>
        <v>1.1686311386371374E-2</v>
      </c>
    </row>
    <row r="316" spans="1:19" x14ac:dyDescent="0.25">
      <c r="E316" s="112" t="s">
        <v>310</v>
      </c>
      <c r="F316" s="113">
        <f ca="1">SUMIFS(Tracker!$AA$3:$AA$503,Tracker!$AD$3:$AD$503,Analysis!F$315,Tracker!$AE$3:$AE$503,Analysis!$E316)</f>
        <v>94053.6</v>
      </c>
      <c r="G316" s="113">
        <f ca="1">SUMIFS(Tracker!$AA$3:$AA$503,Tracker!$AD$3:$AD$503,Analysis!G$315,Tracker!$AE$3:$AE$503,Analysis!$E316)</f>
        <v>108428.4</v>
      </c>
      <c r="H316" s="113">
        <f ca="1">SUMIFS(Tracker!$AA$3:$AA$503,Tracker!$AD$3:$AD$503,Analysis!H$315,Tracker!$AE$3:$AE$503,Analysis!$E316)</f>
        <v>180976.80000000002</v>
      </c>
      <c r="I316" s="113">
        <f ca="1">SUMIFS(Tracker!$AA$3:$AA$503,Tracker!$AD$3:$AD$503,Analysis!I$315,Tracker!$AE$3:$AE$503,Analysis!$E316)</f>
        <v>48532.800000000003</v>
      </c>
      <c r="J316" s="114">
        <f ca="1">SUMIFS(Tracker!$AA$3:$AA$503,Tracker!$AD$3:$AD$503,Analysis!J$315,Tracker!$AE$3:$AE$503,Analysis!$E316)</f>
        <v>61596</v>
      </c>
      <c r="L316" s="111" t="s">
        <v>321</v>
      </c>
      <c r="M316" s="79">
        <f>SUMIFS(Tracker!$AA$3:$AA$503,Tracker!$AD$3:$AD$503,Analysis!M$304,Tracker!$AE$3:$AE$503,Analysis!$E327)</f>
        <v>101688</v>
      </c>
      <c r="N316" s="38">
        <f t="shared" si="14"/>
        <v>9.1592492312348339E-2</v>
      </c>
    </row>
    <row r="317" spans="1:19" x14ac:dyDescent="0.25">
      <c r="E317" s="115" t="s">
        <v>311</v>
      </c>
      <c r="F317" s="103">
        <f ca="1">SUMIFS(Tracker!$AA$3:$AA$503,Tracker!$AD$3:$AD$503,Analysis!F$315,Tracker!$AE$3:$AE$503,Analysis!$E317)</f>
        <v>18914.400000000001</v>
      </c>
      <c r="G317" s="103">
        <f ca="1">SUMIFS(Tracker!$AA$3:$AA$503,Tracker!$AD$3:$AD$503,Analysis!G$315,Tracker!$AE$3:$AE$503,Analysis!$E317)</f>
        <v>98284.800000000003</v>
      </c>
      <c r="H317" s="103">
        <f ca="1">SUMIFS(Tracker!$AA$3:$AA$503,Tracker!$AD$3:$AD$503,Analysis!H$315,Tracker!$AE$3:$AE$503,Analysis!$E317)</f>
        <v>63399.600000000006</v>
      </c>
      <c r="I317" s="103">
        <f ca="1">SUMIFS(Tracker!$AA$3:$AA$503,Tracker!$AD$3:$AD$503,Analysis!I$315,Tracker!$AE$3:$AE$503,Analysis!$E317)</f>
        <v>106689.60000000001</v>
      </c>
      <c r="J317" s="116">
        <f ca="1">SUMIFS(Tracker!$AA$3:$AA$503,Tracker!$AD$3:$AD$503,Analysis!J$315,Tracker!$AE$3:$AE$503,Analysis!$E317)</f>
        <v>121518</v>
      </c>
      <c r="M317" s="111" t="s">
        <v>284</v>
      </c>
      <c r="N317" s="103">
        <f>SUM(M304:M316)</f>
        <v>1110222</v>
      </c>
    </row>
    <row r="318" spans="1:19" x14ac:dyDescent="0.25">
      <c r="E318" s="115" t="s">
        <v>312</v>
      </c>
      <c r="F318" s="103">
        <f ca="1">SUMIFS(Tracker!$AA$3:$AA$503,Tracker!$AD$3:$AD$503,Analysis!F$315,Tracker!$AE$3:$AE$503,Analysis!$E318)</f>
        <v>82008</v>
      </c>
      <c r="G318" s="103">
        <f ca="1">SUMIFS(Tracker!$AA$3:$AA$503,Tracker!$AD$3:$AD$503,Analysis!G$315,Tracker!$AE$3:$AE$503,Analysis!$E318)</f>
        <v>124305.59999999999</v>
      </c>
      <c r="H318" s="103">
        <f ca="1">SUMIFS(Tracker!$AA$3:$AA$503,Tracker!$AD$3:$AD$503,Analysis!H$315,Tracker!$AE$3:$AE$503,Analysis!$E318)</f>
        <v>79620</v>
      </c>
      <c r="I318" s="103">
        <f ca="1">SUMIFS(Tracker!$AA$3:$AA$503,Tracker!$AD$3:$AD$503,Analysis!I$315,Tracker!$AE$3:$AE$503,Analysis!$E318)</f>
        <v>102108</v>
      </c>
      <c r="J318" s="116">
        <f ca="1">SUMIFS(Tracker!$AA$3:$AA$503,Tracker!$AD$3:$AD$503,Analysis!J$315,Tracker!$AE$3:$AE$503,Analysis!$E318)</f>
        <v>66607.199999999997</v>
      </c>
    </row>
    <row r="319" spans="1:19" x14ac:dyDescent="0.25">
      <c r="E319" s="115" t="s">
        <v>313</v>
      </c>
      <c r="F319" s="103">
        <f ca="1">SUMIFS(Tracker!$AA$3:$AA$503,Tracker!$AD$3:$AD$503,Analysis!F$315,Tracker!$AE$3:$AE$503,Analysis!$E319)</f>
        <v>0</v>
      </c>
      <c r="G319" s="103">
        <f ca="1">SUMIFS(Tracker!$AA$3:$AA$503,Tracker!$AD$3:$AD$503,Analysis!G$315,Tracker!$AE$3:$AE$503,Analysis!$E319)</f>
        <v>91212</v>
      </c>
      <c r="H319" s="103">
        <f ca="1">SUMIFS(Tracker!$AA$3:$AA$503,Tracker!$AD$3:$AD$503,Analysis!H$315,Tracker!$AE$3:$AE$503,Analysis!$E319)</f>
        <v>161914.79999999999</v>
      </c>
      <c r="I319" s="103">
        <f ca="1">SUMIFS(Tracker!$AA$3:$AA$503,Tracker!$AD$3:$AD$503,Analysis!I$315,Tracker!$AE$3:$AE$503,Analysis!$E319)</f>
        <v>145528.79999999999</v>
      </c>
      <c r="J319" s="116">
        <f ca="1">SUMIFS(Tracker!$AA$3:$AA$503,Tracker!$AD$3:$AD$503,Analysis!J$315,Tracker!$AE$3:$AE$503,Analysis!$E319)</f>
        <v>80863.199999999997</v>
      </c>
    </row>
    <row r="320" spans="1:19" x14ac:dyDescent="0.25">
      <c r="A320" s="213" t="s">
        <v>429</v>
      </c>
      <c r="B320" s="213"/>
      <c r="C320" s="213"/>
      <c r="E320" s="115" t="s">
        <v>314</v>
      </c>
      <c r="F320" s="103">
        <f ca="1">SUMIFS(Tracker!$AA$3:$AA$503,Tracker!$AD$3:$AD$503,Analysis!F$315,Tracker!$AE$3:$AE$503,Analysis!$E320)</f>
        <v>0</v>
      </c>
      <c r="G320" s="103">
        <f ca="1">SUMIFS(Tracker!$AA$3:$AA$503,Tracker!$AD$3:$AD$503,Analysis!G$315,Tracker!$AE$3:$AE$503,Analysis!$E320)</f>
        <v>48174</v>
      </c>
      <c r="H320" s="103">
        <f ca="1">SUMIFS(Tracker!$AA$3:$AA$503,Tracker!$AD$3:$AD$503,Analysis!H$315,Tracker!$AE$3:$AE$503,Analysis!$E320)</f>
        <v>89174.399999999994</v>
      </c>
      <c r="I320" s="103">
        <f ca="1">SUMIFS(Tracker!$AA$3:$AA$503,Tracker!$AD$3:$AD$503,Analysis!I$315,Tracker!$AE$3:$AE$503,Analysis!$E320)</f>
        <v>42288</v>
      </c>
      <c r="J320" s="116">
        <f ca="1">SUMIFS(Tracker!$AA$3:$AA$503,Tracker!$AD$3:$AD$503,Analysis!J$315,Tracker!$AE$3:$AE$503,Analysis!$E320)</f>
        <v>129672</v>
      </c>
    </row>
    <row r="321" spans="1:16" x14ac:dyDescent="0.25">
      <c r="E321" s="115" t="s">
        <v>315</v>
      </c>
      <c r="F321" s="103">
        <f ca="1">SUMIFS(Tracker!$AA$3:$AA$503,Tracker!$AD$3:$AD$503,Analysis!F$315,Tracker!$AE$3:$AE$503,Analysis!$E321)</f>
        <v>0</v>
      </c>
      <c r="G321" s="103">
        <f ca="1">SUMIFS(Tracker!$AA$3:$AA$503,Tracker!$AD$3:$AD$503,Analysis!G$315,Tracker!$AE$3:$AE$503,Analysis!$E321)</f>
        <v>51909.599999999999</v>
      </c>
      <c r="H321" s="103">
        <f ca="1">SUMIFS(Tracker!$AA$3:$AA$503,Tracker!$AD$3:$AD$503,Analysis!H$315,Tracker!$AE$3:$AE$503,Analysis!$E321)</f>
        <v>84021.6</v>
      </c>
      <c r="I321" s="103">
        <f ca="1">SUMIFS(Tracker!$AA$3:$AA$503,Tracker!$AD$3:$AD$503,Analysis!I$315,Tracker!$AE$3:$AE$503,Analysis!$E321)</f>
        <v>107334</v>
      </c>
      <c r="J321" s="116">
        <f ca="1">SUMIFS(Tracker!$AA$3:$AA$503,Tracker!$AD$3:$AD$503,Analysis!J$315,Tracker!$AE$3:$AE$503,Analysis!$E321)</f>
        <v>135530.4</v>
      </c>
    </row>
    <row r="322" spans="1:16" x14ac:dyDescent="0.25">
      <c r="A322" s="34" t="s">
        <v>391</v>
      </c>
      <c r="B322" s="34" t="s">
        <v>428</v>
      </c>
      <c r="C322" s="87" t="s">
        <v>406</v>
      </c>
      <c r="E322" s="115" t="s">
        <v>316</v>
      </c>
      <c r="F322" s="103">
        <f ca="1">SUMIFS(Tracker!$AA$3:$AA$503,Tracker!$AD$3:$AD$503,Analysis!F$315,Tracker!$AE$3:$AE$503,Analysis!$E322)</f>
        <v>0</v>
      </c>
      <c r="G322" s="103">
        <f ca="1">SUMIFS(Tracker!$AA$3:$AA$503,Tracker!$AD$3:$AD$503,Analysis!G$315,Tracker!$AE$3:$AE$503,Analysis!$E322)</f>
        <v>147432</v>
      </c>
      <c r="H322" s="103">
        <f ca="1">SUMIFS(Tracker!$AA$3:$AA$503,Tracker!$AD$3:$AD$503,Analysis!H$315,Tracker!$AE$3:$AE$503,Analysis!$E322)</f>
        <v>60480</v>
      </c>
      <c r="I322" s="103">
        <f ca="1">SUMIFS(Tracker!$AA$3:$AA$503,Tracker!$AD$3:$AD$503,Analysis!I$315,Tracker!$AE$3:$AE$503,Analysis!$E322)</f>
        <v>109758</v>
      </c>
      <c r="J322" s="116">
        <f ca="1">SUMIFS(Tracker!$AA$3:$AA$503,Tracker!$AD$3:$AD$503,Analysis!J$315,Tracker!$AE$3:$AE$503,Analysis!$E322)</f>
        <v>89562</v>
      </c>
    </row>
    <row r="323" spans="1:16" x14ac:dyDescent="0.25">
      <c r="A323" s="44">
        <v>1</v>
      </c>
      <c r="B323" t="str">
        <f>INDEX('Clients Data'!$C$3:$C$24,MATCH(Analysis!$A323,'Clients Data'!$M$3:$M$24,0))</f>
        <v>Blue Moon Innovations</v>
      </c>
      <c r="C323" s="130">
        <f>INDEX('Clients Data'!$I$3:$I$24,MATCH(Analysis!$B323,'Clients Data'!$C$3:$C$24,0))</f>
        <v>4083.6</v>
      </c>
      <c r="E323" s="115" t="s">
        <v>317</v>
      </c>
      <c r="F323" s="103">
        <f ca="1">SUMIFS(Tracker!$AA$3:$AA$503,Tracker!$AD$3:$AD$503,Analysis!F$315,Tracker!$AE$3:$AE$503,Analysis!$E323)</f>
        <v>0</v>
      </c>
      <c r="G323" s="103">
        <f ca="1">SUMIFS(Tracker!$AA$3:$AA$503,Tracker!$AD$3:$AD$503,Analysis!G$315,Tracker!$AE$3:$AE$503,Analysis!$E323)</f>
        <v>79941.600000000006</v>
      </c>
      <c r="H323" s="103">
        <f ca="1">SUMIFS(Tracker!$AA$3:$AA$503,Tracker!$AD$3:$AD$503,Analysis!H$315,Tracker!$AE$3:$AE$503,Analysis!$E323)</f>
        <v>92491.199999999997</v>
      </c>
      <c r="I323" s="103">
        <f ca="1">SUMIFS(Tracker!$AA$3:$AA$503,Tracker!$AD$3:$AD$503,Analysis!I$315,Tracker!$AE$3:$AE$503,Analysis!$E323)</f>
        <v>143623.20000000001</v>
      </c>
      <c r="J323" s="116">
        <f ca="1">SUMIFS(Tracker!$AA$3:$AA$503,Tracker!$AD$3:$AD$503,Analysis!J$315,Tracker!$AE$3:$AE$503,Analysis!$E323)</f>
        <v>50503.199999999997</v>
      </c>
    </row>
    <row r="324" spans="1:16" x14ac:dyDescent="0.25">
      <c r="A324" s="44">
        <v>2</v>
      </c>
      <c r="B324" t="str">
        <f>INDEX('Clients Data'!$C$3:$C$24,MATCH(Analysis!$A324,'Clients Data'!$M$3:$M$24,0))</f>
        <v>Twilight Travels</v>
      </c>
      <c r="C324" s="130">
        <f>INDEX('Clients Data'!$I$3:$I$24,MATCH(Analysis!$B324,'Clients Data'!$C$3:$C$24,0))</f>
        <v>3981.3599999999992</v>
      </c>
      <c r="E324" s="115" t="s">
        <v>318</v>
      </c>
      <c r="F324" s="103">
        <f ca="1">SUMIFS(Tracker!$AA$3:$AA$503,Tracker!$AD$3:$AD$503,Analysis!F$315,Tracker!$AE$3:$AE$503,Analysis!$E324)</f>
        <v>0</v>
      </c>
      <c r="G324" s="103">
        <f ca="1">SUMIFS(Tracker!$AA$3:$AA$503,Tracker!$AD$3:$AD$503,Analysis!G$315,Tracker!$AE$3:$AE$503,Analysis!$E324)</f>
        <v>131769.60000000001</v>
      </c>
      <c r="H324" s="103">
        <f ca="1">SUMIFS(Tracker!$AA$3:$AA$503,Tracker!$AD$3:$AD$503,Analysis!H$315,Tracker!$AE$3:$AE$503,Analysis!$E324)</f>
        <v>106020</v>
      </c>
      <c r="I324" s="103">
        <f ca="1">SUMIFS(Tracker!$AA$3:$AA$503,Tracker!$AD$3:$AD$503,Analysis!I$315,Tracker!$AE$3:$AE$503,Analysis!$E324)</f>
        <v>120816</v>
      </c>
      <c r="J324" s="116">
        <f ca="1">SUMIFS(Tracker!$AA$3:$AA$503,Tracker!$AD$3:$AD$503,Analysis!J$315,Tracker!$AE$3:$AE$503,Analysis!$E324)</f>
        <v>95592</v>
      </c>
    </row>
    <row r="325" spans="1:16" x14ac:dyDescent="0.25">
      <c r="A325" s="44">
        <v>3</v>
      </c>
      <c r="B325" t="str">
        <f>INDEX('Clients Data'!$C$3:$C$24,MATCH(Analysis!$A325,'Clients Data'!$M$3:$M$24,0))</f>
        <v>ABC Corp</v>
      </c>
      <c r="C325" s="130">
        <f>INDEX('Clients Data'!$I$3:$I$24,MATCH(Analysis!$B325,'Clients Data'!$C$3:$C$24,0))</f>
        <v>3913.68</v>
      </c>
      <c r="E325" s="115" t="s">
        <v>319</v>
      </c>
      <c r="F325" s="103">
        <f ca="1">SUMIFS(Tracker!$AA$3:$AA$503,Tracker!$AD$3:$AD$503,Analysis!F$315,Tracker!$AE$3:$AE$503,Analysis!$E325)</f>
        <v>0</v>
      </c>
      <c r="G325" s="103">
        <f ca="1">SUMIFS(Tracker!$AA$3:$AA$503,Tracker!$AD$3:$AD$503,Analysis!G$315,Tracker!$AE$3:$AE$503,Analysis!$E325)</f>
        <v>112080</v>
      </c>
      <c r="H325" s="103">
        <f ca="1">SUMIFS(Tracker!$AA$3:$AA$503,Tracker!$AD$3:$AD$503,Analysis!H$315,Tracker!$AE$3:$AE$503,Analysis!$E325)</f>
        <v>60043.200000000004</v>
      </c>
      <c r="I325" s="103">
        <f ca="1">SUMIFS(Tracker!$AA$3:$AA$503,Tracker!$AD$3:$AD$503,Analysis!I$315,Tracker!$AE$3:$AE$503,Analysis!$E325)</f>
        <v>51883.200000000004</v>
      </c>
      <c r="J325" s="116">
        <f ca="1">SUMIFS(Tracker!$AA$3:$AA$503,Tracker!$AD$3:$AD$503,Analysis!J$315,Tracker!$AE$3:$AE$503,Analysis!$E325)</f>
        <v>62910</v>
      </c>
    </row>
    <row r="326" spans="1:16" x14ac:dyDescent="0.25">
      <c r="A326" s="44">
        <v>4</v>
      </c>
      <c r="B326" t="str">
        <f>INDEX('Clients Data'!$C$3:$C$24,MATCH(Analysis!$A326,'Clients Data'!$M$3:$M$24,0))</f>
        <v>Golden Horizon Enterprises</v>
      </c>
      <c r="C326" s="130">
        <f>INDEX('Clients Data'!$I$3:$I$24,MATCH(Analysis!$B326,'Clients Data'!$C$3:$C$24,0))</f>
        <v>3755.5199999999995</v>
      </c>
      <c r="E326" s="115" t="s">
        <v>320</v>
      </c>
      <c r="F326" s="103">
        <f ca="1">SUMIFS(Tracker!$AA$3:$AA$503,Tracker!$AD$3:$AD$503,Analysis!F$315,Tracker!$AE$3:$AE$503,Analysis!$E326)</f>
        <v>0</v>
      </c>
      <c r="G326" s="103">
        <f ca="1">SUMIFS(Tracker!$AA$3:$AA$503,Tracker!$AD$3:$AD$503,Analysis!G$315,Tracker!$AE$3:$AE$503,Analysis!$E326)</f>
        <v>12974.4</v>
      </c>
      <c r="H326" s="103">
        <f ca="1">SUMIFS(Tracker!$AA$3:$AA$503,Tracker!$AD$3:$AD$503,Analysis!H$315,Tracker!$AE$3:$AE$503,Analysis!$E326)</f>
        <v>107140.8</v>
      </c>
      <c r="I326" s="103">
        <f ca="1">SUMIFS(Tracker!$AA$3:$AA$503,Tracker!$AD$3:$AD$503,Analysis!I$315,Tracker!$AE$3:$AE$503,Analysis!$E326)</f>
        <v>104008.8</v>
      </c>
      <c r="J326" s="116">
        <f ca="1">SUMIFS(Tracker!$AA$3:$AA$503,Tracker!$AD$3:$AD$503,Analysis!J$315,Tracker!$AE$3:$AE$503,Analysis!$E326)</f>
        <v>40380</v>
      </c>
    </row>
    <row r="327" spans="1:16" ht="15.75" thickBot="1" x14ac:dyDescent="0.3">
      <c r="A327" s="44">
        <v>5</v>
      </c>
      <c r="B327" t="str">
        <f>INDEX('Clients Data'!$C$3:$C$24,MATCH(Analysis!$A327,'Clients Data'!$M$3:$M$24,0))</f>
        <v>Eclipse Eco-Tech</v>
      </c>
      <c r="C327" s="130">
        <f>INDEX('Clients Data'!$I$3:$I$24,MATCH(Analysis!$B327,'Clients Data'!$C$3:$C$24,0))</f>
        <v>3705.36</v>
      </c>
      <c r="E327" s="117" t="s">
        <v>321</v>
      </c>
      <c r="F327" s="118">
        <f ca="1">SUMIFS(Tracker!$AA$3:$AA$503,Tracker!$AD$3:$AD$503,Analysis!F$315,Tracker!$AE$3:$AE$503,Analysis!$E327)</f>
        <v>0</v>
      </c>
      <c r="G327" s="118">
        <f ca="1">SUMIFS(Tracker!$AA$3:$AA$503,Tracker!$AD$3:$AD$503,Analysis!G$315,Tracker!$AE$3:$AE$503,Analysis!$E327)</f>
        <v>101688</v>
      </c>
      <c r="H327" s="118">
        <f ca="1">SUMIFS(Tracker!$AA$3:$AA$503,Tracker!$AD$3:$AD$503,Analysis!H$315,Tracker!$AE$3:$AE$503,Analysis!$E327)</f>
        <v>52492.800000000003</v>
      </c>
      <c r="I327" s="118">
        <f ca="1">SUMIFS(Tracker!$AA$3:$AA$503,Tracker!$AD$3:$AD$503,Analysis!I$315,Tracker!$AE$3:$AE$503,Analysis!$E327)</f>
        <v>52368</v>
      </c>
      <c r="J327" s="119">
        <f ca="1">SUMIFS(Tracker!$AA$3:$AA$503,Tracker!$AD$3:$AD$503,Analysis!J$315,Tracker!$AE$3:$AE$503,Analysis!$E327)</f>
        <v>77846.399999999994</v>
      </c>
    </row>
    <row r="329" spans="1:16" x14ac:dyDescent="0.25">
      <c r="A329" s="213" t="s">
        <v>430</v>
      </c>
      <c r="B329" s="213"/>
      <c r="C329" s="213"/>
    </row>
    <row r="330" spans="1:16" x14ac:dyDescent="0.25">
      <c r="A330" s="34" t="s">
        <v>391</v>
      </c>
      <c r="B330" s="34" t="s">
        <v>428</v>
      </c>
      <c r="C330" s="87" t="s">
        <v>406</v>
      </c>
      <c r="F330" s="213" t="s">
        <v>419</v>
      </c>
      <c r="G330" s="213"/>
      <c r="H330" s="213"/>
      <c r="J330" s="213" t="s">
        <v>420</v>
      </c>
      <c r="K330" s="213"/>
      <c r="L330" s="213"/>
      <c r="N330" s="213" t="s">
        <v>418</v>
      </c>
      <c r="O330" s="213"/>
      <c r="P330" s="213"/>
    </row>
    <row r="331" spans="1:16" x14ac:dyDescent="0.25">
      <c r="A331" s="44">
        <f>MAX('Clients Data'!$M$3:$M$24)</f>
        <v>22</v>
      </c>
      <c r="B331" t="str">
        <f>INDEX('Clients Data'!$C$3:$C$24,MATCH(Analysis!$A331,'Clients Data'!$M$3:$M$24,0))</f>
        <v>Velvet Valley Ventures</v>
      </c>
      <c r="C331" s="130">
        <f>INDEX('Clients Data'!$I$3:$I$24,MATCH(Analysis!$B331,'Clients Data'!$C$3:$C$24,0))</f>
        <v>753.12</v>
      </c>
    </row>
    <row r="332" spans="1:16" x14ac:dyDescent="0.25">
      <c r="A332" s="44">
        <f>$A331-1</f>
        <v>21</v>
      </c>
      <c r="B332" t="str">
        <f>INDEX('Clients Data'!$C$3:$C$24,MATCH(Analysis!$A332,'Clients Data'!$M$3:$M$24,0))</f>
        <v>Nimbus Networks</v>
      </c>
      <c r="C332" s="130">
        <f>INDEX('Clients Data'!$I$3:$I$24,MATCH(Analysis!$B332,'Clients Data'!$C$3:$C$24,0))</f>
        <v>1362.72</v>
      </c>
      <c r="F332" s="17" t="s">
        <v>31</v>
      </c>
      <c r="G332" s="17" t="s">
        <v>431</v>
      </c>
      <c r="H332" s="17" t="s">
        <v>341</v>
      </c>
      <c r="J332" s="17" t="s">
        <v>14</v>
      </c>
      <c r="K332" s="46" t="s">
        <v>431</v>
      </c>
      <c r="L332" s="46" t="s">
        <v>341</v>
      </c>
      <c r="N332" s="46" t="s">
        <v>322</v>
      </c>
      <c r="O332" s="46" t="s">
        <v>431</v>
      </c>
      <c r="P332" s="46" t="s">
        <v>341</v>
      </c>
    </row>
    <row r="333" spans="1:16" x14ac:dyDescent="0.25">
      <c r="A333" s="44">
        <f>$A332-1</f>
        <v>20</v>
      </c>
      <c r="B333" t="str">
        <f>INDEX('Clients Data'!$C$3:$C$24,MATCH(Analysis!$A333,'Clients Data'!$M$3:$M$24,0))</f>
        <v>Starlit Strategies</v>
      </c>
      <c r="C333" s="130">
        <f>INDEX('Clients Data'!$I$3:$I$24,MATCH(Analysis!$B333,'Clients Data'!$C$3:$C$24,0))</f>
        <v>1662.4799999999998</v>
      </c>
      <c r="F333" t="str">
        <f t="array" ref="F333">IFERROR(INDEX(Tracker!$E$3:$E$503,MATCH(0,COUNTIF($F$332:F332,Tracker!$E$3:$E$503),0)),"")</f>
        <v xml:space="preserve">New York  </v>
      </c>
      <c r="G333" s="35">
        <f>SUMIF(Tracker!$E$3:$E$503,Analysis!$F333,Tracker!$Z$3:$Z$503)</f>
        <v>7493.7599999999984</v>
      </c>
      <c r="H333" s="79">
        <f>SUMIF(Tracker!$E$3:$E$503,Analysis!$F333,Tracker!$AA$3:$AA$503)</f>
        <v>811196.4</v>
      </c>
      <c r="J333" t="str">
        <f t="array" ref="J333">IFERROR(INDEX(Tracker!$Q$3:$Q$503,MATCH(0,COUNTIF($J$332:J332,Tracker!$Q$3:$Q$503),0)),"")</f>
        <v>Civil</v>
      </c>
      <c r="K333" s="122">
        <f>SUMIF(Tracker!$Q$3:$Q$503,Analysis!$J333,Tracker!$Z$3:$Z$503)</f>
        <v>33932.639999999992</v>
      </c>
      <c r="L333" s="79">
        <f>SUMIF(Tracker!$Q$3:$Q$503,Analysis!$J333,Tracker!$AA$3:$AA$503)</f>
        <v>5089896</v>
      </c>
      <c r="N333" s="74">
        <f ca="1">YEAR(TODAY())-1</f>
        <v>2023</v>
      </c>
      <c r="O333" s="35">
        <f ca="1">SUMIF(Tracker!$AD$3:$AD$503,Analysis!$N333,Tracker!$Z$3:$Z$503)</f>
        <v>1832.6399999999999</v>
      </c>
      <c r="P333" s="79">
        <f ca="1">SUMIF(Tracker!$AD$3:$AD$503,Analysis!$N333,Tracker!$AA$3:$AA$503)</f>
        <v>194976</v>
      </c>
    </row>
    <row r="334" spans="1:16" x14ac:dyDescent="0.25">
      <c r="A334" s="44">
        <f>$A333-1</f>
        <v>19</v>
      </c>
      <c r="B334" t="str">
        <f>INDEX('Clients Data'!$C$3:$C$24,MATCH(Analysis!$A334,'Clients Data'!$M$3:$M$24,0))</f>
        <v>Harmony Harvest</v>
      </c>
      <c r="C334" s="130">
        <f>INDEX('Clients Data'!$I$3:$I$24,MATCH(Analysis!$B334,'Clients Data'!$C$3:$C$24,0))</f>
        <v>1683.12</v>
      </c>
      <c r="F334" t="str">
        <f t="array" ref="F334">IFERROR(INDEX(Tracker!$E$3:$E$503,MATCH(0,COUNTIF($F$332:F333,Tracker!$E$3:$E$503),0)),"")</f>
        <v xml:space="preserve">Los Angeles  </v>
      </c>
      <c r="G334" s="35">
        <f>SUMIF(Tracker!$E$3:$E$503,Analysis!$F334,Tracker!$Z$3:$Z$503)</f>
        <v>7245.3599999999988</v>
      </c>
      <c r="H334" s="79">
        <f>SUMIF(Tracker!$E$3:$E$503,Analysis!$F334,Tracker!$AA$3:$AA$503)</f>
        <v>828729.59999999986</v>
      </c>
      <c r="J334" t="str">
        <f t="array" ref="J334">IFERROR(INDEX(Tracker!$Q$3:$Q$503,MATCH(0,COUNTIF($J$332:J333,Tracker!$Q$3:$Q$503),0)),"")</f>
        <v>Federal</v>
      </c>
      <c r="K334" s="122">
        <f>SUMIF(Tracker!$Q$3:$Q$503,Analysis!$J334,Tracker!$Z$3:$Z$503)</f>
        <v>12230.399999999996</v>
      </c>
      <c r="L334" s="79">
        <f>SUMIF(Tracker!$Q$3:$Q$503,Analysis!$J334,Tracker!$AA$3:$AA$503)</f>
        <v>611520</v>
      </c>
      <c r="N334" s="74">
        <f ca="1">$N333-1</f>
        <v>2022</v>
      </c>
      <c r="O334" s="35">
        <f ca="1">SUMIF(Tracker!$AD$3:$AD$503,Analysis!$N334,Tracker!$Z$3:$Z$503)</f>
        <v>11616.239999999998</v>
      </c>
      <c r="P334" s="79">
        <f ca="1">SUMIF(Tracker!$AD$3:$AD$503,Analysis!$N334,Tracker!$AA$3:$AA$503)</f>
        <v>1108200</v>
      </c>
    </row>
    <row r="335" spans="1:16" x14ac:dyDescent="0.25">
      <c r="A335" s="44">
        <f>$A334-1</f>
        <v>18</v>
      </c>
      <c r="B335" t="str">
        <f>INDEX('Clients Data'!$C$3:$C$24,MATCH(Analysis!$A335,'Clients Data'!$M$3:$M$24,0))</f>
        <v>Cascade Creations</v>
      </c>
      <c r="C335" s="130">
        <f>INDEX('Clients Data'!$I$3:$I$24,MATCH(Analysis!$B335,'Clients Data'!$C$3:$C$24,0))</f>
        <v>1707.6</v>
      </c>
      <c r="F335" t="str">
        <f t="array" ref="F335">IFERROR(INDEX(Tracker!$E$3:$E$503,MATCH(0,COUNTIF($F$332:F334,Tracker!$E$3:$E$503),0)),"")</f>
        <v xml:space="preserve">Chicago  </v>
      </c>
      <c r="G335" s="35">
        <f>SUMIF(Tracker!$E$3:$E$503,Analysis!$F335,Tracker!$Z$3:$Z$503)</f>
        <v>6013.1999999999989</v>
      </c>
      <c r="H335" s="79">
        <f>SUMIF(Tracker!$E$3:$E$503,Analysis!$F335,Tracker!$AA$3:$AA$503)</f>
        <v>716254.79999999993</v>
      </c>
      <c r="J335" t="str">
        <f t="array" ref="J335">IFERROR(INDEX(Tracker!$Q$3:$Q$503,MATCH(0,COUNTIF($J$332:J334,Tracker!$Q$3:$Q$503),0)),"")</f>
        <v>Employment Tribunal</v>
      </c>
      <c r="K335" s="122">
        <f>SUMIF(Tracker!$Q$3:$Q$503,Analysis!$J335,Tracker!$Z$3:$Z$503)</f>
        <v>1566.24</v>
      </c>
      <c r="L335" s="79">
        <f>SUMIF(Tracker!$Q$3:$Q$503,Analysis!$J335,Tracker!$AA$3:$AA$503)</f>
        <v>46987.19999999999</v>
      </c>
      <c r="N335" s="74">
        <f ca="1">$N334-1</f>
        <v>2021</v>
      </c>
      <c r="O335" s="35">
        <f ca="1">SUMIF(Tracker!$AD$3:$AD$503,Analysis!$N335,Tracker!$Z$3:$Z$503)</f>
        <v>11233.199999999997</v>
      </c>
      <c r="P335" s="79">
        <f ca="1">SUMIF(Tracker!$AD$3:$AD$503,Analysis!$N335,Tracker!$AA$3:$AA$503)</f>
        <v>1137775.2000000004</v>
      </c>
    </row>
    <row r="336" spans="1:16" x14ac:dyDescent="0.25">
      <c r="F336" t="str">
        <f t="array" ref="F336">IFERROR(INDEX(Tracker!$E$3:$E$503,MATCH(0,COUNTIF($F$332:F335,Tracker!$E$3:$E$503),0)),"")</f>
        <v xml:space="preserve">Houston  </v>
      </c>
      <c r="G336" s="35">
        <f>SUMIF(Tracker!$E$3:$E$503,Analysis!$F336,Tracker!$Z$3:$Z$503)</f>
        <v>5823.1200000000008</v>
      </c>
      <c r="H336" s="79">
        <f>SUMIF(Tracker!$E$3:$E$503,Analysis!$F336,Tracker!$AA$3:$AA$503)</f>
        <v>667094.4</v>
      </c>
      <c r="J336" t="str">
        <f t="array" ref="J336">IFERROR(INDEX(Tracker!$Q$3:$Q$503,MATCH(0,COUNTIF($J$332:J335,Tracker!$Q$3:$Q$503),0)),"")</f>
        <v>Bankruptcy</v>
      </c>
      <c r="K336" s="122">
        <f>SUMIF(Tracker!$Q$3:$Q$503,Analysis!$J336,Tracker!$Z$3:$Z$503)</f>
        <v>1859.76</v>
      </c>
      <c r="L336" s="79">
        <f>SUMIF(Tracker!$Q$3:$Q$503,Analysis!$J336,Tracker!$AA$3:$AA$503)</f>
        <v>185976</v>
      </c>
      <c r="N336" s="74">
        <f ca="1">$N335-1</f>
        <v>2020</v>
      </c>
      <c r="O336" s="35">
        <f ca="1">SUMIF(Tracker!$AD$3:$AD$503,Analysis!$N336,Tracker!$Z$3:$Z$503)</f>
        <v>10246.080000000002</v>
      </c>
      <c r="P336" s="79">
        <f ca="1">SUMIF(Tracker!$AD$3:$AD$503,Analysis!$N336,Tracker!$AA$3:$AA$503)</f>
        <v>1134938.3999999999</v>
      </c>
    </row>
    <row r="337" spans="6:16" x14ac:dyDescent="0.25">
      <c r="F337" t="str">
        <f t="array" ref="F337">IFERROR(INDEX(Tracker!$E$3:$E$503,MATCH(0,COUNTIF($F$332:F336,Tracker!$E$3:$E$503),0)),"")</f>
        <v xml:space="preserve">Phoenix  </v>
      </c>
      <c r="G337" s="35">
        <f>SUMIF(Tracker!$E$3:$E$503,Analysis!$F337,Tracker!$Z$3:$Z$503)</f>
        <v>10804.32</v>
      </c>
      <c r="H337" s="79">
        <f>SUMIF(Tracker!$E$3:$E$503,Analysis!$F337,Tracker!$AA$3:$AA$503)</f>
        <v>1212213.5999999999</v>
      </c>
      <c r="J337" t="str">
        <f t="array" ref="J337">IFERROR(INDEX(Tracker!$Q$3:$Q$503,MATCH(0,COUNTIF($J$332:J336,Tracker!$Q$3:$Q$503),0)),"")</f>
        <v>Housing</v>
      </c>
      <c r="K337" s="122">
        <f>SUMIF(Tracker!$Q$3:$Q$503,Analysis!$J337,Tracker!$Z$3:$Z$503)</f>
        <v>2243.2799999999997</v>
      </c>
      <c r="L337" s="79">
        <f>SUMIF(Tracker!$Q$3:$Q$503,Analysis!$J337,Tracker!$AA$3:$AA$503)</f>
        <v>168246</v>
      </c>
      <c r="N337" s="74">
        <f ca="1">$N336-1</f>
        <v>2019</v>
      </c>
      <c r="O337" s="35">
        <f ca="1">SUMIF(Tracker!$AD$3:$AD$503,Analysis!$N337,Tracker!$Z$3:$Z$503)</f>
        <v>9690</v>
      </c>
      <c r="P337" s="79">
        <f ca="1">SUMIF(Tracker!$AD$3:$AD$503,Analysis!$N337,Tracker!$AA$3:$AA$503)</f>
        <v>1012580.3999999999</v>
      </c>
    </row>
    <row r="338" spans="6:16" x14ac:dyDescent="0.25">
      <c r="F338" t="str">
        <f t="array" ref="F338">IFERROR(INDEX(Tracker!$E$3:$E$503,MATCH(0,COUNTIF($F$332:F337,Tracker!$E$3:$E$503),0)),"")</f>
        <v xml:space="preserve">Philadelphia  </v>
      </c>
      <c r="G338" s="35">
        <f>SUMIF(Tracker!$E$3:$E$503,Analysis!$F338,Tracker!$Z$3:$Z$503)</f>
        <v>8706.9599999999991</v>
      </c>
      <c r="H338" s="79">
        <f>SUMIF(Tracker!$E$3:$E$503,Analysis!$F338,Tracker!$AA$3:$AA$503)</f>
        <v>840278.4</v>
      </c>
      <c r="J338" t="str">
        <f t="array" ref="J338">IFERROR(INDEX(Tracker!$Q$3:$Q$503,MATCH(0,COUNTIF($J$332:J337,Tracker!$Q$3:$Q$503),0)),"")</f>
        <v>Environmental</v>
      </c>
      <c r="K338" s="122">
        <f>SUMIF(Tracker!$Q$3:$Q$503,Analysis!$J338,Tracker!$Z$3:$Z$503)</f>
        <v>1645.6800000000003</v>
      </c>
      <c r="L338" s="79">
        <f>SUMIF(Tracker!$Q$3:$Q$503,Analysis!$J338,Tracker!$AA$3:$AA$503)</f>
        <v>197481.60000000006</v>
      </c>
    </row>
    <row r="339" spans="6:16" x14ac:dyDescent="0.25">
      <c r="F339" t="str">
        <f t="array" ref="F339">IFERROR(INDEX(Tracker!$E$3:$E$503,MATCH(0,COUNTIF($F$332:F338,Tracker!$E$3:$E$503),0)),"")</f>
        <v xml:space="preserve">San Antonio  </v>
      </c>
      <c r="G339" s="35">
        <f>SUMIF(Tracker!$E$3:$E$503,Analysis!$F339,Tracker!$Z$3:$Z$503)</f>
        <v>7460.8800000000037</v>
      </c>
      <c r="H339" s="79">
        <f>SUMIF(Tracker!$E$3:$E$503,Analysis!$F339,Tracker!$AA$3:$AA$503)</f>
        <v>725017.2</v>
      </c>
      <c r="J339" t="str">
        <f t="array" ref="J339">IFERROR(INDEX(Tracker!$Q$3:$Q$503,MATCH(0,COUNTIF($J$332:J338,Tracker!$Q$3:$Q$503),0)),"")</f>
        <v>Tax</v>
      </c>
      <c r="K339" s="122">
        <f>SUMIF(Tracker!$Q$3:$Q$503,Analysis!$J339,Tracker!$Z$3:$Z$503)</f>
        <v>1878.7200000000003</v>
      </c>
      <c r="L339" s="79">
        <f>SUMIF(Tracker!$Q$3:$Q$503,Analysis!$J339,Tracker!$AA$3:$AA$503)</f>
        <v>93936</v>
      </c>
    </row>
    <row r="340" spans="6:16" x14ac:dyDescent="0.25">
      <c r="F340" t="str">
        <f t="array" ref="F340">IFERROR(INDEX(Tracker!$E$3:$E$503,MATCH(0,COUNTIF($F$332:F339,Tracker!$E$3:$E$503),0)),"")</f>
        <v xml:space="preserve">San Diego  </v>
      </c>
      <c r="G340" s="35">
        <f>SUMIF(Tracker!$E$3:$E$503,Analysis!$F340,Tracker!$Z$3:$Z$503)</f>
        <v>7500.7200000000012</v>
      </c>
      <c r="H340" s="79">
        <f>SUMIF(Tracker!$E$3:$E$503,Analysis!$F340,Tracker!$AA$3:$AA$503)</f>
        <v>834914.4</v>
      </c>
      <c r="J340" t="str">
        <f t="array" ref="J340">IFERROR(INDEX(Tracker!$Q$3:$Q$503,MATCH(0,COUNTIF($J$332:J339,Tracker!$Q$3:$Q$503),0)),"")</f>
        <v>Criminal</v>
      </c>
      <c r="K340" s="122">
        <f>SUMIF(Tracker!$Q$3:$Q$503,Analysis!$J340,Tracker!$Z$3:$Z$503)</f>
        <v>2164.56</v>
      </c>
      <c r="L340" s="79">
        <f>SUMIF(Tracker!$Q$3:$Q$503,Analysis!$J340,Tracker!$AA$3:$AA$503)</f>
        <v>64936.799999999996</v>
      </c>
    </row>
    <row r="341" spans="6:16" x14ac:dyDescent="0.25">
      <c r="J341" t="str">
        <f t="array" ref="J341">IFERROR(INDEX(Tracker!$Q$3:$Q$503,MATCH(0,COUNTIF($J$332:J340,Tracker!$Q$3:$Q$503),0)),"")</f>
        <v>Workers' Compensation</v>
      </c>
      <c r="K341" s="122">
        <f>SUMIF(Tracker!$Q$3:$Q$503,Analysis!$J341,Tracker!$Z$3:$Z$503)</f>
        <v>1498.7999999999997</v>
      </c>
      <c r="L341" s="79">
        <f>SUMIF(Tracker!$Q$3:$Q$503,Analysis!$J341,Tracker!$AA$3:$AA$503)</f>
        <v>44964</v>
      </c>
    </row>
    <row r="342" spans="6:16" x14ac:dyDescent="0.25">
      <c r="J342" t="str">
        <f t="array" ref="J342">IFERROR(INDEX(Tracker!$Q$3:$Q$503,MATCH(0,COUNTIF($J$332:J341,Tracker!$Q$3:$Q$503),0)),"")</f>
        <v>Appellate</v>
      </c>
      <c r="K342" s="122">
        <f>SUMIF(Tracker!$Q$3:$Q$503,Analysis!$J342,Tracker!$Z$3:$Z$503)</f>
        <v>1525.1999999999998</v>
      </c>
      <c r="L342" s="79">
        <f>SUMIF(Tracker!$Q$3:$Q$503,Analysis!$J342,Tracker!$AA$3:$AA$503)</f>
        <v>91512</v>
      </c>
    </row>
    <row r="343" spans="6:16" x14ac:dyDescent="0.25">
      <c r="J343" t="str">
        <f t="array" ref="J343">IFERROR(INDEX(Tracker!$Q$3:$Q$503,MATCH(0,COUNTIF($J$332:J342,Tracker!$Q$3:$Q$503),0)),"")</f>
        <v>Specialized Election</v>
      </c>
      <c r="K343" s="122">
        <f>SUMIF(Tracker!$Q$3:$Q$503,Analysis!$J343,Tracker!$Z$3:$Z$503)</f>
        <v>503.03999999999996</v>
      </c>
      <c r="L343" s="79">
        <f>SUMIF(Tracker!$Q$3:$Q$503,Analysis!$J343,Tracker!$AA$3:$AA$503)</f>
        <v>40243.199999999997</v>
      </c>
    </row>
    <row r="344" spans="6:16" x14ac:dyDescent="0.25">
      <c r="K344" s="122"/>
      <c r="L344" s="79"/>
    </row>
    <row r="345" spans="6:16" x14ac:dyDescent="0.25">
      <c r="K345" s="122"/>
      <c r="L345" s="79"/>
    </row>
    <row r="346" spans="6:16" x14ac:dyDescent="0.25">
      <c r="K346" s="122"/>
      <c r="L346" s="79"/>
    </row>
  </sheetData>
  <mergeCells count="36">
    <mergeCell ref="AB41:AD41"/>
    <mergeCell ref="B150:C150"/>
    <mergeCell ref="F124:H124"/>
    <mergeCell ref="C287:J287"/>
    <mergeCell ref="B287:B288"/>
    <mergeCell ref="B246:G246"/>
    <mergeCell ref="J330:L330"/>
    <mergeCell ref="AD61:AG61"/>
    <mergeCell ref="J246:L246"/>
    <mergeCell ref="F314:J314"/>
    <mergeCell ref="A320:C320"/>
    <mergeCell ref="A329:C329"/>
    <mergeCell ref="N330:P330"/>
    <mergeCell ref="F330:H330"/>
    <mergeCell ref="E314:E315"/>
    <mergeCell ref="B273:K273"/>
    <mergeCell ref="B194:F194"/>
    <mergeCell ref="H194:L194"/>
    <mergeCell ref="H220:L220"/>
    <mergeCell ref="B220:D220"/>
    <mergeCell ref="X14:Z14"/>
    <mergeCell ref="B41:G41"/>
    <mergeCell ref="K133:N133"/>
    <mergeCell ref="H14:J14"/>
    <mergeCell ref="M14:O14"/>
    <mergeCell ref="B33:C33"/>
    <mergeCell ref="C34:D34"/>
    <mergeCell ref="B106:E106"/>
    <mergeCell ref="B115:H115"/>
    <mergeCell ref="J41:O41"/>
    <mergeCell ref="R41:V41"/>
    <mergeCell ref="B14:F14"/>
    <mergeCell ref="F133:I133"/>
    <mergeCell ref="B124:D124"/>
    <mergeCell ref="R14:T14"/>
    <mergeCell ref="J124:M124"/>
  </mergeCells>
  <phoneticPr fontId="4" type="noConversion"/>
  <conditionalFormatting sqref="C44:D65">
    <cfRule type="dataBar" priority="35">
      <dataBar>
        <cfvo type="min"/>
        <cfvo type="max"/>
        <color rgb="FF436D62"/>
      </dataBar>
      <extLst>
        <ext xmlns:x14="http://schemas.microsoft.com/office/spreadsheetml/2009/9/main" uri="{B025F937-C7B1-47D3-B67F-A62EFF666E3E}">
          <x14:id>{6FCA5B4E-DE1A-4947-9268-F96FCC67A0E9}</x14:id>
        </ext>
      </extLst>
    </cfRule>
  </conditionalFormatting>
  <conditionalFormatting sqref="L44:L92">
    <cfRule type="dataBar" priority="27">
      <dataBar>
        <cfvo type="min"/>
        <cfvo type="max"/>
        <color rgb="FF436D62"/>
      </dataBar>
      <extLst>
        <ext xmlns:x14="http://schemas.microsoft.com/office/spreadsheetml/2009/9/main" uri="{B025F937-C7B1-47D3-B67F-A62EFF666E3E}">
          <x14:id>{A41E6B16-2794-4249-B24F-51D07081274E}</x14:id>
        </ext>
      </extLst>
    </cfRule>
  </conditionalFormatting>
  <conditionalFormatting sqref="S44:S65">
    <cfRule type="dataBar" priority="26">
      <dataBar>
        <cfvo type="min"/>
        <cfvo type="max"/>
        <color rgb="FF436D62"/>
      </dataBar>
      <extLst>
        <ext xmlns:x14="http://schemas.microsoft.com/office/spreadsheetml/2009/9/main" uri="{B025F937-C7B1-47D3-B67F-A62EFF666E3E}">
          <x14:id>{98532EF0-59E1-4EE8-B679-123809084BA2}</x14:id>
        </ext>
      </extLst>
    </cfRule>
  </conditionalFormatting>
  <conditionalFormatting sqref="AC56">
    <cfRule type="dataBar" priority="25">
      <dataBar>
        <cfvo type="min"/>
        <cfvo type="max"/>
        <color rgb="FF436D62"/>
      </dataBar>
      <extLst>
        <ext xmlns:x14="http://schemas.microsoft.com/office/spreadsheetml/2009/9/main" uri="{B025F937-C7B1-47D3-B67F-A62EFF666E3E}">
          <x14:id>{EC563BBE-3B46-46B8-8CDB-5CEF2302BE40}</x14:id>
        </ext>
      </extLst>
    </cfRule>
  </conditionalFormatting>
  <conditionalFormatting sqref="AC59">
    <cfRule type="dataBar" priority="24">
      <dataBar>
        <cfvo type="min"/>
        <cfvo type="max"/>
        <color rgb="FF436D62"/>
      </dataBar>
      <extLst>
        <ext xmlns:x14="http://schemas.microsoft.com/office/spreadsheetml/2009/9/main" uri="{B025F937-C7B1-47D3-B67F-A62EFF666E3E}">
          <x14:id>{6C052E24-2ED5-48AC-948C-9913649C2986}</x14:id>
        </ext>
      </extLst>
    </cfRule>
  </conditionalFormatting>
  <conditionalFormatting sqref="C17:C30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{4085149E-AC43-4F38-A412-6DBFA1CB71D5}</x14:id>
        </ext>
      </extLst>
    </cfRule>
  </conditionalFormatting>
  <conditionalFormatting sqref="D17:D30">
    <cfRule type="dataBar" priority="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{55C42BC9-B146-4113-A94D-955DBDF951AC}</x14:id>
        </ext>
      </extLst>
    </cfRule>
  </conditionalFormatting>
  <conditionalFormatting sqref="E17:E30">
    <cfRule type="dataBar" priority="2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{DCEB2115-9D7B-496F-8EAF-0F786CC09888}</x14:id>
        </ext>
      </extLst>
    </cfRule>
  </conditionalFormatting>
  <conditionalFormatting sqref="AG17:AG30">
    <cfRule type="dataBar" priority="18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{21802AB0-7940-40D1-A299-B4DC77F4D5D6}</x14:id>
        </ext>
      </extLst>
    </cfRule>
  </conditionalFormatting>
  <conditionalFormatting sqref="I161:I18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{951F511D-D407-416E-B189-14E937A8BAD1}</x14:id>
        </ext>
      </extLst>
    </cfRule>
  </conditionalFormatting>
  <conditionalFormatting sqref="K161:K182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{68A68885-F081-4A2F-8F15-89C486DF96B8}</x14:id>
        </ext>
      </extLst>
    </cfRule>
  </conditionalFormatting>
  <conditionalFormatting sqref="I34:I38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{652ABDB6-6FE5-4A3B-A3ED-34BDCC3D3AD3}</x14:id>
        </ext>
      </extLst>
    </cfRule>
  </conditionalFormatting>
  <conditionalFormatting sqref="M34:M38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{69CE6ED8-29B7-4926-AEC9-C6053ABB1673}</x14:id>
        </ext>
      </extLst>
    </cfRule>
  </conditionalFormatting>
  <conditionalFormatting sqref="AG64:AG78">
    <cfRule type="dataBar" priority="6">
      <dataBar>
        <cfvo type="min"/>
        <cfvo type="max"/>
        <color theme="9" tint="-0.499984740745262"/>
      </dataBar>
      <extLst>
        <ext xmlns:x14="http://schemas.microsoft.com/office/spreadsheetml/2009/9/main" uri="{B025F937-C7B1-47D3-B67F-A62EFF666E3E}">
          <x14:id>{6EC1EF54-D0ED-4CD0-ADD1-2E5FCAA9063A}</x14:id>
        </ext>
      </extLst>
    </cfRule>
  </conditionalFormatting>
  <conditionalFormatting sqref="K333:K34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{003053DC-5251-4214-83AD-9FFDF1DCDDEE}</x14:id>
        </ext>
      </extLst>
    </cfRule>
  </conditionalFormatting>
  <conditionalFormatting sqref="M136:M15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{4E00D54D-C763-4C56-BA5A-B2D9F8B242D9}</x14:id>
        </ext>
      </extLst>
    </cfRule>
  </conditionalFormatting>
  <conditionalFormatting sqref="N136:N15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{B18BC095-663B-4907-AA2E-6EF1B59D6F86}</x14:id>
        </ext>
      </extLst>
    </cfRule>
  </conditionalFormatting>
  <dataValidations disablePrompts="1" count="1">
    <dataValidation type="list" allowBlank="1" showInputMessage="1" showErrorMessage="1" sqref="B34" xr:uid="{1C3FC1E0-BC02-4EE5-9BA8-95B3E3B4A2D3}">
      <formula1>$B$17:$B$30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6" r:id="rId4" name="Drop Down 4">
              <controlPr defaultSize="0" autoLine="0" autoPict="0">
                <anchor moveWithCells="1">
                  <from>
                    <xdr:col>12</xdr:col>
                    <xdr:colOff>590550</xdr:colOff>
                    <xdr:row>284</xdr:row>
                    <xdr:rowOff>171450</xdr:rowOff>
                  </from>
                  <to>
                    <xdr:col>12</xdr:col>
                    <xdr:colOff>1504950</xdr:colOff>
                    <xdr:row>286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FCA5B4E-DE1A-4947-9268-F96FCC67A0E9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C44:D65</xm:sqref>
        </x14:conditionalFormatting>
        <x14:conditionalFormatting xmlns:xm="http://schemas.microsoft.com/office/excel/2006/main">
          <x14:cfRule type="dataBar" id="{A41E6B16-2794-4249-B24F-51D07081274E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L44:L92</xm:sqref>
        </x14:conditionalFormatting>
        <x14:conditionalFormatting xmlns:xm="http://schemas.microsoft.com/office/excel/2006/main">
          <x14:cfRule type="dataBar" id="{98532EF0-59E1-4EE8-B679-123809084BA2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S44:S65</xm:sqref>
        </x14:conditionalFormatting>
        <x14:conditionalFormatting xmlns:xm="http://schemas.microsoft.com/office/excel/2006/main">
          <x14:cfRule type="dataBar" id="{EC563BBE-3B46-46B8-8CDB-5CEF2302BE4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AC56</xm:sqref>
        </x14:conditionalFormatting>
        <x14:conditionalFormatting xmlns:xm="http://schemas.microsoft.com/office/excel/2006/main">
          <x14:cfRule type="dataBar" id="{6C052E24-2ED5-48AC-948C-9913649C2986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AC59</xm:sqref>
        </x14:conditionalFormatting>
        <x14:conditionalFormatting xmlns:xm="http://schemas.microsoft.com/office/excel/2006/main">
          <x14:cfRule type="dataBar" id="{4085149E-AC43-4F38-A412-6DBFA1CB71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C17:C30</xm:sqref>
        </x14:conditionalFormatting>
        <x14:conditionalFormatting xmlns:xm="http://schemas.microsoft.com/office/excel/2006/main">
          <x14:cfRule type="dataBar" id="{55C42BC9-B146-4113-A94D-955DBDF951A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D17:D30</xm:sqref>
        </x14:conditionalFormatting>
        <x14:conditionalFormatting xmlns:xm="http://schemas.microsoft.com/office/excel/2006/main">
          <x14:cfRule type="dataBar" id="{DCEB2115-9D7B-496F-8EAF-0F786CC0988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E17:E30</xm:sqref>
        </x14:conditionalFormatting>
        <x14:conditionalFormatting xmlns:xm="http://schemas.microsoft.com/office/excel/2006/main">
          <x14:cfRule type="dataBar" id="{21802AB0-7940-40D1-A299-B4DC77F4D5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AG17:AG30</xm:sqref>
        </x14:conditionalFormatting>
        <x14:conditionalFormatting xmlns:xm="http://schemas.microsoft.com/office/excel/2006/main">
          <x14:cfRule type="dataBar" id="{951F511D-D407-416E-B189-14E937A8BAD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I161:I182</xm:sqref>
        </x14:conditionalFormatting>
        <x14:conditionalFormatting xmlns:xm="http://schemas.microsoft.com/office/excel/2006/main">
          <x14:cfRule type="dataBar" id="{68A68885-F081-4A2F-8F15-89C486DF96B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K161:K182</xm:sqref>
        </x14:conditionalFormatting>
        <x14:conditionalFormatting xmlns:xm="http://schemas.microsoft.com/office/excel/2006/main">
          <x14:cfRule type="dataBar" id="{652ABDB6-6FE5-4A3B-A3ED-34BDCC3D3AD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I34:I38</xm:sqref>
        </x14:conditionalFormatting>
        <x14:conditionalFormatting xmlns:xm="http://schemas.microsoft.com/office/excel/2006/main">
          <x14:cfRule type="dataBar" id="{69CE6ED8-29B7-4926-AEC9-C6053ABB16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M34:M38</xm:sqref>
        </x14:conditionalFormatting>
        <x14:conditionalFormatting xmlns:xm="http://schemas.microsoft.com/office/excel/2006/main">
          <x14:cfRule type="dataBar" id="{6EC1EF54-D0ED-4CD0-ADD1-2E5FCAA9063A}">
            <x14:dataBar minLength="0" maxLength="100" border="1" negativeBarBorderColorSameAsPositive="0">
              <x14:cfvo type="autoMin"/>
              <x14:cfvo type="autoMax"/>
              <x14:borderColor theme="9" tint="-0.499984740745262"/>
              <x14:negativeFillColor rgb="FFFF0000"/>
              <x14:negativeBorderColor rgb="FFFF0000"/>
              <x14:axisColor rgb="FF000000"/>
            </x14:dataBar>
          </x14:cfRule>
          <xm:sqref>AG64:AG78</xm:sqref>
        </x14:conditionalFormatting>
        <x14:conditionalFormatting xmlns:xm="http://schemas.microsoft.com/office/excel/2006/main">
          <x14:cfRule type="dataBar" id="{003053DC-5251-4214-83AD-9FFDF1DCDDE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K333:K346</xm:sqref>
        </x14:conditionalFormatting>
        <x14:conditionalFormatting xmlns:xm="http://schemas.microsoft.com/office/excel/2006/main">
          <x14:cfRule type="dataBar" id="{4E00D54D-C763-4C56-BA5A-B2D9F8B242D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M136:M157</xm:sqref>
        </x14:conditionalFormatting>
        <x14:conditionalFormatting xmlns:xm="http://schemas.microsoft.com/office/excel/2006/main">
          <x14:cfRule type="dataBar" id="{B18BC095-663B-4907-AA2E-6EF1B59D6F8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N136:N157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1147-25D2-4760-9D6A-3E5693D5F506}">
  <dimension ref="A1:AE503"/>
  <sheetViews>
    <sheetView zoomScale="85" zoomScaleNormal="85" workbookViewId="0">
      <selection activeCell="E11" sqref="E11"/>
    </sheetView>
  </sheetViews>
  <sheetFormatPr defaultRowHeight="15" x14ac:dyDescent="0.25"/>
  <cols>
    <col min="1" max="1" width="9.140625" style="151"/>
    <col min="2" max="2" width="9.140625" style="151" customWidth="1"/>
    <col min="3" max="3" width="25.7109375" style="151" bestFit="1" customWidth="1"/>
    <col min="4" max="4" width="18.5703125" style="151" bestFit="1" customWidth="1"/>
    <col min="5" max="5" width="13.140625" style="151" bestFit="1" customWidth="1"/>
    <col min="6" max="6" width="7.5703125" style="151" customWidth="1"/>
    <col min="7" max="7" width="27" style="151" bestFit="1" customWidth="1"/>
    <col min="8" max="8" width="12" style="151" bestFit="1" customWidth="1"/>
    <col min="9" max="10" width="12" style="151" customWidth="1"/>
    <col min="11" max="11" width="12.42578125" style="151" bestFit="1" customWidth="1"/>
    <col min="12" max="12" width="18.42578125" style="151" bestFit="1" customWidth="1"/>
    <col min="13" max="13" width="13.7109375" style="151" bestFit="1" customWidth="1"/>
    <col min="14" max="15" width="13.7109375" style="151" customWidth="1"/>
    <col min="16" max="16" width="10.42578125" style="151" customWidth="1"/>
    <col min="17" max="17" width="9.85546875" style="151" bestFit="1" customWidth="1"/>
    <col min="18" max="18" width="16.28515625" style="151" bestFit="1" customWidth="1"/>
    <col min="19" max="19" width="12" style="151" bestFit="1" customWidth="1"/>
    <col min="20" max="23" width="12" style="151" customWidth="1"/>
    <col min="24" max="24" width="17.85546875" style="151" bestFit="1" customWidth="1"/>
    <col min="25" max="25" width="17.85546875" style="151" hidden="1" customWidth="1"/>
    <col min="26" max="28" width="9" style="151" customWidth="1"/>
    <col min="29" max="29" width="10.7109375" style="151" bestFit="1" customWidth="1"/>
    <col min="30" max="30" width="10.85546875" style="151" bestFit="1" customWidth="1"/>
    <col min="31" max="31" width="10.85546875" style="151" customWidth="1"/>
    <col min="32" max="16384" width="9.140625" style="151"/>
  </cols>
  <sheetData>
    <row r="1" spans="2:31" ht="15.75" thickBot="1" x14ac:dyDescent="0.3"/>
    <row r="2" spans="2:31" ht="60.75" thickBot="1" x14ac:dyDescent="0.3">
      <c r="B2" s="6" t="s">
        <v>1</v>
      </c>
      <c r="C2" s="7" t="s">
        <v>2</v>
      </c>
      <c r="D2" s="7" t="s">
        <v>3</v>
      </c>
      <c r="E2" s="7" t="s">
        <v>31</v>
      </c>
      <c r="F2" s="7" t="s">
        <v>13</v>
      </c>
      <c r="G2" s="7" t="s">
        <v>30</v>
      </c>
      <c r="H2" s="7" t="s">
        <v>28</v>
      </c>
      <c r="I2" s="7" t="s">
        <v>322</v>
      </c>
      <c r="J2" s="7" t="s">
        <v>323</v>
      </c>
      <c r="K2" s="7" t="s">
        <v>346</v>
      </c>
      <c r="L2" s="7" t="s">
        <v>22</v>
      </c>
      <c r="M2" s="7" t="s">
        <v>23</v>
      </c>
      <c r="N2" s="7" t="s">
        <v>322</v>
      </c>
      <c r="O2" s="7" t="s">
        <v>323</v>
      </c>
      <c r="P2" s="7" t="s">
        <v>24</v>
      </c>
      <c r="Q2" s="7" t="s">
        <v>14</v>
      </c>
      <c r="R2" s="7" t="s">
        <v>15</v>
      </c>
      <c r="S2" s="7" t="s">
        <v>166</v>
      </c>
      <c r="T2" s="7" t="s">
        <v>273</v>
      </c>
      <c r="U2" s="7" t="s">
        <v>322</v>
      </c>
      <c r="V2" s="7" t="s">
        <v>323</v>
      </c>
      <c r="W2" s="7" t="s">
        <v>292</v>
      </c>
      <c r="X2" s="7" t="s">
        <v>32</v>
      </c>
      <c r="Y2" s="7" t="s">
        <v>384</v>
      </c>
      <c r="Z2" s="7" t="s">
        <v>21</v>
      </c>
      <c r="AA2" s="33" t="s">
        <v>341</v>
      </c>
      <c r="AB2" s="33" t="s">
        <v>342</v>
      </c>
      <c r="AC2" s="33" t="s">
        <v>345</v>
      </c>
      <c r="AD2" s="33" t="s">
        <v>347</v>
      </c>
      <c r="AE2" s="8" t="s">
        <v>424</v>
      </c>
    </row>
    <row r="3" spans="2:31" x14ac:dyDescent="0.25">
      <c r="B3" s="140">
        <v>1</v>
      </c>
      <c r="C3" s="141" t="s">
        <v>7</v>
      </c>
      <c r="D3" s="142" t="s">
        <v>8</v>
      </c>
      <c r="E3" s="141" t="s">
        <v>111</v>
      </c>
      <c r="F3" s="141">
        <v>101</v>
      </c>
      <c r="G3" s="142" t="s">
        <v>119</v>
      </c>
      <c r="H3" s="204">
        <v>43467</v>
      </c>
      <c r="I3" s="144" t="str">
        <f>TEXT($H3,"YYYY")</f>
        <v>2019</v>
      </c>
      <c r="J3" s="144" t="str">
        <f>TEXT($H3,"MMM")</f>
        <v>Jan</v>
      </c>
      <c r="K3" s="204">
        <v>43480</v>
      </c>
      <c r="L3" s="146" t="s">
        <v>156</v>
      </c>
      <c r="M3" s="204">
        <v>43512</v>
      </c>
      <c r="N3" s="144" t="str">
        <f>TEXT($M3,"YYYY")</f>
        <v>2019</v>
      </c>
      <c r="O3" s="144" t="str">
        <f>TEXT($M3,"MMM")</f>
        <v>Feb</v>
      </c>
      <c r="P3" s="146" t="s">
        <v>162</v>
      </c>
      <c r="Q3" s="146" t="s">
        <v>17</v>
      </c>
      <c r="R3" s="142" t="s">
        <v>18</v>
      </c>
      <c r="S3" s="141" t="s">
        <v>20</v>
      </c>
      <c r="T3" s="204">
        <v>43976</v>
      </c>
      <c r="U3" s="144" t="str">
        <f>IF($T3="","",TEXT($T3,"YYYY"))</f>
        <v>2020</v>
      </c>
      <c r="V3" s="144" t="str">
        <f>IF($T3="","",TEXT($T3,"MMM"))</f>
        <v>May</v>
      </c>
      <c r="W3" s="141">
        <f t="shared" ref="W3:W66" ca="1" si="0">IF($T3="",NETWORKDAYS($H3,TODAY()),NETWORKDAYS($H3,$T3))</f>
        <v>364</v>
      </c>
      <c r="X3" s="141" t="s">
        <v>89</v>
      </c>
      <c r="Y3" s="141">
        <f ca="1">W3*24</f>
        <v>8736</v>
      </c>
      <c r="Z3" s="147">
        <v>87.36</v>
      </c>
      <c r="AA3" s="148">
        <v>13104</v>
      </c>
      <c r="AB3" s="148">
        <f>AA3/Z3</f>
        <v>150</v>
      </c>
      <c r="AC3" s="204">
        <v>43483</v>
      </c>
      <c r="AD3" s="149" t="str">
        <f>IF(AC3="","",TEXT(AC3,"yyyy"))</f>
        <v>2019</v>
      </c>
      <c r="AE3" s="150" t="str">
        <f>IF(AC3="","",TEXT(AC3,"mmm"))</f>
        <v>Jan</v>
      </c>
    </row>
    <row r="4" spans="2:31" x14ac:dyDescent="0.25">
      <c r="B4" s="152">
        <v>2</v>
      </c>
      <c r="C4" s="153" t="s">
        <v>10</v>
      </c>
      <c r="D4" s="154" t="s">
        <v>11</v>
      </c>
      <c r="E4" s="153" t="s">
        <v>112</v>
      </c>
      <c r="F4" s="141">
        <v>102</v>
      </c>
      <c r="G4" s="155" t="s">
        <v>131</v>
      </c>
      <c r="H4" s="204">
        <v>43469</v>
      </c>
      <c r="I4" s="143" t="str">
        <f t="shared" ref="I4:I67" si="1">TEXT($H4,"YYYY")</f>
        <v>2019</v>
      </c>
      <c r="J4" s="143" t="str">
        <f t="shared" ref="J4:J67" si="2">TEXT($H4,"MMM")</f>
        <v>Jan</v>
      </c>
      <c r="K4" s="204">
        <v>43471</v>
      </c>
      <c r="L4" s="151" t="s">
        <v>159</v>
      </c>
      <c r="M4" s="204">
        <v>43507</v>
      </c>
      <c r="N4" s="156" t="str">
        <f t="shared" ref="N4:N67" si="3">TEXT($M4,"YYYY")</f>
        <v>2019</v>
      </c>
      <c r="O4" s="156" t="str">
        <f t="shared" ref="O4:O67" si="4">TEXT($M4,"MMM")</f>
        <v>Feb</v>
      </c>
      <c r="P4" s="157" t="s">
        <v>167</v>
      </c>
      <c r="Q4" s="146" t="s">
        <v>266</v>
      </c>
      <c r="R4" s="153" t="s">
        <v>19</v>
      </c>
      <c r="S4" s="141" t="s">
        <v>167</v>
      </c>
      <c r="T4" s="204" t="s">
        <v>274</v>
      </c>
      <c r="U4" s="145" t="str">
        <f t="shared" ref="U4:U67" si="5">IF($T4="","",TEXT($T4,"YYYY"))</f>
        <v/>
      </c>
      <c r="V4" s="145" t="str">
        <f t="shared" ref="V4:V67" si="6">IF($T4="","",TEXT($T4,"MMM"))</f>
        <v/>
      </c>
      <c r="W4" s="141">
        <f t="shared" ca="1" si="0"/>
        <v>1449</v>
      </c>
      <c r="X4" s="153" t="s">
        <v>90</v>
      </c>
      <c r="Y4" s="153">
        <f t="shared" ref="Y4:Y67" ca="1" si="7">W4*24</f>
        <v>34776</v>
      </c>
      <c r="Z4" s="158">
        <v>347.28000000000003</v>
      </c>
      <c r="AA4" s="148">
        <v>17364</v>
      </c>
      <c r="AB4" s="148">
        <f t="shared" ref="AB4:AB67" si="8">AA4/Z4</f>
        <v>49.999999999999993</v>
      </c>
      <c r="AC4" s="204"/>
      <c r="AD4" s="146" t="str">
        <f t="shared" ref="AD4:AD67" si="9">IF(AC4="","",TEXT(AC4,"yyyy"))</f>
        <v/>
      </c>
      <c r="AE4" s="150" t="str">
        <f t="shared" ref="AE4:AE67" si="10">IF(AC4="","",TEXT(AC4,"mmm"))</f>
        <v/>
      </c>
    </row>
    <row r="5" spans="2:31" x14ac:dyDescent="0.25">
      <c r="B5" s="152">
        <v>3</v>
      </c>
      <c r="C5" s="157" t="s">
        <v>69</v>
      </c>
      <c r="D5" s="154" t="s">
        <v>62</v>
      </c>
      <c r="E5" s="157" t="s">
        <v>113</v>
      </c>
      <c r="F5" s="141">
        <v>103</v>
      </c>
      <c r="G5" s="155" t="s">
        <v>132</v>
      </c>
      <c r="H5" s="204">
        <v>43471</v>
      </c>
      <c r="I5" s="143" t="str">
        <f t="shared" si="1"/>
        <v>2019</v>
      </c>
      <c r="J5" s="143" t="str">
        <f t="shared" si="2"/>
        <v>Jan</v>
      </c>
      <c r="K5" s="204">
        <v>43478</v>
      </c>
      <c r="L5" s="157" t="s">
        <v>156</v>
      </c>
      <c r="M5" s="204">
        <v>43495</v>
      </c>
      <c r="N5" s="143" t="str">
        <f t="shared" si="3"/>
        <v>2019</v>
      </c>
      <c r="O5" s="143" t="str">
        <f t="shared" si="4"/>
        <v>Jan</v>
      </c>
      <c r="P5" s="157" t="s">
        <v>162</v>
      </c>
      <c r="Q5" s="146" t="s">
        <v>17</v>
      </c>
      <c r="R5" s="157" t="s">
        <v>41</v>
      </c>
      <c r="S5" s="141" t="s">
        <v>20</v>
      </c>
      <c r="T5" s="204">
        <v>43541</v>
      </c>
      <c r="U5" s="145" t="str">
        <f t="shared" si="5"/>
        <v>2019</v>
      </c>
      <c r="V5" s="145" t="str">
        <f t="shared" si="6"/>
        <v>Mar</v>
      </c>
      <c r="W5" s="141">
        <f t="shared" ca="1" si="0"/>
        <v>50</v>
      </c>
      <c r="X5" s="157" t="s">
        <v>91</v>
      </c>
      <c r="Y5" s="157">
        <f t="shared" ca="1" si="7"/>
        <v>1200</v>
      </c>
      <c r="Z5" s="158">
        <v>12</v>
      </c>
      <c r="AA5" s="148">
        <v>1800</v>
      </c>
      <c r="AB5" s="148">
        <f t="shared" si="8"/>
        <v>150</v>
      </c>
      <c r="AC5" s="204">
        <v>43481</v>
      </c>
      <c r="AD5" s="146" t="str">
        <f t="shared" si="9"/>
        <v>2019</v>
      </c>
      <c r="AE5" s="150" t="str">
        <f t="shared" si="10"/>
        <v>Jan</v>
      </c>
    </row>
    <row r="6" spans="2:31" x14ac:dyDescent="0.25">
      <c r="B6" s="152">
        <v>4</v>
      </c>
      <c r="C6" s="157" t="s">
        <v>70</v>
      </c>
      <c r="D6" s="154" t="s">
        <v>63</v>
      </c>
      <c r="E6" s="157" t="s">
        <v>114</v>
      </c>
      <c r="F6" s="141">
        <v>104</v>
      </c>
      <c r="G6" s="154" t="s">
        <v>119</v>
      </c>
      <c r="H6" s="204">
        <v>43475</v>
      </c>
      <c r="I6" s="143" t="str">
        <f t="shared" si="1"/>
        <v>2019</v>
      </c>
      <c r="J6" s="143" t="str">
        <f t="shared" si="2"/>
        <v>Jan</v>
      </c>
      <c r="K6" s="204">
        <v>43484</v>
      </c>
      <c r="L6" s="157" t="s">
        <v>158</v>
      </c>
      <c r="M6" s="204">
        <v>43517</v>
      </c>
      <c r="N6" s="143" t="str">
        <f t="shared" si="3"/>
        <v>2019</v>
      </c>
      <c r="O6" s="143" t="str">
        <f t="shared" si="4"/>
        <v>Feb</v>
      </c>
      <c r="P6" s="157" t="s">
        <v>164</v>
      </c>
      <c r="Q6" s="146" t="s">
        <v>17</v>
      </c>
      <c r="R6" s="157" t="s">
        <v>42</v>
      </c>
      <c r="S6" s="141" t="s">
        <v>20</v>
      </c>
      <c r="T6" s="204">
        <v>43887</v>
      </c>
      <c r="U6" s="145" t="str">
        <f t="shared" si="5"/>
        <v>2020</v>
      </c>
      <c r="V6" s="145" t="str">
        <f t="shared" si="6"/>
        <v>Feb</v>
      </c>
      <c r="W6" s="141">
        <f t="shared" ca="1" si="0"/>
        <v>295</v>
      </c>
      <c r="X6" s="157" t="s">
        <v>92</v>
      </c>
      <c r="Y6" s="157">
        <f t="shared" ca="1" si="7"/>
        <v>7080</v>
      </c>
      <c r="Z6" s="158">
        <v>70.8</v>
      </c>
      <c r="AA6" s="148">
        <v>10620</v>
      </c>
      <c r="AB6" s="148">
        <f t="shared" si="8"/>
        <v>150</v>
      </c>
      <c r="AC6" s="204">
        <v>43487</v>
      </c>
      <c r="AD6" s="146" t="str">
        <f t="shared" si="9"/>
        <v>2019</v>
      </c>
      <c r="AE6" s="150" t="str">
        <f t="shared" si="10"/>
        <v>Jan</v>
      </c>
    </row>
    <row r="7" spans="2:31" x14ac:dyDescent="0.25">
      <c r="B7" s="152">
        <v>5</v>
      </c>
      <c r="C7" s="157" t="s">
        <v>71</v>
      </c>
      <c r="D7" s="154" t="s">
        <v>64</v>
      </c>
      <c r="E7" s="157" t="s">
        <v>115</v>
      </c>
      <c r="F7" s="141">
        <v>105</v>
      </c>
      <c r="G7" s="155" t="s">
        <v>120</v>
      </c>
      <c r="H7" s="204">
        <v>43482</v>
      </c>
      <c r="I7" s="143" t="str">
        <f t="shared" si="1"/>
        <v>2019</v>
      </c>
      <c r="J7" s="143" t="str">
        <f t="shared" si="2"/>
        <v>Jan</v>
      </c>
      <c r="K7" s="204">
        <v>43482</v>
      </c>
      <c r="L7" s="157" t="s">
        <v>159</v>
      </c>
      <c r="M7" s="204">
        <v>43520</v>
      </c>
      <c r="N7" s="143" t="str">
        <f t="shared" si="3"/>
        <v>2019</v>
      </c>
      <c r="O7" s="143" t="str">
        <f t="shared" si="4"/>
        <v>Feb</v>
      </c>
      <c r="P7" s="157" t="s">
        <v>162</v>
      </c>
      <c r="Q7" s="146" t="s">
        <v>17</v>
      </c>
      <c r="R7" s="157" t="s">
        <v>43</v>
      </c>
      <c r="S7" s="141" t="s">
        <v>20</v>
      </c>
      <c r="T7" s="204">
        <v>43949</v>
      </c>
      <c r="U7" s="145" t="str">
        <f t="shared" si="5"/>
        <v>2020</v>
      </c>
      <c r="V7" s="145" t="str">
        <f t="shared" si="6"/>
        <v>Apr</v>
      </c>
      <c r="W7" s="141">
        <f t="shared" ca="1" si="0"/>
        <v>334</v>
      </c>
      <c r="X7" s="157" t="s">
        <v>93</v>
      </c>
      <c r="Y7" s="157">
        <f t="shared" ca="1" si="7"/>
        <v>8016</v>
      </c>
      <c r="Z7" s="158">
        <v>240.48</v>
      </c>
      <c r="AA7" s="148">
        <v>36072</v>
      </c>
      <c r="AB7" s="148">
        <f t="shared" si="8"/>
        <v>150</v>
      </c>
      <c r="AC7" s="204">
        <v>43485</v>
      </c>
      <c r="AD7" s="146" t="str">
        <f t="shared" si="9"/>
        <v>2019</v>
      </c>
      <c r="AE7" s="150" t="str">
        <f t="shared" si="10"/>
        <v>Jan</v>
      </c>
    </row>
    <row r="8" spans="2:31" x14ac:dyDescent="0.25">
      <c r="B8" s="152">
        <v>6</v>
      </c>
      <c r="C8" s="157" t="s">
        <v>72</v>
      </c>
      <c r="D8" s="154" t="s">
        <v>65</v>
      </c>
      <c r="E8" s="157" t="s">
        <v>116</v>
      </c>
      <c r="F8" s="141">
        <v>106</v>
      </c>
      <c r="G8" s="155" t="s">
        <v>121</v>
      </c>
      <c r="H8" s="204">
        <v>43485</v>
      </c>
      <c r="I8" s="143" t="str">
        <f t="shared" si="1"/>
        <v>2019</v>
      </c>
      <c r="J8" s="143" t="str">
        <f t="shared" si="2"/>
        <v>Jan</v>
      </c>
      <c r="K8" s="204">
        <v>43495</v>
      </c>
      <c r="L8" s="157" t="s">
        <v>160</v>
      </c>
      <c r="M8" s="204">
        <v>43532</v>
      </c>
      <c r="N8" s="143" t="str">
        <f t="shared" si="3"/>
        <v>2019</v>
      </c>
      <c r="O8" s="143" t="str">
        <f t="shared" si="4"/>
        <v>Mar</v>
      </c>
      <c r="P8" s="157" t="s">
        <v>162</v>
      </c>
      <c r="Q8" s="146" t="s">
        <v>264</v>
      </c>
      <c r="R8" s="157" t="s">
        <v>44</v>
      </c>
      <c r="S8" s="141" t="s">
        <v>20</v>
      </c>
      <c r="T8" s="204">
        <v>43989</v>
      </c>
      <c r="U8" s="145" t="str">
        <f t="shared" si="5"/>
        <v>2020</v>
      </c>
      <c r="V8" s="145" t="str">
        <f t="shared" si="6"/>
        <v>Jun</v>
      </c>
      <c r="W8" s="141">
        <f t="shared" ca="1" si="0"/>
        <v>360</v>
      </c>
      <c r="X8" s="157" t="s">
        <v>94</v>
      </c>
      <c r="Y8" s="157">
        <f t="shared" ca="1" si="7"/>
        <v>8640</v>
      </c>
      <c r="Z8" s="158">
        <v>86.4</v>
      </c>
      <c r="AA8" s="148">
        <v>2592</v>
      </c>
      <c r="AB8" s="148">
        <f t="shared" si="8"/>
        <v>29.999999999999996</v>
      </c>
      <c r="AC8" s="204">
        <v>43498</v>
      </c>
      <c r="AD8" s="146" t="str">
        <f t="shared" si="9"/>
        <v>2019</v>
      </c>
      <c r="AE8" s="150" t="str">
        <f t="shared" si="10"/>
        <v>Feb</v>
      </c>
    </row>
    <row r="9" spans="2:31" x14ac:dyDescent="0.25">
      <c r="B9" s="152">
        <v>7</v>
      </c>
      <c r="C9" s="157" t="s">
        <v>73</v>
      </c>
      <c r="D9" s="154" t="s">
        <v>66</v>
      </c>
      <c r="E9" s="157" t="s">
        <v>117</v>
      </c>
      <c r="F9" s="141">
        <v>107</v>
      </c>
      <c r="G9" s="155" t="s">
        <v>122</v>
      </c>
      <c r="H9" s="204">
        <v>43495</v>
      </c>
      <c r="I9" s="143" t="str">
        <f t="shared" si="1"/>
        <v>2019</v>
      </c>
      <c r="J9" s="143" t="str">
        <f t="shared" si="2"/>
        <v>Jan</v>
      </c>
      <c r="K9" s="204">
        <v>43500</v>
      </c>
      <c r="L9" s="157" t="s">
        <v>156</v>
      </c>
      <c r="M9" s="204">
        <v>43537</v>
      </c>
      <c r="N9" s="143" t="str">
        <f t="shared" si="3"/>
        <v>2019</v>
      </c>
      <c r="O9" s="143" t="str">
        <f t="shared" si="4"/>
        <v>Mar</v>
      </c>
      <c r="P9" s="157" t="s">
        <v>164</v>
      </c>
      <c r="Q9" s="146" t="s">
        <v>265</v>
      </c>
      <c r="R9" s="157" t="s">
        <v>45</v>
      </c>
      <c r="S9" s="141" t="s">
        <v>20</v>
      </c>
      <c r="T9" s="204">
        <v>43944</v>
      </c>
      <c r="U9" s="145" t="str">
        <f t="shared" si="5"/>
        <v>2020</v>
      </c>
      <c r="V9" s="145" t="str">
        <f t="shared" si="6"/>
        <v>Apr</v>
      </c>
      <c r="W9" s="141">
        <f t="shared" ca="1" si="0"/>
        <v>322</v>
      </c>
      <c r="X9" s="157" t="s">
        <v>95</v>
      </c>
      <c r="Y9" s="157">
        <f t="shared" ca="1" si="7"/>
        <v>7728</v>
      </c>
      <c r="Z9" s="158">
        <v>231.84</v>
      </c>
      <c r="AA9" s="148">
        <v>23184</v>
      </c>
      <c r="AB9" s="148">
        <f t="shared" si="8"/>
        <v>100</v>
      </c>
      <c r="AC9" s="204">
        <v>43503</v>
      </c>
      <c r="AD9" s="146" t="str">
        <f t="shared" si="9"/>
        <v>2019</v>
      </c>
      <c r="AE9" s="150" t="str">
        <f t="shared" si="10"/>
        <v>Feb</v>
      </c>
    </row>
    <row r="10" spans="2:31" x14ac:dyDescent="0.25">
      <c r="B10" s="152">
        <v>8</v>
      </c>
      <c r="C10" s="157" t="s">
        <v>74</v>
      </c>
      <c r="D10" s="154" t="s">
        <v>67</v>
      </c>
      <c r="E10" s="157" t="s">
        <v>118</v>
      </c>
      <c r="F10" s="141">
        <v>108</v>
      </c>
      <c r="G10" s="155" t="s">
        <v>123</v>
      </c>
      <c r="H10" s="204">
        <v>43496</v>
      </c>
      <c r="I10" s="143" t="str">
        <f t="shared" si="1"/>
        <v>2019</v>
      </c>
      <c r="J10" s="143" t="str">
        <f t="shared" si="2"/>
        <v>Jan</v>
      </c>
      <c r="K10" s="204">
        <v>43508</v>
      </c>
      <c r="L10" s="157" t="s">
        <v>158</v>
      </c>
      <c r="M10" s="204">
        <v>43525</v>
      </c>
      <c r="N10" s="143" t="str">
        <f t="shared" si="3"/>
        <v>2019</v>
      </c>
      <c r="O10" s="143" t="str">
        <f t="shared" si="4"/>
        <v>Mar</v>
      </c>
      <c r="P10" s="157" t="s">
        <v>162</v>
      </c>
      <c r="Q10" s="146" t="s">
        <v>266</v>
      </c>
      <c r="R10" s="157" t="s">
        <v>46</v>
      </c>
      <c r="S10" s="141" t="s">
        <v>20</v>
      </c>
      <c r="T10" s="204">
        <v>43844</v>
      </c>
      <c r="U10" s="145" t="str">
        <f t="shared" si="5"/>
        <v>2020</v>
      </c>
      <c r="V10" s="145" t="str">
        <f t="shared" si="6"/>
        <v>Jan</v>
      </c>
      <c r="W10" s="141">
        <f t="shared" ca="1" si="0"/>
        <v>249</v>
      </c>
      <c r="X10" s="157" t="s">
        <v>96</v>
      </c>
      <c r="Y10" s="157">
        <f t="shared" ca="1" si="7"/>
        <v>5976</v>
      </c>
      <c r="Z10" s="158">
        <v>119.52</v>
      </c>
      <c r="AA10" s="148">
        <v>5976</v>
      </c>
      <c r="AB10" s="148">
        <f t="shared" si="8"/>
        <v>50</v>
      </c>
      <c r="AC10" s="204">
        <v>43511</v>
      </c>
      <c r="AD10" s="146" t="str">
        <f t="shared" si="9"/>
        <v>2019</v>
      </c>
      <c r="AE10" s="150" t="str">
        <f t="shared" si="10"/>
        <v>Feb</v>
      </c>
    </row>
    <row r="11" spans="2:31" x14ac:dyDescent="0.25">
      <c r="B11" s="152">
        <v>9</v>
      </c>
      <c r="C11" s="157" t="s">
        <v>75</v>
      </c>
      <c r="D11" s="154" t="s">
        <v>68</v>
      </c>
      <c r="E11" s="157" t="s">
        <v>115</v>
      </c>
      <c r="F11" s="141">
        <v>109</v>
      </c>
      <c r="G11" s="154" t="s">
        <v>119</v>
      </c>
      <c r="H11" s="204">
        <v>43499</v>
      </c>
      <c r="I11" s="143" t="str">
        <f t="shared" si="1"/>
        <v>2019</v>
      </c>
      <c r="J11" s="143" t="str">
        <f t="shared" si="2"/>
        <v>Feb</v>
      </c>
      <c r="K11" s="204">
        <v>43514</v>
      </c>
      <c r="L11" s="157" t="s">
        <v>156</v>
      </c>
      <c r="M11" s="204">
        <v>43536</v>
      </c>
      <c r="N11" s="143" t="str">
        <f t="shared" si="3"/>
        <v>2019</v>
      </c>
      <c r="O11" s="143" t="str">
        <f t="shared" si="4"/>
        <v>Mar</v>
      </c>
      <c r="P11" s="157" t="s">
        <v>164</v>
      </c>
      <c r="Q11" s="146" t="s">
        <v>17</v>
      </c>
      <c r="R11" s="157" t="s">
        <v>47</v>
      </c>
      <c r="S11" s="141" t="s">
        <v>20</v>
      </c>
      <c r="T11" s="204">
        <v>43892</v>
      </c>
      <c r="U11" s="145" t="str">
        <f t="shared" si="5"/>
        <v>2020</v>
      </c>
      <c r="V11" s="145" t="str">
        <f t="shared" si="6"/>
        <v>Mar</v>
      </c>
      <c r="W11" s="141">
        <f t="shared" ca="1" si="0"/>
        <v>281</v>
      </c>
      <c r="X11" s="157" t="s">
        <v>97</v>
      </c>
      <c r="Y11" s="157">
        <f t="shared" ca="1" si="7"/>
        <v>6744</v>
      </c>
      <c r="Z11" s="158">
        <v>67.44</v>
      </c>
      <c r="AA11" s="148">
        <v>10116</v>
      </c>
      <c r="AB11" s="148">
        <f t="shared" si="8"/>
        <v>150</v>
      </c>
      <c r="AC11" s="204">
        <v>43517</v>
      </c>
      <c r="AD11" s="146" t="str">
        <f t="shared" si="9"/>
        <v>2019</v>
      </c>
      <c r="AE11" s="150" t="str">
        <f t="shared" si="10"/>
        <v>Feb</v>
      </c>
    </row>
    <row r="12" spans="2:31" x14ac:dyDescent="0.25">
      <c r="B12" s="152">
        <v>10</v>
      </c>
      <c r="C12" s="157" t="s">
        <v>76</v>
      </c>
      <c r="D12" s="154" t="s">
        <v>55</v>
      </c>
      <c r="E12" s="157" t="s">
        <v>116</v>
      </c>
      <c r="F12" s="141">
        <v>110</v>
      </c>
      <c r="G12" s="155" t="s">
        <v>124</v>
      </c>
      <c r="H12" s="204">
        <v>43504</v>
      </c>
      <c r="I12" s="143" t="str">
        <f t="shared" si="1"/>
        <v>2019</v>
      </c>
      <c r="J12" s="143" t="str">
        <f t="shared" si="2"/>
        <v>Feb</v>
      </c>
      <c r="K12" s="204">
        <v>43519</v>
      </c>
      <c r="L12" s="157" t="s">
        <v>161</v>
      </c>
      <c r="M12" s="204">
        <v>43541</v>
      </c>
      <c r="N12" s="143" t="str">
        <f t="shared" si="3"/>
        <v>2019</v>
      </c>
      <c r="O12" s="143" t="str">
        <f t="shared" si="4"/>
        <v>Mar</v>
      </c>
      <c r="P12" s="157" t="s">
        <v>164</v>
      </c>
      <c r="Q12" s="146" t="s">
        <v>17</v>
      </c>
      <c r="R12" s="157" t="s">
        <v>48</v>
      </c>
      <c r="S12" s="141" t="s">
        <v>20</v>
      </c>
      <c r="T12" s="204">
        <v>43618</v>
      </c>
      <c r="U12" s="145" t="str">
        <f t="shared" si="5"/>
        <v>2019</v>
      </c>
      <c r="V12" s="145" t="str">
        <f t="shared" si="6"/>
        <v>Jun</v>
      </c>
      <c r="W12" s="141">
        <f t="shared" ca="1" si="0"/>
        <v>81</v>
      </c>
      <c r="X12" s="157" t="s">
        <v>98</v>
      </c>
      <c r="Y12" s="157">
        <f t="shared" ca="1" si="7"/>
        <v>1944</v>
      </c>
      <c r="Z12" s="158">
        <v>58.32</v>
      </c>
      <c r="AA12" s="148">
        <v>8748</v>
      </c>
      <c r="AB12" s="148">
        <f t="shared" si="8"/>
        <v>150</v>
      </c>
      <c r="AC12" s="204">
        <v>43522</v>
      </c>
      <c r="AD12" s="146" t="str">
        <f t="shared" si="9"/>
        <v>2019</v>
      </c>
      <c r="AE12" s="150" t="str">
        <f t="shared" si="10"/>
        <v>Feb</v>
      </c>
    </row>
    <row r="13" spans="2:31" x14ac:dyDescent="0.25">
      <c r="B13" s="152">
        <v>11</v>
      </c>
      <c r="C13" s="157" t="s">
        <v>77</v>
      </c>
      <c r="D13" s="154" t="s">
        <v>56</v>
      </c>
      <c r="E13" s="157" t="s">
        <v>117</v>
      </c>
      <c r="F13" s="141">
        <v>111</v>
      </c>
      <c r="G13" s="154" t="s">
        <v>119</v>
      </c>
      <c r="H13" s="204">
        <v>43506</v>
      </c>
      <c r="I13" s="143" t="str">
        <f t="shared" si="1"/>
        <v>2019</v>
      </c>
      <c r="J13" s="143" t="str">
        <f t="shared" si="2"/>
        <v>Feb</v>
      </c>
      <c r="K13" s="204">
        <v>43507</v>
      </c>
      <c r="L13" s="157" t="s">
        <v>156</v>
      </c>
      <c r="M13" s="204">
        <v>43541</v>
      </c>
      <c r="N13" s="143" t="str">
        <f t="shared" si="3"/>
        <v>2019</v>
      </c>
      <c r="O13" s="143" t="str">
        <f t="shared" si="4"/>
        <v>Mar</v>
      </c>
      <c r="P13" s="157" t="s">
        <v>164</v>
      </c>
      <c r="Q13" s="146" t="s">
        <v>17</v>
      </c>
      <c r="R13" s="157" t="s">
        <v>49</v>
      </c>
      <c r="S13" s="141" t="s">
        <v>20</v>
      </c>
      <c r="T13" s="204">
        <v>43584</v>
      </c>
      <c r="U13" s="145" t="str">
        <f t="shared" si="5"/>
        <v>2019</v>
      </c>
      <c r="V13" s="145" t="str">
        <f t="shared" si="6"/>
        <v>Apr</v>
      </c>
      <c r="W13" s="141">
        <f t="shared" ca="1" si="0"/>
        <v>56</v>
      </c>
      <c r="X13" s="157" t="s">
        <v>99</v>
      </c>
      <c r="Y13" s="157">
        <f t="shared" ca="1" si="7"/>
        <v>1344</v>
      </c>
      <c r="Z13" s="158">
        <v>26.88</v>
      </c>
      <c r="AA13" s="148">
        <v>4032</v>
      </c>
      <c r="AB13" s="148">
        <f t="shared" si="8"/>
        <v>150</v>
      </c>
      <c r="AC13" s="204">
        <v>43510</v>
      </c>
      <c r="AD13" s="146" t="str">
        <f t="shared" si="9"/>
        <v>2019</v>
      </c>
      <c r="AE13" s="150" t="str">
        <f t="shared" si="10"/>
        <v>Feb</v>
      </c>
    </row>
    <row r="14" spans="2:31" x14ac:dyDescent="0.25">
      <c r="B14" s="152">
        <v>12</v>
      </c>
      <c r="C14" s="157" t="s">
        <v>78</v>
      </c>
      <c r="D14" s="154" t="s">
        <v>57</v>
      </c>
      <c r="E14" s="157" t="s">
        <v>118</v>
      </c>
      <c r="F14" s="141">
        <v>112</v>
      </c>
      <c r="G14" s="155" t="s">
        <v>125</v>
      </c>
      <c r="H14" s="204">
        <v>43508</v>
      </c>
      <c r="I14" s="143" t="str">
        <f t="shared" si="1"/>
        <v>2019</v>
      </c>
      <c r="J14" s="143" t="str">
        <f t="shared" si="2"/>
        <v>Feb</v>
      </c>
      <c r="K14" s="204">
        <v>43512</v>
      </c>
      <c r="L14" s="157" t="s">
        <v>158</v>
      </c>
      <c r="M14" s="204">
        <v>43545</v>
      </c>
      <c r="N14" s="143" t="str">
        <f t="shared" si="3"/>
        <v>2019</v>
      </c>
      <c r="O14" s="143" t="str">
        <f t="shared" si="4"/>
        <v>Mar</v>
      </c>
      <c r="P14" s="157" t="s">
        <v>165</v>
      </c>
      <c r="Q14" s="146" t="s">
        <v>17</v>
      </c>
      <c r="R14" s="157" t="s">
        <v>50</v>
      </c>
      <c r="S14" s="141" t="s">
        <v>20</v>
      </c>
      <c r="T14" s="204">
        <v>44047</v>
      </c>
      <c r="U14" s="145" t="str">
        <f t="shared" si="5"/>
        <v>2020</v>
      </c>
      <c r="V14" s="145" t="str">
        <f t="shared" si="6"/>
        <v>Aug</v>
      </c>
      <c r="W14" s="141">
        <f t="shared" ca="1" si="0"/>
        <v>386</v>
      </c>
      <c r="X14" s="157" t="s">
        <v>100</v>
      </c>
      <c r="Y14" s="157">
        <f t="shared" ca="1" si="7"/>
        <v>9264</v>
      </c>
      <c r="Z14" s="158">
        <v>185.28</v>
      </c>
      <c r="AA14" s="148">
        <v>27792</v>
      </c>
      <c r="AB14" s="148">
        <f t="shared" si="8"/>
        <v>150</v>
      </c>
      <c r="AC14" s="204">
        <v>43515</v>
      </c>
      <c r="AD14" s="146" t="str">
        <f t="shared" si="9"/>
        <v>2019</v>
      </c>
      <c r="AE14" s="150" t="str">
        <f t="shared" si="10"/>
        <v>Feb</v>
      </c>
    </row>
    <row r="15" spans="2:31" x14ac:dyDescent="0.25">
      <c r="B15" s="152">
        <v>13</v>
      </c>
      <c r="C15" s="157" t="s">
        <v>79</v>
      </c>
      <c r="D15" s="154" t="s">
        <v>58</v>
      </c>
      <c r="E15" s="157" t="s">
        <v>111</v>
      </c>
      <c r="F15" s="141">
        <v>113</v>
      </c>
      <c r="G15" s="155" t="s">
        <v>126</v>
      </c>
      <c r="H15" s="204">
        <v>43509</v>
      </c>
      <c r="I15" s="143" t="str">
        <f t="shared" si="1"/>
        <v>2019</v>
      </c>
      <c r="J15" s="143" t="str">
        <f t="shared" si="2"/>
        <v>Feb</v>
      </c>
      <c r="K15" s="204">
        <v>43516</v>
      </c>
      <c r="L15" s="157" t="s">
        <v>159</v>
      </c>
      <c r="M15" s="204">
        <v>43536</v>
      </c>
      <c r="N15" s="143" t="str">
        <f t="shared" si="3"/>
        <v>2019</v>
      </c>
      <c r="O15" s="143" t="str">
        <f t="shared" si="4"/>
        <v>Mar</v>
      </c>
      <c r="P15" s="157" t="s">
        <v>165</v>
      </c>
      <c r="Q15" s="146" t="s">
        <v>17</v>
      </c>
      <c r="R15" s="157" t="s">
        <v>51</v>
      </c>
      <c r="S15" s="141" t="s">
        <v>20</v>
      </c>
      <c r="T15" s="204">
        <v>43759</v>
      </c>
      <c r="U15" s="145" t="str">
        <f t="shared" si="5"/>
        <v>2019</v>
      </c>
      <c r="V15" s="145" t="str">
        <f t="shared" si="6"/>
        <v>Oct</v>
      </c>
      <c r="W15" s="141">
        <f t="shared" ca="1" si="0"/>
        <v>179</v>
      </c>
      <c r="X15" s="157" t="s">
        <v>101</v>
      </c>
      <c r="Y15" s="157">
        <f t="shared" ca="1" si="7"/>
        <v>4296</v>
      </c>
      <c r="Z15" s="158">
        <v>85.92</v>
      </c>
      <c r="AA15" s="148">
        <v>12888</v>
      </c>
      <c r="AB15" s="148">
        <f t="shared" si="8"/>
        <v>150</v>
      </c>
      <c r="AC15" s="204">
        <v>43519</v>
      </c>
      <c r="AD15" s="146" t="str">
        <f t="shared" si="9"/>
        <v>2019</v>
      </c>
      <c r="AE15" s="150" t="str">
        <f t="shared" si="10"/>
        <v>Feb</v>
      </c>
    </row>
    <row r="16" spans="2:31" x14ac:dyDescent="0.25">
      <c r="B16" s="152">
        <v>14</v>
      </c>
      <c r="C16" s="157" t="s">
        <v>80</v>
      </c>
      <c r="D16" s="154" t="s">
        <v>59</v>
      </c>
      <c r="E16" s="157" t="s">
        <v>112</v>
      </c>
      <c r="F16" s="141">
        <v>114</v>
      </c>
      <c r="G16" s="155" t="s">
        <v>127</v>
      </c>
      <c r="H16" s="204">
        <v>43509</v>
      </c>
      <c r="I16" s="143" t="str">
        <f t="shared" si="1"/>
        <v>2019</v>
      </c>
      <c r="J16" s="143" t="str">
        <f t="shared" si="2"/>
        <v>Feb</v>
      </c>
      <c r="K16" s="204">
        <v>43517</v>
      </c>
      <c r="L16" s="157" t="s">
        <v>159</v>
      </c>
      <c r="M16" s="204">
        <v>43554</v>
      </c>
      <c r="N16" s="143" t="str">
        <f t="shared" si="3"/>
        <v>2019</v>
      </c>
      <c r="O16" s="143" t="str">
        <f t="shared" si="4"/>
        <v>Mar</v>
      </c>
      <c r="P16" s="157" t="s">
        <v>167</v>
      </c>
      <c r="Q16" s="146" t="s">
        <v>17</v>
      </c>
      <c r="R16" s="157" t="s">
        <v>52</v>
      </c>
      <c r="S16" s="141" t="s">
        <v>167</v>
      </c>
      <c r="T16" s="204" t="s">
        <v>274</v>
      </c>
      <c r="U16" s="145" t="str">
        <f t="shared" si="5"/>
        <v/>
      </c>
      <c r="V16" s="145" t="str">
        <f t="shared" si="6"/>
        <v/>
      </c>
      <c r="W16" s="141">
        <f t="shared" ca="1" si="0"/>
        <v>1421</v>
      </c>
      <c r="X16" s="157" t="s">
        <v>102</v>
      </c>
      <c r="Y16" s="157">
        <f t="shared" ca="1" si="7"/>
        <v>34104</v>
      </c>
      <c r="Z16" s="158">
        <v>681.12</v>
      </c>
      <c r="AA16" s="148">
        <v>102168</v>
      </c>
      <c r="AB16" s="148">
        <f t="shared" si="8"/>
        <v>150</v>
      </c>
      <c r="AC16" s="204"/>
      <c r="AD16" s="146" t="str">
        <f t="shared" si="9"/>
        <v/>
      </c>
      <c r="AE16" s="150" t="str">
        <f t="shared" si="10"/>
        <v/>
      </c>
    </row>
    <row r="17" spans="2:31" x14ac:dyDescent="0.25">
      <c r="B17" s="152">
        <v>15</v>
      </c>
      <c r="C17" s="157" t="s">
        <v>81</v>
      </c>
      <c r="D17" s="154" t="s">
        <v>60</v>
      </c>
      <c r="E17" s="157" t="s">
        <v>113</v>
      </c>
      <c r="F17" s="141">
        <v>115</v>
      </c>
      <c r="G17" s="155" t="s">
        <v>128</v>
      </c>
      <c r="H17" s="204">
        <v>43510</v>
      </c>
      <c r="I17" s="143" t="str">
        <f t="shared" si="1"/>
        <v>2019</v>
      </c>
      <c r="J17" s="143" t="str">
        <f t="shared" si="2"/>
        <v>Feb</v>
      </c>
      <c r="K17" s="204">
        <v>43519</v>
      </c>
      <c r="L17" s="157" t="s">
        <v>156</v>
      </c>
      <c r="M17" s="204">
        <v>43560</v>
      </c>
      <c r="N17" s="143" t="str">
        <f t="shared" si="3"/>
        <v>2019</v>
      </c>
      <c r="O17" s="143" t="str">
        <f t="shared" si="4"/>
        <v>Apr</v>
      </c>
      <c r="P17" s="157" t="s">
        <v>165</v>
      </c>
      <c r="Q17" s="146" t="s">
        <v>267</v>
      </c>
      <c r="R17" s="157" t="s">
        <v>53</v>
      </c>
      <c r="S17" s="141" t="s">
        <v>20</v>
      </c>
      <c r="T17" s="204">
        <v>43800</v>
      </c>
      <c r="U17" s="145" t="str">
        <f t="shared" si="5"/>
        <v>2019</v>
      </c>
      <c r="V17" s="145" t="str">
        <f t="shared" si="6"/>
        <v>Dec</v>
      </c>
      <c r="W17" s="141">
        <f t="shared" ca="1" si="0"/>
        <v>207</v>
      </c>
      <c r="X17" s="157" t="s">
        <v>103</v>
      </c>
      <c r="Y17" s="157">
        <f t="shared" ca="1" si="7"/>
        <v>4968</v>
      </c>
      <c r="Z17" s="158">
        <v>149.04</v>
      </c>
      <c r="AA17" s="148">
        <v>11178</v>
      </c>
      <c r="AB17" s="148">
        <f t="shared" si="8"/>
        <v>75</v>
      </c>
      <c r="AC17" s="204">
        <v>43522</v>
      </c>
      <c r="AD17" s="146" t="str">
        <f t="shared" si="9"/>
        <v>2019</v>
      </c>
      <c r="AE17" s="150" t="str">
        <f t="shared" si="10"/>
        <v>Feb</v>
      </c>
    </row>
    <row r="18" spans="2:31" x14ac:dyDescent="0.25">
      <c r="B18" s="152">
        <v>16</v>
      </c>
      <c r="C18" s="157" t="s">
        <v>82</v>
      </c>
      <c r="D18" s="154" t="s">
        <v>61</v>
      </c>
      <c r="E18" s="157" t="s">
        <v>114</v>
      </c>
      <c r="F18" s="141">
        <v>116</v>
      </c>
      <c r="G18" s="155" t="s">
        <v>129</v>
      </c>
      <c r="H18" s="204">
        <v>43515</v>
      </c>
      <c r="I18" s="143" t="str">
        <f t="shared" si="1"/>
        <v>2019</v>
      </c>
      <c r="J18" s="143" t="str">
        <f t="shared" si="2"/>
        <v>Feb</v>
      </c>
      <c r="K18" s="204">
        <v>43520</v>
      </c>
      <c r="L18" s="157" t="s">
        <v>157</v>
      </c>
      <c r="M18" s="204">
        <v>43545</v>
      </c>
      <c r="N18" s="143" t="str">
        <f t="shared" si="3"/>
        <v>2019</v>
      </c>
      <c r="O18" s="143" t="str">
        <f t="shared" si="4"/>
        <v>Mar</v>
      </c>
      <c r="P18" s="157" t="s">
        <v>165</v>
      </c>
      <c r="Q18" s="146" t="s">
        <v>17</v>
      </c>
      <c r="R18" s="157" t="s">
        <v>54</v>
      </c>
      <c r="S18" s="141" t="s">
        <v>20</v>
      </c>
      <c r="T18" s="204">
        <v>43709</v>
      </c>
      <c r="U18" s="145" t="str">
        <f t="shared" si="5"/>
        <v>2019</v>
      </c>
      <c r="V18" s="145" t="str">
        <f t="shared" si="6"/>
        <v>Sep</v>
      </c>
      <c r="W18" s="141">
        <f t="shared" ca="1" si="0"/>
        <v>139</v>
      </c>
      <c r="X18" s="157" t="s">
        <v>104</v>
      </c>
      <c r="Y18" s="157">
        <f t="shared" ca="1" si="7"/>
        <v>3336</v>
      </c>
      <c r="Z18" s="158">
        <v>100.08</v>
      </c>
      <c r="AA18" s="148">
        <v>15012</v>
      </c>
      <c r="AB18" s="148">
        <f t="shared" si="8"/>
        <v>150</v>
      </c>
      <c r="AC18" s="204">
        <v>43523</v>
      </c>
      <c r="AD18" s="146" t="str">
        <f t="shared" si="9"/>
        <v>2019</v>
      </c>
      <c r="AE18" s="150" t="str">
        <f t="shared" si="10"/>
        <v>Feb</v>
      </c>
    </row>
    <row r="19" spans="2:31" x14ac:dyDescent="0.25">
      <c r="B19" s="152">
        <v>17</v>
      </c>
      <c r="C19" s="157" t="s">
        <v>83</v>
      </c>
      <c r="D19" s="154" t="s">
        <v>33</v>
      </c>
      <c r="E19" s="157" t="s">
        <v>115</v>
      </c>
      <c r="F19" s="141">
        <v>117</v>
      </c>
      <c r="G19" s="154" t="s">
        <v>119</v>
      </c>
      <c r="H19" s="204">
        <v>43522</v>
      </c>
      <c r="I19" s="143" t="str">
        <f t="shared" si="1"/>
        <v>2019</v>
      </c>
      <c r="J19" s="143" t="str">
        <f t="shared" si="2"/>
        <v>Feb</v>
      </c>
      <c r="K19" s="204">
        <v>43535</v>
      </c>
      <c r="L19" s="157" t="s">
        <v>156</v>
      </c>
      <c r="M19" s="204">
        <v>43565</v>
      </c>
      <c r="N19" s="143" t="str">
        <f t="shared" si="3"/>
        <v>2019</v>
      </c>
      <c r="O19" s="143" t="str">
        <f t="shared" si="4"/>
        <v>Apr</v>
      </c>
      <c r="P19" s="157" t="s">
        <v>164</v>
      </c>
      <c r="Q19" s="146" t="s">
        <v>17</v>
      </c>
      <c r="R19" s="157" t="s">
        <v>38</v>
      </c>
      <c r="S19" s="141" t="s">
        <v>20</v>
      </c>
      <c r="T19" s="204">
        <v>43768</v>
      </c>
      <c r="U19" s="145" t="str">
        <f t="shared" si="5"/>
        <v>2019</v>
      </c>
      <c r="V19" s="145" t="str">
        <f t="shared" si="6"/>
        <v>Oct</v>
      </c>
      <c r="W19" s="141">
        <f t="shared" ca="1" si="0"/>
        <v>177</v>
      </c>
      <c r="X19" s="157" t="s">
        <v>105</v>
      </c>
      <c r="Y19" s="157">
        <f t="shared" ca="1" si="7"/>
        <v>4248</v>
      </c>
      <c r="Z19" s="158">
        <v>42.480000000000004</v>
      </c>
      <c r="AA19" s="148">
        <v>6372.0000000000009</v>
      </c>
      <c r="AB19" s="148">
        <f t="shared" si="8"/>
        <v>150</v>
      </c>
      <c r="AC19" s="204">
        <v>43538</v>
      </c>
      <c r="AD19" s="146" t="str">
        <f t="shared" si="9"/>
        <v>2019</v>
      </c>
      <c r="AE19" s="150" t="str">
        <f t="shared" si="10"/>
        <v>Mar</v>
      </c>
    </row>
    <row r="20" spans="2:31" x14ac:dyDescent="0.25">
      <c r="B20" s="152">
        <v>18</v>
      </c>
      <c r="C20" s="157" t="s">
        <v>84</v>
      </c>
      <c r="D20" s="154" t="s">
        <v>89</v>
      </c>
      <c r="E20" s="157" t="s">
        <v>112</v>
      </c>
      <c r="F20" s="141">
        <v>118</v>
      </c>
      <c r="G20" s="155" t="s">
        <v>130</v>
      </c>
      <c r="H20" s="204">
        <v>43523</v>
      </c>
      <c r="I20" s="143" t="str">
        <f t="shared" si="1"/>
        <v>2019</v>
      </c>
      <c r="J20" s="143" t="str">
        <f t="shared" si="2"/>
        <v>Feb</v>
      </c>
      <c r="K20" s="204">
        <v>43524</v>
      </c>
      <c r="L20" s="157" t="s">
        <v>156</v>
      </c>
      <c r="M20" s="204">
        <v>43562</v>
      </c>
      <c r="N20" s="143" t="str">
        <f t="shared" si="3"/>
        <v>2019</v>
      </c>
      <c r="O20" s="143" t="str">
        <f t="shared" si="4"/>
        <v>Apr</v>
      </c>
      <c r="P20" s="157" t="s">
        <v>165</v>
      </c>
      <c r="Q20" s="146" t="s">
        <v>17</v>
      </c>
      <c r="R20" s="157" t="s">
        <v>40</v>
      </c>
      <c r="S20" s="141" t="s">
        <v>20</v>
      </c>
      <c r="T20" s="204">
        <v>44020</v>
      </c>
      <c r="U20" s="145" t="str">
        <f t="shared" si="5"/>
        <v>2020</v>
      </c>
      <c r="V20" s="145" t="str">
        <f t="shared" si="6"/>
        <v>Jul</v>
      </c>
      <c r="W20" s="141">
        <f t="shared" ca="1" si="0"/>
        <v>356</v>
      </c>
      <c r="X20" s="157" t="s">
        <v>106</v>
      </c>
      <c r="Y20" s="157">
        <f t="shared" ca="1" si="7"/>
        <v>8544</v>
      </c>
      <c r="Z20" s="158">
        <v>170.88</v>
      </c>
      <c r="AA20" s="148">
        <v>25632</v>
      </c>
      <c r="AB20" s="148">
        <f t="shared" si="8"/>
        <v>150</v>
      </c>
      <c r="AC20" s="204">
        <v>43527</v>
      </c>
      <c r="AD20" s="146" t="str">
        <f t="shared" si="9"/>
        <v>2019</v>
      </c>
      <c r="AE20" s="150" t="str">
        <f t="shared" si="10"/>
        <v>Mar</v>
      </c>
    </row>
    <row r="21" spans="2:31" x14ac:dyDescent="0.25">
      <c r="B21" s="152">
        <v>19</v>
      </c>
      <c r="C21" s="157" t="s">
        <v>85</v>
      </c>
      <c r="D21" s="154" t="s">
        <v>90</v>
      </c>
      <c r="E21" s="157" t="s">
        <v>113</v>
      </c>
      <c r="F21" s="141">
        <v>119</v>
      </c>
      <c r="G21" s="155" t="s">
        <v>131</v>
      </c>
      <c r="H21" s="204">
        <v>43524</v>
      </c>
      <c r="I21" s="143" t="str">
        <f t="shared" si="1"/>
        <v>2019</v>
      </c>
      <c r="J21" s="143" t="str">
        <f t="shared" si="2"/>
        <v>Feb</v>
      </c>
      <c r="K21" s="204">
        <v>43535</v>
      </c>
      <c r="L21" s="157" t="s">
        <v>156</v>
      </c>
      <c r="M21" s="204">
        <v>43578</v>
      </c>
      <c r="N21" s="143" t="str">
        <f t="shared" si="3"/>
        <v>2019</v>
      </c>
      <c r="O21" s="143" t="str">
        <f t="shared" si="4"/>
        <v>Apr</v>
      </c>
      <c r="P21" s="157" t="s">
        <v>162</v>
      </c>
      <c r="Q21" s="146" t="s">
        <v>266</v>
      </c>
      <c r="R21" s="157" t="s">
        <v>34</v>
      </c>
      <c r="S21" s="141" t="s">
        <v>20</v>
      </c>
      <c r="T21" s="204">
        <v>43589</v>
      </c>
      <c r="U21" s="145" t="str">
        <f t="shared" si="5"/>
        <v>2019</v>
      </c>
      <c r="V21" s="145" t="str">
        <f t="shared" si="6"/>
        <v>May</v>
      </c>
      <c r="W21" s="141">
        <f t="shared" ca="1" si="0"/>
        <v>47</v>
      </c>
      <c r="X21" s="157" t="s">
        <v>107</v>
      </c>
      <c r="Y21" s="157">
        <f t="shared" ca="1" si="7"/>
        <v>1128</v>
      </c>
      <c r="Z21" s="158">
        <v>33.839999999999996</v>
      </c>
      <c r="AA21" s="148">
        <v>1691.9999999999998</v>
      </c>
      <c r="AB21" s="148">
        <f t="shared" si="8"/>
        <v>50</v>
      </c>
      <c r="AC21" s="204">
        <v>43538</v>
      </c>
      <c r="AD21" s="146" t="str">
        <f t="shared" si="9"/>
        <v>2019</v>
      </c>
      <c r="AE21" s="150" t="str">
        <f t="shared" si="10"/>
        <v>Mar</v>
      </c>
    </row>
    <row r="22" spans="2:31" x14ac:dyDescent="0.25">
      <c r="B22" s="152">
        <v>20</v>
      </c>
      <c r="C22" s="157" t="s">
        <v>86</v>
      </c>
      <c r="D22" s="154" t="s">
        <v>91</v>
      </c>
      <c r="E22" s="157" t="s">
        <v>114</v>
      </c>
      <c r="F22" s="141">
        <v>120</v>
      </c>
      <c r="G22" s="155" t="s">
        <v>132</v>
      </c>
      <c r="H22" s="204">
        <v>43529</v>
      </c>
      <c r="I22" s="143" t="str">
        <f t="shared" si="1"/>
        <v>2019</v>
      </c>
      <c r="J22" s="143" t="str">
        <f t="shared" si="2"/>
        <v>Mar</v>
      </c>
      <c r="K22" s="204">
        <v>43540</v>
      </c>
      <c r="L22" s="157" t="s">
        <v>157</v>
      </c>
      <c r="M22" s="204">
        <v>43556</v>
      </c>
      <c r="N22" s="143" t="str">
        <f t="shared" si="3"/>
        <v>2019</v>
      </c>
      <c r="O22" s="143" t="str">
        <f t="shared" si="4"/>
        <v>Apr</v>
      </c>
      <c r="P22" s="157" t="s">
        <v>164</v>
      </c>
      <c r="Q22" s="146" t="s">
        <v>17</v>
      </c>
      <c r="R22" s="157" t="s">
        <v>35</v>
      </c>
      <c r="S22" s="141" t="s">
        <v>20</v>
      </c>
      <c r="T22" s="204">
        <v>43781</v>
      </c>
      <c r="U22" s="145" t="str">
        <f t="shared" si="5"/>
        <v>2019</v>
      </c>
      <c r="V22" s="145" t="str">
        <f t="shared" si="6"/>
        <v>Nov</v>
      </c>
      <c r="W22" s="141">
        <f t="shared" ca="1" si="0"/>
        <v>181</v>
      </c>
      <c r="X22" s="157" t="s">
        <v>108</v>
      </c>
      <c r="Y22" s="157">
        <f t="shared" ca="1" si="7"/>
        <v>4344</v>
      </c>
      <c r="Z22" s="158">
        <v>43.44</v>
      </c>
      <c r="AA22" s="148">
        <v>6516</v>
      </c>
      <c r="AB22" s="148">
        <f t="shared" si="8"/>
        <v>150</v>
      </c>
      <c r="AC22" s="204">
        <v>43543</v>
      </c>
      <c r="AD22" s="146" t="str">
        <f t="shared" si="9"/>
        <v>2019</v>
      </c>
      <c r="AE22" s="150" t="str">
        <f t="shared" si="10"/>
        <v>Mar</v>
      </c>
    </row>
    <row r="23" spans="2:31" x14ac:dyDescent="0.25">
      <c r="B23" s="152">
        <v>21</v>
      </c>
      <c r="C23" s="157" t="s">
        <v>87</v>
      </c>
      <c r="D23" s="154" t="s">
        <v>92</v>
      </c>
      <c r="E23" s="157" t="s">
        <v>115</v>
      </c>
      <c r="F23" s="141">
        <v>121</v>
      </c>
      <c r="G23" s="155" t="s">
        <v>120</v>
      </c>
      <c r="H23" s="204">
        <v>43537</v>
      </c>
      <c r="I23" s="143" t="str">
        <f t="shared" si="1"/>
        <v>2019</v>
      </c>
      <c r="J23" s="143" t="str">
        <f t="shared" si="2"/>
        <v>Mar</v>
      </c>
      <c r="K23" s="204">
        <v>43552</v>
      </c>
      <c r="L23" s="157" t="s">
        <v>156</v>
      </c>
      <c r="M23" s="204">
        <v>43566</v>
      </c>
      <c r="N23" s="143" t="str">
        <f t="shared" si="3"/>
        <v>2019</v>
      </c>
      <c r="O23" s="143" t="str">
        <f t="shared" si="4"/>
        <v>Apr</v>
      </c>
      <c r="P23" s="157" t="s">
        <v>162</v>
      </c>
      <c r="Q23" s="146" t="s">
        <v>17</v>
      </c>
      <c r="R23" s="157" t="s">
        <v>36</v>
      </c>
      <c r="S23" s="141" t="s">
        <v>20</v>
      </c>
      <c r="T23" s="204">
        <v>43964</v>
      </c>
      <c r="U23" s="145" t="str">
        <f t="shared" si="5"/>
        <v>2020</v>
      </c>
      <c r="V23" s="145" t="str">
        <f t="shared" si="6"/>
        <v>May</v>
      </c>
      <c r="W23" s="141">
        <f t="shared" ca="1" si="0"/>
        <v>306</v>
      </c>
      <c r="X23" s="157" t="s">
        <v>109</v>
      </c>
      <c r="Y23" s="157">
        <f t="shared" ca="1" si="7"/>
        <v>7344</v>
      </c>
      <c r="Z23" s="158">
        <v>73.44</v>
      </c>
      <c r="AA23" s="148">
        <v>11016</v>
      </c>
      <c r="AB23" s="148">
        <f t="shared" si="8"/>
        <v>150</v>
      </c>
      <c r="AC23" s="204">
        <v>43555</v>
      </c>
      <c r="AD23" s="146" t="str">
        <f t="shared" si="9"/>
        <v>2019</v>
      </c>
      <c r="AE23" s="150" t="str">
        <f t="shared" si="10"/>
        <v>Mar</v>
      </c>
    </row>
    <row r="24" spans="2:31" x14ac:dyDescent="0.25">
      <c r="B24" s="152">
        <v>22</v>
      </c>
      <c r="C24" s="157" t="s">
        <v>88</v>
      </c>
      <c r="D24" s="154" t="s">
        <v>39</v>
      </c>
      <c r="E24" s="157" t="s">
        <v>116</v>
      </c>
      <c r="F24" s="141">
        <v>122</v>
      </c>
      <c r="G24" s="155" t="s">
        <v>133</v>
      </c>
      <c r="H24" s="204">
        <v>43546</v>
      </c>
      <c r="I24" s="143" t="str">
        <f t="shared" si="1"/>
        <v>2019</v>
      </c>
      <c r="J24" s="143" t="str">
        <f t="shared" si="2"/>
        <v>Mar</v>
      </c>
      <c r="K24" s="204">
        <v>43550</v>
      </c>
      <c r="L24" s="157" t="s">
        <v>158</v>
      </c>
      <c r="M24" s="204">
        <v>43580</v>
      </c>
      <c r="N24" s="143" t="str">
        <f t="shared" si="3"/>
        <v>2019</v>
      </c>
      <c r="O24" s="143" t="str">
        <f t="shared" si="4"/>
        <v>Apr</v>
      </c>
      <c r="P24" s="157" t="s">
        <v>162</v>
      </c>
      <c r="Q24" s="146" t="s">
        <v>268</v>
      </c>
      <c r="R24" s="157" t="s">
        <v>37</v>
      </c>
      <c r="S24" s="141" t="s">
        <v>20</v>
      </c>
      <c r="T24" s="204">
        <v>43795</v>
      </c>
      <c r="U24" s="145" t="str">
        <f t="shared" si="5"/>
        <v>2019</v>
      </c>
      <c r="V24" s="145" t="str">
        <f t="shared" si="6"/>
        <v>Nov</v>
      </c>
      <c r="W24" s="141">
        <f t="shared" ca="1" si="0"/>
        <v>178</v>
      </c>
      <c r="X24" s="157" t="s">
        <v>110</v>
      </c>
      <c r="Y24" s="157">
        <f t="shared" ca="1" si="7"/>
        <v>4272</v>
      </c>
      <c r="Z24" s="158">
        <v>128.16</v>
      </c>
      <c r="AA24" s="148">
        <v>15379.199999999999</v>
      </c>
      <c r="AB24" s="148">
        <f t="shared" si="8"/>
        <v>120</v>
      </c>
      <c r="AC24" s="204">
        <v>43553</v>
      </c>
      <c r="AD24" s="146" t="str">
        <f t="shared" si="9"/>
        <v>2019</v>
      </c>
      <c r="AE24" s="150" t="str">
        <f t="shared" si="10"/>
        <v>Mar</v>
      </c>
    </row>
    <row r="25" spans="2:31" x14ac:dyDescent="0.25">
      <c r="B25" s="152">
        <v>1</v>
      </c>
      <c r="C25" s="153" t="s">
        <v>7</v>
      </c>
      <c r="D25" s="154" t="s">
        <v>8</v>
      </c>
      <c r="E25" s="157" t="s">
        <v>111</v>
      </c>
      <c r="F25" s="141">
        <v>123</v>
      </c>
      <c r="G25" s="155" t="s">
        <v>134</v>
      </c>
      <c r="H25" s="204">
        <v>43550</v>
      </c>
      <c r="I25" s="143" t="str">
        <f t="shared" si="1"/>
        <v>2019</v>
      </c>
      <c r="J25" s="143" t="str">
        <f t="shared" si="2"/>
        <v>Mar</v>
      </c>
      <c r="K25" s="204">
        <v>43559</v>
      </c>
      <c r="L25" s="157" t="s">
        <v>161</v>
      </c>
      <c r="M25" s="204">
        <v>43591</v>
      </c>
      <c r="N25" s="143" t="str">
        <f t="shared" si="3"/>
        <v>2019</v>
      </c>
      <c r="O25" s="143" t="str">
        <f t="shared" si="4"/>
        <v>May</v>
      </c>
      <c r="P25" s="157" t="s">
        <v>165</v>
      </c>
      <c r="Q25" s="146" t="s">
        <v>17</v>
      </c>
      <c r="R25" s="157" t="s">
        <v>18</v>
      </c>
      <c r="S25" s="141" t="s">
        <v>20</v>
      </c>
      <c r="T25" s="204">
        <v>43816</v>
      </c>
      <c r="U25" s="145" t="str">
        <f t="shared" si="5"/>
        <v>2019</v>
      </c>
      <c r="V25" s="145" t="str">
        <f t="shared" si="6"/>
        <v>Dec</v>
      </c>
      <c r="W25" s="141">
        <f t="shared" ca="1" si="0"/>
        <v>191</v>
      </c>
      <c r="X25" s="157" t="s">
        <v>89</v>
      </c>
      <c r="Y25" s="157">
        <f t="shared" ca="1" si="7"/>
        <v>4584</v>
      </c>
      <c r="Z25" s="158">
        <v>45.84</v>
      </c>
      <c r="AA25" s="148">
        <v>6876.0000000000009</v>
      </c>
      <c r="AB25" s="148">
        <f t="shared" si="8"/>
        <v>150</v>
      </c>
      <c r="AC25" s="204">
        <v>43562</v>
      </c>
      <c r="AD25" s="146" t="str">
        <f t="shared" si="9"/>
        <v>2019</v>
      </c>
      <c r="AE25" s="150" t="str">
        <f t="shared" si="10"/>
        <v>Apr</v>
      </c>
    </row>
    <row r="26" spans="2:31" x14ac:dyDescent="0.25">
      <c r="B26" s="152">
        <v>2</v>
      </c>
      <c r="C26" s="153" t="s">
        <v>10</v>
      </c>
      <c r="D26" s="154" t="s">
        <v>11</v>
      </c>
      <c r="E26" s="157" t="s">
        <v>112</v>
      </c>
      <c r="F26" s="141">
        <v>124</v>
      </c>
      <c r="G26" s="155" t="s">
        <v>120</v>
      </c>
      <c r="H26" s="204">
        <v>43551</v>
      </c>
      <c r="I26" s="143" t="str">
        <f t="shared" si="1"/>
        <v>2019</v>
      </c>
      <c r="J26" s="143" t="str">
        <f t="shared" si="2"/>
        <v>Mar</v>
      </c>
      <c r="K26" s="204">
        <v>43558</v>
      </c>
      <c r="L26" s="157" t="s">
        <v>156</v>
      </c>
      <c r="M26" s="204">
        <v>43591</v>
      </c>
      <c r="N26" s="143" t="str">
        <f t="shared" si="3"/>
        <v>2019</v>
      </c>
      <c r="O26" s="143" t="str">
        <f t="shared" si="4"/>
        <v>May</v>
      </c>
      <c r="P26" s="157" t="s">
        <v>165</v>
      </c>
      <c r="Q26" s="146" t="s">
        <v>17</v>
      </c>
      <c r="R26" s="157" t="s">
        <v>19</v>
      </c>
      <c r="S26" s="141" t="s">
        <v>20</v>
      </c>
      <c r="T26" s="204">
        <v>43756</v>
      </c>
      <c r="U26" s="145" t="str">
        <f t="shared" si="5"/>
        <v>2019</v>
      </c>
      <c r="V26" s="145" t="str">
        <f t="shared" si="6"/>
        <v>Oct</v>
      </c>
      <c r="W26" s="141">
        <f t="shared" ca="1" si="0"/>
        <v>148</v>
      </c>
      <c r="X26" s="157" t="s">
        <v>90</v>
      </c>
      <c r="Y26" s="157">
        <f t="shared" ca="1" si="7"/>
        <v>3552</v>
      </c>
      <c r="Z26" s="158">
        <v>71.040000000000006</v>
      </c>
      <c r="AA26" s="148">
        <v>10656.000000000002</v>
      </c>
      <c r="AB26" s="148">
        <f t="shared" si="8"/>
        <v>150</v>
      </c>
      <c r="AC26" s="204">
        <v>43561</v>
      </c>
      <c r="AD26" s="146" t="str">
        <f t="shared" si="9"/>
        <v>2019</v>
      </c>
      <c r="AE26" s="150" t="str">
        <f t="shared" si="10"/>
        <v>Apr</v>
      </c>
    </row>
    <row r="27" spans="2:31" x14ac:dyDescent="0.25">
      <c r="B27" s="152">
        <v>3</v>
      </c>
      <c r="C27" s="157" t="s">
        <v>69</v>
      </c>
      <c r="D27" s="154" t="s">
        <v>62</v>
      </c>
      <c r="E27" s="157" t="s">
        <v>113</v>
      </c>
      <c r="F27" s="141">
        <v>125</v>
      </c>
      <c r="G27" s="155" t="s">
        <v>135</v>
      </c>
      <c r="H27" s="204">
        <v>43554</v>
      </c>
      <c r="I27" s="143" t="str">
        <f t="shared" si="1"/>
        <v>2019</v>
      </c>
      <c r="J27" s="143" t="str">
        <f t="shared" si="2"/>
        <v>Mar</v>
      </c>
      <c r="K27" s="204">
        <v>43554</v>
      </c>
      <c r="L27" s="157" t="s">
        <v>159</v>
      </c>
      <c r="M27" s="204">
        <v>43602</v>
      </c>
      <c r="N27" s="143" t="str">
        <f t="shared" si="3"/>
        <v>2019</v>
      </c>
      <c r="O27" s="143" t="str">
        <f t="shared" si="4"/>
        <v>May</v>
      </c>
      <c r="P27" s="157" t="s">
        <v>164</v>
      </c>
      <c r="Q27" s="146" t="s">
        <v>269</v>
      </c>
      <c r="R27" s="157" t="s">
        <v>41</v>
      </c>
      <c r="S27" s="141" t="s">
        <v>20</v>
      </c>
      <c r="T27" s="204">
        <v>44013</v>
      </c>
      <c r="U27" s="145" t="str">
        <f t="shared" si="5"/>
        <v>2020</v>
      </c>
      <c r="V27" s="145" t="str">
        <f t="shared" si="6"/>
        <v>Jul</v>
      </c>
      <c r="W27" s="141">
        <f t="shared" ca="1" si="0"/>
        <v>328</v>
      </c>
      <c r="X27" s="157" t="s">
        <v>91</v>
      </c>
      <c r="Y27" s="157">
        <f t="shared" ca="1" si="7"/>
        <v>7872</v>
      </c>
      <c r="Z27" s="158">
        <v>236.16</v>
      </c>
      <c r="AA27" s="148">
        <v>11808</v>
      </c>
      <c r="AB27" s="148">
        <f t="shared" si="8"/>
        <v>50</v>
      </c>
      <c r="AC27" s="204">
        <v>43557</v>
      </c>
      <c r="AD27" s="146" t="str">
        <f t="shared" si="9"/>
        <v>2019</v>
      </c>
      <c r="AE27" s="150" t="str">
        <f t="shared" si="10"/>
        <v>Apr</v>
      </c>
    </row>
    <row r="28" spans="2:31" x14ac:dyDescent="0.25">
      <c r="B28" s="152">
        <v>4</v>
      </c>
      <c r="C28" s="157" t="s">
        <v>70</v>
      </c>
      <c r="D28" s="154" t="s">
        <v>63</v>
      </c>
      <c r="E28" s="157" t="s">
        <v>114</v>
      </c>
      <c r="F28" s="141">
        <v>126</v>
      </c>
      <c r="G28" s="155" t="s">
        <v>136</v>
      </c>
      <c r="H28" s="204">
        <v>43555</v>
      </c>
      <c r="I28" s="143" t="str">
        <f t="shared" si="1"/>
        <v>2019</v>
      </c>
      <c r="J28" s="143" t="str">
        <f t="shared" si="2"/>
        <v>Mar</v>
      </c>
      <c r="K28" s="204">
        <v>43556</v>
      </c>
      <c r="L28" s="157" t="s">
        <v>157</v>
      </c>
      <c r="M28" s="204">
        <v>43598</v>
      </c>
      <c r="N28" s="143" t="str">
        <f t="shared" si="3"/>
        <v>2019</v>
      </c>
      <c r="O28" s="143" t="str">
        <f t="shared" si="4"/>
        <v>May</v>
      </c>
      <c r="P28" s="157" t="s">
        <v>164</v>
      </c>
      <c r="Q28" s="146" t="s">
        <v>17</v>
      </c>
      <c r="R28" s="157" t="s">
        <v>42</v>
      </c>
      <c r="S28" s="141" t="s">
        <v>20</v>
      </c>
      <c r="T28" s="204">
        <v>43793</v>
      </c>
      <c r="U28" s="145" t="str">
        <f t="shared" si="5"/>
        <v>2019</v>
      </c>
      <c r="V28" s="145" t="str">
        <f t="shared" si="6"/>
        <v>Nov</v>
      </c>
      <c r="W28" s="141">
        <f t="shared" ca="1" si="0"/>
        <v>170</v>
      </c>
      <c r="X28" s="157" t="s">
        <v>92</v>
      </c>
      <c r="Y28" s="157">
        <f t="shared" ca="1" si="7"/>
        <v>4080</v>
      </c>
      <c r="Z28" s="158">
        <v>122.39999999999999</v>
      </c>
      <c r="AA28" s="148">
        <v>18360</v>
      </c>
      <c r="AB28" s="148">
        <f t="shared" si="8"/>
        <v>150</v>
      </c>
      <c r="AC28" s="204">
        <v>43559</v>
      </c>
      <c r="AD28" s="146" t="str">
        <f t="shared" si="9"/>
        <v>2019</v>
      </c>
      <c r="AE28" s="150" t="str">
        <f t="shared" si="10"/>
        <v>Apr</v>
      </c>
    </row>
    <row r="29" spans="2:31" x14ac:dyDescent="0.25">
      <c r="B29" s="152">
        <v>5</v>
      </c>
      <c r="C29" s="157" t="s">
        <v>71</v>
      </c>
      <c r="D29" s="154" t="s">
        <v>64</v>
      </c>
      <c r="E29" s="157" t="s">
        <v>115</v>
      </c>
      <c r="F29" s="141">
        <v>127</v>
      </c>
      <c r="G29" s="155" t="s">
        <v>137</v>
      </c>
      <c r="H29" s="204">
        <v>43556</v>
      </c>
      <c r="I29" s="143" t="str">
        <f t="shared" si="1"/>
        <v>2019</v>
      </c>
      <c r="J29" s="143" t="str">
        <f t="shared" si="2"/>
        <v>Apr</v>
      </c>
      <c r="K29" s="204">
        <v>43563</v>
      </c>
      <c r="L29" s="157" t="s">
        <v>156</v>
      </c>
      <c r="M29" s="204">
        <v>43594</v>
      </c>
      <c r="N29" s="143" t="str">
        <f t="shared" si="3"/>
        <v>2019</v>
      </c>
      <c r="O29" s="143" t="str">
        <f t="shared" si="4"/>
        <v>May</v>
      </c>
      <c r="P29" s="157" t="s">
        <v>162</v>
      </c>
      <c r="Q29" s="146" t="s">
        <v>29</v>
      </c>
      <c r="R29" s="157" t="s">
        <v>43</v>
      </c>
      <c r="S29" s="141" t="s">
        <v>20</v>
      </c>
      <c r="T29" s="204">
        <v>43822</v>
      </c>
      <c r="U29" s="145" t="str">
        <f t="shared" si="5"/>
        <v>2019</v>
      </c>
      <c r="V29" s="145" t="str">
        <f t="shared" si="6"/>
        <v>Dec</v>
      </c>
      <c r="W29" s="141">
        <f t="shared" ca="1" si="0"/>
        <v>191</v>
      </c>
      <c r="X29" s="157" t="s">
        <v>93</v>
      </c>
      <c r="Y29" s="157">
        <f t="shared" ca="1" si="7"/>
        <v>4584</v>
      </c>
      <c r="Z29" s="158">
        <v>91.68</v>
      </c>
      <c r="AA29" s="148">
        <v>2750.4</v>
      </c>
      <c r="AB29" s="148">
        <f t="shared" si="8"/>
        <v>30</v>
      </c>
      <c r="AC29" s="204">
        <v>43566</v>
      </c>
      <c r="AD29" s="146" t="str">
        <f t="shared" si="9"/>
        <v>2019</v>
      </c>
      <c r="AE29" s="150" t="str">
        <f t="shared" si="10"/>
        <v>Apr</v>
      </c>
    </row>
    <row r="30" spans="2:31" x14ac:dyDescent="0.25">
      <c r="B30" s="152">
        <v>6</v>
      </c>
      <c r="C30" s="157" t="s">
        <v>72</v>
      </c>
      <c r="D30" s="154" t="s">
        <v>65</v>
      </c>
      <c r="E30" s="157" t="s">
        <v>116</v>
      </c>
      <c r="F30" s="141">
        <v>128</v>
      </c>
      <c r="G30" s="155" t="s">
        <v>138</v>
      </c>
      <c r="H30" s="204">
        <v>43559</v>
      </c>
      <c r="I30" s="143" t="str">
        <f t="shared" si="1"/>
        <v>2019</v>
      </c>
      <c r="J30" s="143" t="str">
        <f t="shared" si="2"/>
        <v>Apr</v>
      </c>
      <c r="K30" s="204">
        <v>43570</v>
      </c>
      <c r="L30" s="157" t="s">
        <v>160</v>
      </c>
      <c r="M30" s="204">
        <v>43613</v>
      </c>
      <c r="N30" s="143" t="str">
        <f t="shared" si="3"/>
        <v>2019</v>
      </c>
      <c r="O30" s="143" t="str">
        <f t="shared" si="4"/>
        <v>May</v>
      </c>
      <c r="P30" s="157" t="s">
        <v>164</v>
      </c>
      <c r="Q30" s="146" t="s">
        <v>270</v>
      </c>
      <c r="R30" s="157" t="s">
        <v>44</v>
      </c>
      <c r="S30" s="141" t="s">
        <v>20</v>
      </c>
      <c r="T30" s="204">
        <v>43998</v>
      </c>
      <c r="U30" s="145" t="str">
        <f t="shared" si="5"/>
        <v>2020</v>
      </c>
      <c r="V30" s="145" t="str">
        <f t="shared" si="6"/>
        <v>Jun</v>
      </c>
      <c r="W30" s="141">
        <f t="shared" ca="1" si="0"/>
        <v>314</v>
      </c>
      <c r="X30" s="157" t="s">
        <v>94</v>
      </c>
      <c r="Y30" s="157">
        <f t="shared" ca="1" si="7"/>
        <v>7536</v>
      </c>
      <c r="Z30" s="158">
        <v>226.07999999999998</v>
      </c>
      <c r="AA30" s="148">
        <v>6782.4</v>
      </c>
      <c r="AB30" s="148">
        <f t="shared" si="8"/>
        <v>30</v>
      </c>
      <c r="AC30" s="204">
        <v>43573</v>
      </c>
      <c r="AD30" s="146" t="str">
        <f t="shared" si="9"/>
        <v>2019</v>
      </c>
      <c r="AE30" s="150" t="str">
        <f t="shared" si="10"/>
        <v>Apr</v>
      </c>
    </row>
    <row r="31" spans="2:31" x14ac:dyDescent="0.25">
      <c r="B31" s="152">
        <v>7</v>
      </c>
      <c r="C31" s="157" t="s">
        <v>73</v>
      </c>
      <c r="D31" s="154" t="s">
        <v>66</v>
      </c>
      <c r="E31" s="157" t="s">
        <v>117</v>
      </c>
      <c r="F31" s="141">
        <v>129</v>
      </c>
      <c r="G31" s="155" t="s">
        <v>139</v>
      </c>
      <c r="H31" s="204">
        <v>43563</v>
      </c>
      <c r="I31" s="143" t="str">
        <f t="shared" si="1"/>
        <v>2019</v>
      </c>
      <c r="J31" s="143" t="str">
        <f t="shared" si="2"/>
        <v>Apr</v>
      </c>
      <c r="K31" s="204">
        <v>43576</v>
      </c>
      <c r="L31" s="157" t="s">
        <v>160</v>
      </c>
      <c r="M31" s="204">
        <v>43606</v>
      </c>
      <c r="N31" s="143" t="str">
        <f t="shared" si="3"/>
        <v>2019</v>
      </c>
      <c r="O31" s="143" t="str">
        <f t="shared" si="4"/>
        <v>May</v>
      </c>
      <c r="P31" s="157" t="s">
        <v>162</v>
      </c>
      <c r="Q31" s="146" t="s">
        <v>271</v>
      </c>
      <c r="R31" s="157" t="s">
        <v>45</v>
      </c>
      <c r="S31" s="141" t="s">
        <v>20</v>
      </c>
      <c r="T31" s="204">
        <v>43689</v>
      </c>
      <c r="U31" s="145" t="str">
        <f t="shared" si="5"/>
        <v>2019</v>
      </c>
      <c r="V31" s="145" t="str">
        <f t="shared" si="6"/>
        <v>Aug</v>
      </c>
      <c r="W31" s="141">
        <f t="shared" ca="1" si="0"/>
        <v>91</v>
      </c>
      <c r="X31" s="157" t="s">
        <v>95</v>
      </c>
      <c r="Y31" s="157">
        <f t="shared" ca="1" si="7"/>
        <v>2184</v>
      </c>
      <c r="Z31" s="158">
        <v>21.84</v>
      </c>
      <c r="AA31" s="148">
        <v>1310.4000000000001</v>
      </c>
      <c r="AB31" s="148">
        <f t="shared" si="8"/>
        <v>60.000000000000007</v>
      </c>
      <c r="AC31" s="204">
        <v>43579</v>
      </c>
      <c r="AD31" s="146" t="str">
        <f t="shared" si="9"/>
        <v>2019</v>
      </c>
      <c r="AE31" s="150" t="str">
        <f t="shared" si="10"/>
        <v>Apr</v>
      </c>
    </row>
    <row r="32" spans="2:31" x14ac:dyDescent="0.25">
      <c r="B32" s="152">
        <v>8</v>
      </c>
      <c r="C32" s="157" t="s">
        <v>74</v>
      </c>
      <c r="D32" s="154" t="s">
        <v>67</v>
      </c>
      <c r="E32" s="157" t="s">
        <v>118</v>
      </c>
      <c r="F32" s="141">
        <v>130</v>
      </c>
      <c r="G32" s="155" t="s">
        <v>140</v>
      </c>
      <c r="H32" s="204">
        <v>43565</v>
      </c>
      <c r="I32" s="143" t="str">
        <f t="shared" si="1"/>
        <v>2019</v>
      </c>
      <c r="J32" s="143" t="str">
        <f t="shared" si="2"/>
        <v>Apr</v>
      </c>
      <c r="K32" s="204">
        <v>43580</v>
      </c>
      <c r="L32" s="157" t="s">
        <v>156</v>
      </c>
      <c r="M32" s="204">
        <v>43616</v>
      </c>
      <c r="N32" s="143" t="str">
        <f t="shared" si="3"/>
        <v>2019</v>
      </c>
      <c r="O32" s="143" t="str">
        <f t="shared" si="4"/>
        <v>May</v>
      </c>
      <c r="P32" s="157" t="s">
        <v>165</v>
      </c>
      <c r="Q32" s="146" t="s">
        <v>266</v>
      </c>
      <c r="R32" s="157" t="s">
        <v>46</v>
      </c>
      <c r="S32" s="141" t="s">
        <v>20</v>
      </c>
      <c r="T32" s="204">
        <v>44136</v>
      </c>
      <c r="U32" s="145" t="str">
        <f t="shared" si="5"/>
        <v>2020</v>
      </c>
      <c r="V32" s="145" t="str">
        <f t="shared" si="6"/>
        <v>Nov</v>
      </c>
      <c r="W32" s="141">
        <f t="shared" ca="1" si="0"/>
        <v>408</v>
      </c>
      <c r="X32" s="157" t="s">
        <v>96</v>
      </c>
      <c r="Y32" s="157">
        <f t="shared" ca="1" si="7"/>
        <v>9792</v>
      </c>
      <c r="Z32" s="158">
        <v>97.92</v>
      </c>
      <c r="AA32" s="148">
        <v>4896</v>
      </c>
      <c r="AB32" s="148">
        <f t="shared" si="8"/>
        <v>50</v>
      </c>
      <c r="AC32" s="204">
        <v>43583</v>
      </c>
      <c r="AD32" s="146" t="str">
        <f t="shared" si="9"/>
        <v>2019</v>
      </c>
      <c r="AE32" s="150" t="str">
        <f t="shared" si="10"/>
        <v>Apr</v>
      </c>
    </row>
    <row r="33" spans="2:31" x14ac:dyDescent="0.25">
      <c r="B33" s="152">
        <v>9</v>
      </c>
      <c r="C33" s="157" t="s">
        <v>75</v>
      </c>
      <c r="D33" s="154" t="s">
        <v>68</v>
      </c>
      <c r="E33" s="157" t="s">
        <v>115</v>
      </c>
      <c r="F33" s="141">
        <v>131</v>
      </c>
      <c r="G33" s="155" t="s">
        <v>141</v>
      </c>
      <c r="H33" s="204">
        <v>43572</v>
      </c>
      <c r="I33" s="143" t="str">
        <f t="shared" si="1"/>
        <v>2019</v>
      </c>
      <c r="J33" s="143" t="str">
        <f t="shared" si="2"/>
        <v>Apr</v>
      </c>
      <c r="K33" s="204">
        <v>43575</v>
      </c>
      <c r="L33" s="157" t="s">
        <v>160</v>
      </c>
      <c r="M33" s="204">
        <v>43617</v>
      </c>
      <c r="N33" s="143" t="str">
        <f t="shared" si="3"/>
        <v>2019</v>
      </c>
      <c r="O33" s="143" t="str">
        <f t="shared" si="4"/>
        <v>Jun</v>
      </c>
      <c r="P33" s="157" t="s">
        <v>164</v>
      </c>
      <c r="Q33" s="146" t="s">
        <v>17</v>
      </c>
      <c r="R33" s="157" t="s">
        <v>47</v>
      </c>
      <c r="S33" s="141" t="s">
        <v>20</v>
      </c>
      <c r="T33" s="204">
        <v>43674</v>
      </c>
      <c r="U33" s="145" t="str">
        <f t="shared" si="5"/>
        <v>2019</v>
      </c>
      <c r="V33" s="145" t="str">
        <f t="shared" si="6"/>
        <v>Jul</v>
      </c>
      <c r="W33" s="141">
        <f t="shared" ca="1" si="0"/>
        <v>73</v>
      </c>
      <c r="X33" s="157" t="s">
        <v>97</v>
      </c>
      <c r="Y33" s="157">
        <f t="shared" ca="1" si="7"/>
        <v>1752</v>
      </c>
      <c r="Z33" s="158">
        <v>52.559999999999995</v>
      </c>
      <c r="AA33" s="148">
        <v>7883.9999999999991</v>
      </c>
      <c r="AB33" s="148">
        <f t="shared" si="8"/>
        <v>150</v>
      </c>
      <c r="AC33" s="204">
        <v>43578</v>
      </c>
      <c r="AD33" s="146" t="str">
        <f t="shared" si="9"/>
        <v>2019</v>
      </c>
      <c r="AE33" s="150" t="str">
        <f t="shared" si="10"/>
        <v>Apr</v>
      </c>
    </row>
    <row r="34" spans="2:31" x14ac:dyDescent="0.25">
      <c r="B34" s="152">
        <v>10</v>
      </c>
      <c r="C34" s="157" t="s">
        <v>76</v>
      </c>
      <c r="D34" s="154" t="s">
        <v>55</v>
      </c>
      <c r="E34" s="157" t="s">
        <v>116</v>
      </c>
      <c r="F34" s="141">
        <v>132</v>
      </c>
      <c r="G34" s="155" t="s">
        <v>142</v>
      </c>
      <c r="H34" s="204">
        <v>43575</v>
      </c>
      <c r="I34" s="143" t="str">
        <f t="shared" si="1"/>
        <v>2019</v>
      </c>
      <c r="J34" s="143" t="str">
        <f t="shared" si="2"/>
        <v>Apr</v>
      </c>
      <c r="K34" s="204">
        <v>43581</v>
      </c>
      <c r="L34" s="157" t="s">
        <v>158</v>
      </c>
      <c r="M34" s="204">
        <v>43626</v>
      </c>
      <c r="N34" s="143" t="str">
        <f t="shared" si="3"/>
        <v>2019</v>
      </c>
      <c r="O34" s="143" t="str">
        <f t="shared" si="4"/>
        <v>Jun</v>
      </c>
      <c r="P34" s="157" t="s">
        <v>165</v>
      </c>
      <c r="Q34" s="146" t="s">
        <v>266</v>
      </c>
      <c r="R34" s="157" t="s">
        <v>48</v>
      </c>
      <c r="S34" s="141" t="s">
        <v>20</v>
      </c>
      <c r="T34" s="204">
        <v>43947</v>
      </c>
      <c r="U34" s="145" t="str">
        <f t="shared" si="5"/>
        <v>2020</v>
      </c>
      <c r="V34" s="145" t="str">
        <f t="shared" si="6"/>
        <v>Apr</v>
      </c>
      <c r="W34" s="141">
        <f t="shared" ca="1" si="0"/>
        <v>265</v>
      </c>
      <c r="X34" s="157" t="s">
        <v>98</v>
      </c>
      <c r="Y34" s="157">
        <f t="shared" ca="1" si="7"/>
        <v>6360</v>
      </c>
      <c r="Z34" s="158">
        <v>190.79999999999998</v>
      </c>
      <c r="AA34" s="148">
        <v>9540</v>
      </c>
      <c r="AB34" s="148">
        <f t="shared" si="8"/>
        <v>50.000000000000007</v>
      </c>
      <c r="AC34" s="204">
        <v>43584</v>
      </c>
      <c r="AD34" s="146" t="str">
        <f t="shared" si="9"/>
        <v>2019</v>
      </c>
      <c r="AE34" s="150" t="str">
        <f t="shared" si="10"/>
        <v>Apr</v>
      </c>
    </row>
    <row r="35" spans="2:31" x14ac:dyDescent="0.25">
      <c r="B35" s="152">
        <v>11</v>
      </c>
      <c r="C35" s="157" t="s">
        <v>77</v>
      </c>
      <c r="D35" s="154" t="s">
        <v>56</v>
      </c>
      <c r="E35" s="157" t="s">
        <v>117</v>
      </c>
      <c r="F35" s="141">
        <v>133</v>
      </c>
      <c r="G35" s="155" t="s">
        <v>143</v>
      </c>
      <c r="H35" s="204">
        <v>43585</v>
      </c>
      <c r="I35" s="143" t="str">
        <f t="shared" si="1"/>
        <v>2019</v>
      </c>
      <c r="J35" s="143" t="str">
        <f t="shared" si="2"/>
        <v>Apr</v>
      </c>
      <c r="K35" s="204">
        <v>43600</v>
      </c>
      <c r="L35" s="157" t="s">
        <v>161</v>
      </c>
      <c r="M35" s="204">
        <v>43628</v>
      </c>
      <c r="N35" s="143" t="str">
        <f t="shared" si="3"/>
        <v>2019</v>
      </c>
      <c r="O35" s="143" t="str">
        <f t="shared" si="4"/>
        <v>Jun</v>
      </c>
      <c r="P35" s="157" t="s">
        <v>165</v>
      </c>
      <c r="Q35" s="146" t="s">
        <v>266</v>
      </c>
      <c r="R35" s="157" t="s">
        <v>49</v>
      </c>
      <c r="S35" s="141" t="s">
        <v>20</v>
      </c>
      <c r="T35" s="204">
        <v>43702</v>
      </c>
      <c r="U35" s="145" t="str">
        <f t="shared" si="5"/>
        <v>2019</v>
      </c>
      <c r="V35" s="145" t="str">
        <f t="shared" si="6"/>
        <v>Aug</v>
      </c>
      <c r="W35" s="141">
        <f t="shared" ca="1" si="0"/>
        <v>84</v>
      </c>
      <c r="X35" s="157" t="s">
        <v>99</v>
      </c>
      <c r="Y35" s="157">
        <f t="shared" ca="1" si="7"/>
        <v>2016</v>
      </c>
      <c r="Z35" s="158">
        <v>20.16</v>
      </c>
      <c r="AA35" s="148">
        <v>1008</v>
      </c>
      <c r="AB35" s="148">
        <f t="shared" si="8"/>
        <v>50</v>
      </c>
      <c r="AC35" s="204">
        <v>43603</v>
      </c>
      <c r="AD35" s="146" t="str">
        <f t="shared" si="9"/>
        <v>2019</v>
      </c>
      <c r="AE35" s="150" t="str">
        <f t="shared" si="10"/>
        <v>May</v>
      </c>
    </row>
    <row r="36" spans="2:31" x14ac:dyDescent="0.25">
      <c r="B36" s="152">
        <v>12</v>
      </c>
      <c r="C36" s="157" t="s">
        <v>78</v>
      </c>
      <c r="D36" s="154" t="s">
        <v>57</v>
      </c>
      <c r="E36" s="157" t="s">
        <v>118</v>
      </c>
      <c r="F36" s="141">
        <v>134</v>
      </c>
      <c r="G36" s="155" t="s">
        <v>144</v>
      </c>
      <c r="H36" s="204">
        <v>43585</v>
      </c>
      <c r="I36" s="143" t="str">
        <f t="shared" si="1"/>
        <v>2019</v>
      </c>
      <c r="J36" s="143" t="str">
        <f t="shared" si="2"/>
        <v>Apr</v>
      </c>
      <c r="K36" s="204">
        <v>43598</v>
      </c>
      <c r="L36" s="157" t="s">
        <v>158</v>
      </c>
      <c r="M36" s="204">
        <v>43630</v>
      </c>
      <c r="N36" s="143" t="str">
        <f t="shared" si="3"/>
        <v>2019</v>
      </c>
      <c r="O36" s="143" t="str">
        <f t="shared" si="4"/>
        <v>Jun</v>
      </c>
      <c r="P36" s="157" t="s">
        <v>164</v>
      </c>
      <c r="Q36" s="146" t="s">
        <v>17</v>
      </c>
      <c r="R36" s="157" t="s">
        <v>50</v>
      </c>
      <c r="S36" s="141" t="s">
        <v>20</v>
      </c>
      <c r="T36" s="204">
        <v>43957</v>
      </c>
      <c r="U36" s="145" t="str">
        <f t="shared" si="5"/>
        <v>2020</v>
      </c>
      <c r="V36" s="145" t="str">
        <f t="shared" si="6"/>
        <v>May</v>
      </c>
      <c r="W36" s="141">
        <f t="shared" ca="1" si="0"/>
        <v>267</v>
      </c>
      <c r="X36" s="157" t="s">
        <v>100</v>
      </c>
      <c r="Y36" s="157">
        <f t="shared" ca="1" si="7"/>
        <v>6408</v>
      </c>
      <c r="Z36" s="158">
        <v>192.23999999999998</v>
      </c>
      <c r="AA36" s="148">
        <v>28835.999999999996</v>
      </c>
      <c r="AB36" s="148">
        <f t="shared" si="8"/>
        <v>150</v>
      </c>
      <c r="AC36" s="204">
        <v>43601</v>
      </c>
      <c r="AD36" s="146" t="str">
        <f t="shared" si="9"/>
        <v>2019</v>
      </c>
      <c r="AE36" s="150" t="str">
        <f t="shared" si="10"/>
        <v>May</v>
      </c>
    </row>
    <row r="37" spans="2:31" x14ac:dyDescent="0.25">
      <c r="B37" s="152">
        <v>13</v>
      </c>
      <c r="C37" s="157" t="s">
        <v>79</v>
      </c>
      <c r="D37" s="154" t="s">
        <v>58</v>
      </c>
      <c r="E37" s="157" t="s">
        <v>111</v>
      </c>
      <c r="F37" s="141">
        <v>135</v>
      </c>
      <c r="G37" s="155" t="s">
        <v>145</v>
      </c>
      <c r="H37" s="204">
        <v>43587</v>
      </c>
      <c r="I37" s="143" t="str">
        <f t="shared" si="1"/>
        <v>2019</v>
      </c>
      <c r="J37" s="143" t="str">
        <f t="shared" si="2"/>
        <v>May</v>
      </c>
      <c r="K37" s="204">
        <v>43599</v>
      </c>
      <c r="L37" s="157" t="s">
        <v>159</v>
      </c>
      <c r="M37" s="204">
        <v>43614</v>
      </c>
      <c r="N37" s="143" t="str">
        <f t="shared" si="3"/>
        <v>2019</v>
      </c>
      <c r="O37" s="143" t="str">
        <f t="shared" si="4"/>
        <v>May</v>
      </c>
      <c r="P37" s="157" t="s">
        <v>164</v>
      </c>
      <c r="Q37" s="146" t="s">
        <v>266</v>
      </c>
      <c r="R37" s="157" t="s">
        <v>51</v>
      </c>
      <c r="S37" s="141" t="s">
        <v>20</v>
      </c>
      <c r="T37" s="204">
        <v>43957</v>
      </c>
      <c r="U37" s="145" t="str">
        <f t="shared" si="5"/>
        <v>2020</v>
      </c>
      <c r="V37" s="145" t="str">
        <f t="shared" si="6"/>
        <v>May</v>
      </c>
      <c r="W37" s="141">
        <f t="shared" ca="1" si="0"/>
        <v>265</v>
      </c>
      <c r="X37" s="157" t="s">
        <v>101</v>
      </c>
      <c r="Y37" s="157">
        <f t="shared" ca="1" si="7"/>
        <v>6360</v>
      </c>
      <c r="Z37" s="158">
        <v>127.2</v>
      </c>
      <c r="AA37" s="148">
        <v>6360</v>
      </c>
      <c r="AB37" s="148">
        <f t="shared" si="8"/>
        <v>50</v>
      </c>
      <c r="AC37" s="204">
        <v>43602</v>
      </c>
      <c r="AD37" s="146" t="str">
        <f t="shared" si="9"/>
        <v>2019</v>
      </c>
      <c r="AE37" s="150" t="str">
        <f t="shared" si="10"/>
        <v>May</v>
      </c>
    </row>
    <row r="38" spans="2:31" x14ac:dyDescent="0.25">
      <c r="B38" s="152">
        <v>10</v>
      </c>
      <c r="C38" s="157" t="s">
        <v>76</v>
      </c>
      <c r="D38" s="154" t="s">
        <v>55</v>
      </c>
      <c r="E38" s="157" t="s">
        <v>116</v>
      </c>
      <c r="F38" s="141">
        <v>136</v>
      </c>
      <c r="G38" s="155" t="s">
        <v>146</v>
      </c>
      <c r="H38" s="204">
        <v>43589</v>
      </c>
      <c r="I38" s="143" t="str">
        <f t="shared" si="1"/>
        <v>2019</v>
      </c>
      <c r="J38" s="143" t="str">
        <f t="shared" si="2"/>
        <v>May</v>
      </c>
      <c r="K38" s="204">
        <v>43602</v>
      </c>
      <c r="L38" s="157" t="s">
        <v>158</v>
      </c>
      <c r="M38" s="204">
        <v>43622</v>
      </c>
      <c r="N38" s="143" t="str">
        <f t="shared" si="3"/>
        <v>2019</v>
      </c>
      <c r="O38" s="143" t="str">
        <f t="shared" si="4"/>
        <v>Jun</v>
      </c>
      <c r="P38" s="157" t="s">
        <v>164</v>
      </c>
      <c r="Q38" s="146" t="s">
        <v>17</v>
      </c>
      <c r="R38" s="157" t="s">
        <v>48</v>
      </c>
      <c r="S38" s="141" t="s">
        <v>20</v>
      </c>
      <c r="T38" s="204">
        <v>44072</v>
      </c>
      <c r="U38" s="145" t="str">
        <f t="shared" si="5"/>
        <v>2020</v>
      </c>
      <c r="V38" s="145" t="str">
        <f t="shared" si="6"/>
        <v>Aug</v>
      </c>
      <c r="W38" s="141">
        <f t="shared" ca="1" si="0"/>
        <v>345</v>
      </c>
      <c r="X38" s="157" t="s">
        <v>98</v>
      </c>
      <c r="Y38" s="157">
        <f t="shared" ca="1" si="7"/>
        <v>8280</v>
      </c>
      <c r="Z38" s="158">
        <v>248.39999999999998</v>
      </c>
      <c r="AA38" s="148">
        <v>37260</v>
      </c>
      <c r="AB38" s="148">
        <f t="shared" si="8"/>
        <v>150</v>
      </c>
      <c r="AC38" s="204">
        <v>43605</v>
      </c>
      <c r="AD38" s="146" t="str">
        <f t="shared" si="9"/>
        <v>2019</v>
      </c>
      <c r="AE38" s="150" t="str">
        <f t="shared" si="10"/>
        <v>May</v>
      </c>
    </row>
    <row r="39" spans="2:31" x14ac:dyDescent="0.25">
      <c r="B39" s="152">
        <v>11</v>
      </c>
      <c r="C39" s="157" t="s">
        <v>77</v>
      </c>
      <c r="D39" s="154" t="s">
        <v>56</v>
      </c>
      <c r="E39" s="157" t="s">
        <v>117</v>
      </c>
      <c r="F39" s="141">
        <v>137</v>
      </c>
      <c r="G39" s="155" t="s">
        <v>120</v>
      </c>
      <c r="H39" s="204">
        <v>43590</v>
      </c>
      <c r="I39" s="143" t="str">
        <f t="shared" si="1"/>
        <v>2019</v>
      </c>
      <c r="J39" s="143" t="str">
        <f t="shared" si="2"/>
        <v>May</v>
      </c>
      <c r="K39" s="204">
        <v>43601</v>
      </c>
      <c r="L39" s="157" t="s">
        <v>159</v>
      </c>
      <c r="M39" s="204">
        <v>43631</v>
      </c>
      <c r="N39" s="143" t="str">
        <f t="shared" si="3"/>
        <v>2019</v>
      </c>
      <c r="O39" s="143" t="str">
        <f t="shared" si="4"/>
        <v>Jun</v>
      </c>
      <c r="P39" s="157" t="s">
        <v>162</v>
      </c>
      <c r="Q39" s="146" t="s">
        <v>17</v>
      </c>
      <c r="R39" s="157" t="s">
        <v>49</v>
      </c>
      <c r="S39" s="141" t="s">
        <v>20</v>
      </c>
      <c r="T39" s="204">
        <v>43908</v>
      </c>
      <c r="U39" s="145" t="str">
        <f t="shared" si="5"/>
        <v>2020</v>
      </c>
      <c r="V39" s="145" t="str">
        <f t="shared" si="6"/>
        <v>Mar</v>
      </c>
      <c r="W39" s="141">
        <f t="shared" ca="1" si="0"/>
        <v>228</v>
      </c>
      <c r="X39" s="157" t="s">
        <v>99</v>
      </c>
      <c r="Y39" s="157">
        <f t="shared" ca="1" si="7"/>
        <v>5472</v>
      </c>
      <c r="Z39" s="158">
        <v>164.16</v>
      </c>
      <c r="AA39" s="148">
        <v>24624</v>
      </c>
      <c r="AB39" s="148">
        <f t="shared" si="8"/>
        <v>150</v>
      </c>
      <c r="AC39" s="204">
        <v>43604</v>
      </c>
      <c r="AD39" s="146" t="str">
        <f t="shared" si="9"/>
        <v>2019</v>
      </c>
      <c r="AE39" s="150" t="str">
        <f t="shared" si="10"/>
        <v>May</v>
      </c>
    </row>
    <row r="40" spans="2:31" x14ac:dyDescent="0.25">
      <c r="B40" s="152">
        <v>12</v>
      </c>
      <c r="C40" s="157" t="s">
        <v>78</v>
      </c>
      <c r="D40" s="154" t="s">
        <v>57</v>
      </c>
      <c r="E40" s="157" t="s">
        <v>118</v>
      </c>
      <c r="F40" s="141">
        <v>138</v>
      </c>
      <c r="G40" s="155" t="s">
        <v>147</v>
      </c>
      <c r="H40" s="204">
        <v>43590</v>
      </c>
      <c r="I40" s="143" t="str">
        <f t="shared" si="1"/>
        <v>2019</v>
      </c>
      <c r="J40" s="143" t="str">
        <f t="shared" si="2"/>
        <v>May</v>
      </c>
      <c r="K40" s="204">
        <v>43599</v>
      </c>
      <c r="L40" s="157" t="s">
        <v>156</v>
      </c>
      <c r="M40" s="204">
        <v>43632</v>
      </c>
      <c r="N40" s="143" t="str">
        <f t="shared" si="3"/>
        <v>2019</v>
      </c>
      <c r="O40" s="143" t="str">
        <f t="shared" si="4"/>
        <v>Jun</v>
      </c>
      <c r="P40" s="157" t="s">
        <v>165</v>
      </c>
      <c r="Q40" s="146" t="s">
        <v>272</v>
      </c>
      <c r="R40" s="157" t="s">
        <v>50</v>
      </c>
      <c r="S40" s="141" t="s">
        <v>20</v>
      </c>
      <c r="T40" s="204">
        <v>43770</v>
      </c>
      <c r="U40" s="145" t="str">
        <f t="shared" si="5"/>
        <v>2019</v>
      </c>
      <c r="V40" s="145" t="str">
        <f t="shared" si="6"/>
        <v>Nov</v>
      </c>
      <c r="W40" s="141">
        <f t="shared" ca="1" si="0"/>
        <v>130</v>
      </c>
      <c r="X40" s="157" t="s">
        <v>100</v>
      </c>
      <c r="Y40" s="157">
        <f t="shared" ca="1" si="7"/>
        <v>3120</v>
      </c>
      <c r="Z40" s="158">
        <v>31.2</v>
      </c>
      <c r="AA40" s="148">
        <v>2496</v>
      </c>
      <c r="AB40" s="148">
        <f t="shared" si="8"/>
        <v>80</v>
      </c>
      <c r="AC40" s="204">
        <v>43602</v>
      </c>
      <c r="AD40" s="146" t="str">
        <f t="shared" si="9"/>
        <v>2019</v>
      </c>
      <c r="AE40" s="150" t="str">
        <f t="shared" si="10"/>
        <v>May</v>
      </c>
    </row>
    <row r="41" spans="2:31" x14ac:dyDescent="0.25">
      <c r="B41" s="152">
        <v>13</v>
      </c>
      <c r="C41" s="157" t="s">
        <v>79</v>
      </c>
      <c r="D41" s="154" t="s">
        <v>58</v>
      </c>
      <c r="E41" s="157" t="s">
        <v>111</v>
      </c>
      <c r="F41" s="141">
        <v>139</v>
      </c>
      <c r="G41" s="155" t="s">
        <v>148</v>
      </c>
      <c r="H41" s="204">
        <v>43596</v>
      </c>
      <c r="I41" s="143" t="str">
        <f t="shared" si="1"/>
        <v>2019</v>
      </c>
      <c r="J41" s="143" t="str">
        <f t="shared" si="2"/>
        <v>May</v>
      </c>
      <c r="K41" s="204">
        <v>43610</v>
      </c>
      <c r="L41" s="151" t="s">
        <v>160</v>
      </c>
      <c r="M41" s="204">
        <v>43638</v>
      </c>
      <c r="N41" s="143" t="str">
        <f t="shared" si="3"/>
        <v>2019</v>
      </c>
      <c r="O41" s="143" t="str">
        <f t="shared" si="4"/>
        <v>Jun</v>
      </c>
      <c r="P41" s="157" t="s">
        <v>167</v>
      </c>
      <c r="Q41" s="146" t="s">
        <v>17</v>
      </c>
      <c r="R41" s="157" t="s">
        <v>51</v>
      </c>
      <c r="S41" s="141" t="s">
        <v>167</v>
      </c>
      <c r="T41" s="204" t="s">
        <v>274</v>
      </c>
      <c r="U41" s="145" t="str">
        <f t="shared" si="5"/>
        <v/>
      </c>
      <c r="V41" s="145" t="str">
        <f t="shared" si="6"/>
        <v/>
      </c>
      <c r="W41" s="141">
        <f t="shared" ca="1" si="0"/>
        <v>1358</v>
      </c>
      <c r="X41" s="157" t="s">
        <v>101</v>
      </c>
      <c r="Y41" s="157">
        <f t="shared" ca="1" si="7"/>
        <v>32592</v>
      </c>
      <c r="Z41" s="158">
        <v>976.31999999999994</v>
      </c>
      <c r="AA41" s="148">
        <v>146448</v>
      </c>
      <c r="AB41" s="148">
        <f t="shared" si="8"/>
        <v>150</v>
      </c>
      <c r="AC41" s="204"/>
      <c r="AD41" s="157" t="str">
        <f t="shared" si="9"/>
        <v/>
      </c>
      <c r="AE41" s="150" t="str">
        <f t="shared" si="10"/>
        <v/>
      </c>
    </row>
    <row r="42" spans="2:31" x14ac:dyDescent="0.25">
      <c r="B42" s="152">
        <v>14</v>
      </c>
      <c r="C42" s="157" t="s">
        <v>80</v>
      </c>
      <c r="D42" s="154" t="s">
        <v>59</v>
      </c>
      <c r="E42" s="157" t="s">
        <v>112</v>
      </c>
      <c r="F42" s="141">
        <v>140</v>
      </c>
      <c r="G42" s="155" t="s">
        <v>149</v>
      </c>
      <c r="H42" s="204">
        <v>43597</v>
      </c>
      <c r="I42" s="143" t="str">
        <f t="shared" si="1"/>
        <v>2019</v>
      </c>
      <c r="J42" s="143" t="str">
        <f t="shared" si="2"/>
        <v>May</v>
      </c>
      <c r="K42" s="204">
        <v>43602</v>
      </c>
      <c r="L42" s="157" t="s">
        <v>156</v>
      </c>
      <c r="M42" s="204">
        <v>43629</v>
      </c>
      <c r="N42" s="143" t="str">
        <f t="shared" si="3"/>
        <v>2019</v>
      </c>
      <c r="O42" s="143" t="str">
        <f t="shared" si="4"/>
        <v>Jun</v>
      </c>
      <c r="P42" s="157" t="s">
        <v>164</v>
      </c>
      <c r="Q42" s="146" t="s">
        <v>17</v>
      </c>
      <c r="R42" s="157" t="s">
        <v>52</v>
      </c>
      <c r="S42" s="141" t="s">
        <v>20</v>
      </c>
      <c r="T42" s="204">
        <v>43882</v>
      </c>
      <c r="U42" s="145" t="str">
        <f t="shared" si="5"/>
        <v>2020</v>
      </c>
      <c r="V42" s="145" t="str">
        <f t="shared" si="6"/>
        <v>Feb</v>
      </c>
      <c r="W42" s="141">
        <f t="shared" ca="1" si="0"/>
        <v>205</v>
      </c>
      <c r="X42" s="157" t="s">
        <v>102</v>
      </c>
      <c r="Y42" s="157">
        <f t="shared" ca="1" si="7"/>
        <v>4920</v>
      </c>
      <c r="Z42" s="158">
        <v>98.4</v>
      </c>
      <c r="AA42" s="148">
        <v>14760</v>
      </c>
      <c r="AB42" s="148">
        <f t="shared" si="8"/>
        <v>150</v>
      </c>
      <c r="AC42" s="204">
        <v>43605</v>
      </c>
      <c r="AD42" s="146" t="str">
        <f t="shared" si="9"/>
        <v>2019</v>
      </c>
      <c r="AE42" s="150" t="str">
        <f t="shared" si="10"/>
        <v>May</v>
      </c>
    </row>
    <row r="43" spans="2:31" x14ac:dyDescent="0.25">
      <c r="B43" s="152">
        <v>15</v>
      </c>
      <c r="C43" s="157" t="s">
        <v>81</v>
      </c>
      <c r="D43" s="154" t="s">
        <v>60</v>
      </c>
      <c r="E43" s="157" t="s">
        <v>113</v>
      </c>
      <c r="F43" s="141">
        <v>141</v>
      </c>
      <c r="G43" s="155" t="s">
        <v>120</v>
      </c>
      <c r="H43" s="204">
        <v>43597</v>
      </c>
      <c r="I43" s="143" t="str">
        <f t="shared" si="1"/>
        <v>2019</v>
      </c>
      <c r="J43" s="143" t="str">
        <f t="shared" si="2"/>
        <v>May</v>
      </c>
      <c r="K43" s="204">
        <v>43602</v>
      </c>
      <c r="L43" s="157" t="s">
        <v>158</v>
      </c>
      <c r="M43" s="204">
        <v>43636</v>
      </c>
      <c r="N43" s="143" t="str">
        <f t="shared" si="3"/>
        <v>2019</v>
      </c>
      <c r="O43" s="143" t="str">
        <f t="shared" si="4"/>
        <v>Jun</v>
      </c>
      <c r="P43" s="157" t="s">
        <v>164</v>
      </c>
      <c r="Q43" s="146" t="s">
        <v>17</v>
      </c>
      <c r="R43" s="157" t="s">
        <v>53</v>
      </c>
      <c r="S43" s="141" t="s">
        <v>20</v>
      </c>
      <c r="T43" s="204">
        <v>43874</v>
      </c>
      <c r="U43" s="145" t="str">
        <f t="shared" si="5"/>
        <v>2020</v>
      </c>
      <c r="V43" s="145" t="str">
        <f t="shared" si="6"/>
        <v>Feb</v>
      </c>
      <c r="W43" s="141">
        <f t="shared" ca="1" si="0"/>
        <v>199</v>
      </c>
      <c r="X43" s="157" t="s">
        <v>103</v>
      </c>
      <c r="Y43" s="157">
        <f t="shared" ca="1" si="7"/>
        <v>4776</v>
      </c>
      <c r="Z43" s="158">
        <v>95.52</v>
      </c>
      <c r="AA43" s="148">
        <v>14328</v>
      </c>
      <c r="AB43" s="148">
        <f t="shared" si="8"/>
        <v>150</v>
      </c>
      <c r="AC43" s="204">
        <v>43605</v>
      </c>
      <c r="AD43" s="146" t="str">
        <f t="shared" si="9"/>
        <v>2019</v>
      </c>
      <c r="AE43" s="150" t="str">
        <f t="shared" si="10"/>
        <v>May</v>
      </c>
    </row>
    <row r="44" spans="2:31" x14ac:dyDescent="0.25">
      <c r="B44" s="152">
        <v>16</v>
      </c>
      <c r="C44" s="157" t="s">
        <v>82</v>
      </c>
      <c r="D44" s="154" t="s">
        <v>61</v>
      </c>
      <c r="E44" s="157" t="s">
        <v>114</v>
      </c>
      <c r="F44" s="141">
        <v>142</v>
      </c>
      <c r="G44" s="155" t="s">
        <v>150</v>
      </c>
      <c r="H44" s="204">
        <v>43600</v>
      </c>
      <c r="I44" s="143" t="str">
        <f t="shared" si="1"/>
        <v>2019</v>
      </c>
      <c r="J44" s="143" t="str">
        <f t="shared" si="2"/>
        <v>May</v>
      </c>
      <c r="K44" s="204">
        <v>43614</v>
      </c>
      <c r="L44" s="157" t="s">
        <v>161</v>
      </c>
      <c r="M44" s="204">
        <v>43641</v>
      </c>
      <c r="N44" s="143" t="str">
        <f t="shared" si="3"/>
        <v>2019</v>
      </c>
      <c r="O44" s="143" t="str">
        <f t="shared" si="4"/>
        <v>Jun</v>
      </c>
      <c r="P44" s="157" t="s">
        <v>162</v>
      </c>
      <c r="Q44" s="146" t="s">
        <v>29</v>
      </c>
      <c r="R44" s="157" t="s">
        <v>54</v>
      </c>
      <c r="S44" s="141" t="s">
        <v>20</v>
      </c>
      <c r="T44" s="204">
        <v>44120</v>
      </c>
      <c r="U44" s="145" t="str">
        <f t="shared" si="5"/>
        <v>2020</v>
      </c>
      <c r="V44" s="145" t="str">
        <f t="shared" si="6"/>
        <v>Oct</v>
      </c>
      <c r="W44" s="141">
        <f t="shared" ca="1" si="0"/>
        <v>373</v>
      </c>
      <c r="X44" s="157" t="s">
        <v>104</v>
      </c>
      <c r="Y44" s="157">
        <f t="shared" ca="1" si="7"/>
        <v>8952</v>
      </c>
      <c r="Z44" s="158">
        <v>89.52</v>
      </c>
      <c r="AA44" s="148">
        <v>2685.6</v>
      </c>
      <c r="AB44" s="148">
        <f t="shared" si="8"/>
        <v>30</v>
      </c>
      <c r="AC44" s="204">
        <v>43617</v>
      </c>
      <c r="AD44" s="146" t="str">
        <f t="shared" si="9"/>
        <v>2019</v>
      </c>
      <c r="AE44" s="150" t="str">
        <f t="shared" si="10"/>
        <v>Jun</v>
      </c>
    </row>
    <row r="45" spans="2:31" x14ac:dyDescent="0.25">
      <c r="B45" s="152">
        <v>17</v>
      </c>
      <c r="C45" s="157" t="s">
        <v>83</v>
      </c>
      <c r="D45" s="154" t="s">
        <v>33</v>
      </c>
      <c r="E45" s="157" t="s">
        <v>115</v>
      </c>
      <c r="F45" s="141">
        <v>143</v>
      </c>
      <c r="G45" s="155" t="s">
        <v>151</v>
      </c>
      <c r="H45" s="204">
        <v>43606</v>
      </c>
      <c r="I45" s="143" t="str">
        <f t="shared" si="1"/>
        <v>2019</v>
      </c>
      <c r="J45" s="143" t="str">
        <f t="shared" si="2"/>
        <v>May</v>
      </c>
      <c r="K45" s="204">
        <v>43620</v>
      </c>
      <c r="L45" s="157" t="s">
        <v>158</v>
      </c>
      <c r="M45" s="204">
        <v>43650</v>
      </c>
      <c r="N45" s="143" t="str">
        <f t="shared" si="3"/>
        <v>2019</v>
      </c>
      <c r="O45" s="143" t="str">
        <f t="shared" si="4"/>
        <v>Jul</v>
      </c>
      <c r="P45" s="157" t="s">
        <v>165</v>
      </c>
      <c r="Q45" s="146" t="s">
        <v>17</v>
      </c>
      <c r="R45" s="157" t="s">
        <v>38</v>
      </c>
      <c r="S45" s="141" t="s">
        <v>20</v>
      </c>
      <c r="T45" s="204">
        <v>43649</v>
      </c>
      <c r="U45" s="145" t="str">
        <f t="shared" si="5"/>
        <v>2019</v>
      </c>
      <c r="V45" s="145" t="str">
        <f t="shared" si="6"/>
        <v>Jul</v>
      </c>
      <c r="W45" s="141">
        <f t="shared" ca="1" si="0"/>
        <v>32</v>
      </c>
      <c r="X45" s="157" t="s">
        <v>105</v>
      </c>
      <c r="Y45" s="157">
        <f t="shared" ca="1" si="7"/>
        <v>768</v>
      </c>
      <c r="Z45" s="158">
        <v>7.68</v>
      </c>
      <c r="AA45" s="148">
        <v>1152</v>
      </c>
      <c r="AB45" s="148">
        <f t="shared" si="8"/>
        <v>150</v>
      </c>
      <c r="AC45" s="204">
        <v>43623</v>
      </c>
      <c r="AD45" s="146" t="str">
        <f t="shared" si="9"/>
        <v>2019</v>
      </c>
      <c r="AE45" s="150" t="str">
        <f t="shared" si="10"/>
        <v>Jun</v>
      </c>
    </row>
    <row r="46" spans="2:31" x14ac:dyDescent="0.25">
      <c r="B46" s="152">
        <v>18</v>
      </c>
      <c r="C46" s="157" t="s">
        <v>84</v>
      </c>
      <c r="D46" s="154" t="s">
        <v>89</v>
      </c>
      <c r="E46" s="157" t="s">
        <v>112</v>
      </c>
      <c r="F46" s="141">
        <v>144</v>
      </c>
      <c r="G46" s="155" t="s">
        <v>152</v>
      </c>
      <c r="H46" s="204">
        <v>43607</v>
      </c>
      <c r="I46" s="143" t="str">
        <f t="shared" si="1"/>
        <v>2019</v>
      </c>
      <c r="J46" s="143" t="str">
        <f t="shared" si="2"/>
        <v>May</v>
      </c>
      <c r="K46" s="204">
        <v>43620</v>
      </c>
      <c r="L46" s="157" t="s">
        <v>161</v>
      </c>
      <c r="M46" s="204">
        <v>43650</v>
      </c>
      <c r="N46" s="143" t="str">
        <f t="shared" si="3"/>
        <v>2019</v>
      </c>
      <c r="O46" s="143" t="str">
        <f t="shared" si="4"/>
        <v>Jul</v>
      </c>
      <c r="P46" s="157" t="s">
        <v>162</v>
      </c>
      <c r="Q46" s="146" t="s">
        <v>17</v>
      </c>
      <c r="R46" s="157" t="s">
        <v>40</v>
      </c>
      <c r="S46" s="141" t="s">
        <v>20</v>
      </c>
      <c r="T46" s="204">
        <v>43979</v>
      </c>
      <c r="U46" s="145" t="str">
        <f t="shared" si="5"/>
        <v>2020</v>
      </c>
      <c r="V46" s="145" t="str">
        <f t="shared" si="6"/>
        <v>May</v>
      </c>
      <c r="W46" s="141">
        <f t="shared" ca="1" si="0"/>
        <v>267</v>
      </c>
      <c r="X46" s="157" t="s">
        <v>106</v>
      </c>
      <c r="Y46" s="157">
        <f t="shared" ca="1" si="7"/>
        <v>6408</v>
      </c>
      <c r="Z46" s="158">
        <v>192.23999999999998</v>
      </c>
      <c r="AA46" s="148">
        <v>28835.999999999996</v>
      </c>
      <c r="AB46" s="148">
        <f t="shared" si="8"/>
        <v>150</v>
      </c>
      <c r="AC46" s="204">
        <v>43623</v>
      </c>
      <c r="AD46" s="146" t="str">
        <f t="shared" si="9"/>
        <v>2019</v>
      </c>
      <c r="AE46" s="150" t="str">
        <f t="shared" si="10"/>
        <v>Jun</v>
      </c>
    </row>
    <row r="47" spans="2:31" x14ac:dyDescent="0.25">
      <c r="B47" s="152">
        <v>19</v>
      </c>
      <c r="C47" s="157" t="s">
        <v>85</v>
      </c>
      <c r="D47" s="154" t="s">
        <v>90</v>
      </c>
      <c r="E47" s="157" t="s">
        <v>113</v>
      </c>
      <c r="F47" s="141">
        <v>145</v>
      </c>
      <c r="G47" s="155" t="s">
        <v>153</v>
      </c>
      <c r="H47" s="204">
        <v>43610</v>
      </c>
      <c r="I47" s="143" t="str">
        <f t="shared" si="1"/>
        <v>2019</v>
      </c>
      <c r="J47" s="143" t="str">
        <f t="shared" si="2"/>
        <v>May</v>
      </c>
      <c r="K47" s="204">
        <v>43615</v>
      </c>
      <c r="L47" s="157" t="s">
        <v>159</v>
      </c>
      <c r="M47" s="204">
        <v>43642</v>
      </c>
      <c r="N47" s="143" t="str">
        <f t="shared" si="3"/>
        <v>2019</v>
      </c>
      <c r="O47" s="143" t="str">
        <f t="shared" si="4"/>
        <v>Jun</v>
      </c>
      <c r="P47" s="157" t="s">
        <v>162</v>
      </c>
      <c r="Q47" s="146" t="s">
        <v>17</v>
      </c>
      <c r="R47" s="157" t="s">
        <v>34</v>
      </c>
      <c r="S47" s="141" t="s">
        <v>20</v>
      </c>
      <c r="T47" s="204">
        <v>43859</v>
      </c>
      <c r="U47" s="145" t="str">
        <f t="shared" si="5"/>
        <v>2020</v>
      </c>
      <c r="V47" s="145" t="str">
        <f t="shared" si="6"/>
        <v>Jan</v>
      </c>
      <c r="W47" s="141">
        <f t="shared" ca="1" si="0"/>
        <v>178</v>
      </c>
      <c r="X47" s="157" t="s">
        <v>107</v>
      </c>
      <c r="Y47" s="157">
        <f t="shared" ca="1" si="7"/>
        <v>4272</v>
      </c>
      <c r="Z47" s="158">
        <v>42.72</v>
      </c>
      <c r="AA47" s="148">
        <v>6408</v>
      </c>
      <c r="AB47" s="148">
        <f t="shared" si="8"/>
        <v>150</v>
      </c>
      <c r="AC47" s="204">
        <v>43618</v>
      </c>
      <c r="AD47" s="146" t="str">
        <f t="shared" si="9"/>
        <v>2019</v>
      </c>
      <c r="AE47" s="150" t="str">
        <f t="shared" si="10"/>
        <v>Jun</v>
      </c>
    </row>
    <row r="48" spans="2:31" x14ac:dyDescent="0.25">
      <c r="B48" s="152">
        <v>20</v>
      </c>
      <c r="C48" s="157" t="s">
        <v>86</v>
      </c>
      <c r="D48" s="154" t="s">
        <v>91</v>
      </c>
      <c r="E48" s="157" t="s">
        <v>114</v>
      </c>
      <c r="F48" s="141">
        <v>146</v>
      </c>
      <c r="G48" s="155" t="s">
        <v>120</v>
      </c>
      <c r="H48" s="204">
        <v>43614</v>
      </c>
      <c r="I48" s="143" t="str">
        <f t="shared" si="1"/>
        <v>2019</v>
      </c>
      <c r="J48" s="143" t="str">
        <f t="shared" si="2"/>
        <v>May</v>
      </c>
      <c r="K48" s="204">
        <v>43623</v>
      </c>
      <c r="L48" s="157" t="s">
        <v>157</v>
      </c>
      <c r="M48" s="204">
        <v>43641</v>
      </c>
      <c r="N48" s="143" t="str">
        <f t="shared" si="3"/>
        <v>2019</v>
      </c>
      <c r="O48" s="143" t="str">
        <f t="shared" si="4"/>
        <v>Jun</v>
      </c>
      <c r="P48" s="157" t="s">
        <v>164</v>
      </c>
      <c r="Q48" s="146" t="s">
        <v>17</v>
      </c>
      <c r="R48" s="157" t="s">
        <v>35</v>
      </c>
      <c r="S48" s="141" t="s">
        <v>20</v>
      </c>
      <c r="T48" s="204">
        <v>44161</v>
      </c>
      <c r="U48" s="145" t="str">
        <f t="shared" si="5"/>
        <v>2020</v>
      </c>
      <c r="V48" s="145" t="str">
        <f t="shared" si="6"/>
        <v>Nov</v>
      </c>
      <c r="W48" s="141">
        <f t="shared" ca="1" si="0"/>
        <v>392</v>
      </c>
      <c r="X48" s="157" t="s">
        <v>108</v>
      </c>
      <c r="Y48" s="157">
        <f t="shared" ca="1" si="7"/>
        <v>9408</v>
      </c>
      <c r="Z48" s="158">
        <v>188.16</v>
      </c>
      <c r="AA48" s="148">
        <v>28224</v>
      </c>
      <c r="AB48" s="148">
        <f t="shared" si="8"/>
        <v>150</v>
      </c>
      <c r="AC48" s="204">
        <v>43626</v>
      </c>
      <c r="AD48" s="146" t="str">
        <f t="shared" si="9"/>
        <v>2019</v>
      </c>
      <c r="AE48" s="150" t="str">
        <f t="shared" si="10"/>
        <v>Jun</v>
      </c>
    </row>
    <row r="49" spans="2:31" x14ac:dyDescent="0.25">
      <c r="B49" s="152">
        <v>21</v>
      </c>
      <c r="C49" s="157" t="s">
        <v>87</v>
      </c>
      <c r="D49" s="154" t="s">
        <v>92</v>
      </c>
      <c r="E49" s="157" t="s">
        <v>115</v>
      </c>
      <c r="F49" s="141">
        <v>147</v>
      </c>
      <c r="G49" s="155" t="s">
        <v>120</v>
      </c>
      <c r="H49" s="204">
        <v>43615</v>
      </c>
      <c r="I49" s="143" t="str">
        <f t="shared" si="1"/>
        <v>2019</v>
      </c>
      <c r="J49" s="143" t="str">
        <f t="shared" si="2"/>
        <v>May</v>
      </c>
      <c r="K49" s="204">
        <v>43627</v>
      </c>
      <c r="L49" s="157" t="s">
        <v>158</v>
      </c>
      <c r="M49" s="204">
        <v>43673</v>
      </c>
      <c r="N49" s="143" t="str">
        <f t="shared" si="3"/>
        <v>2019</v>
      </c>
      <c r="O49" s="143" t="str">
        <f t="shared" si="4"/>
        <v>Jul</v>
      </c>
      <c r="P49" s="157" t="s">
        <v>164</v>
      </c>
      <c r="Q49" s="146" t="s">
        <v>17</v>
      </c>
      <c r="R49" s="157" t="s">
        <v>36</v>
      </c>
      <c r="S49" s="141" t="s">
        <v>20</v>
      </c>
      <c r="T49" s="204">
        <v>44035</v>
      </c>
      <c r="U49" s="145" t="str">
        <f t="shared" si="5"/>
        <v>2020</v>
      </c>
      <c r="V49" s="145" t="str">
        <f t="shared" si="6"/>
        <v>Jul</v>
      </c>
      <c r="W49" s="141">
        <f t="shared" ca="1" si="0"/>
        <v>301</v>
      </c>
      <c r="X49" s="157" t="s">
        <v>109</v>
      </c>
      <c r="Y49" s="157">
        <f t="shared" ca="1" si="7"/>
        <v>7224</v>
      </c>
      <c r="Z49" s="158">
        <v>144.47999999999999</v>
      </c>
      <c r="AA49" s="148">
        <v>21672</v>
      </c>
      <c r="AB49" s="148">
        <f t="shared" si="8"/>
        <v>150</v>
      </c>
      <c r="AC49" s="204">
        <v>43630</v>
      </c>
      <c r="AD49" s="146" t="str">
        <f t="shared" si="9"/>
        <v>2019</v>
      </c>
      <c r="AE49" s="150" t="str">
        <f t="shared" si="10"/>
        <v>Jun</v>
      </c>
    </row>
    <row r="50" spans="2:31" x14ac:dyDescent="0.25">
      <c r="B50" s="152">
        <v>22</v>
      </c>
      <c r="C50" s="157" t="s">
        <v>88</v>
      </c>
      <c r="D50" s="154" t="s">
        <v>39</v>
      </c>
      <c r="E50" s="157" t="s">
        <v>116</v>
      </c>
      <c r="F50" s="141">
        <v>148</v>
      </c>
      <c r="G50" s="155" t="s">
        <v>154</v>
      </c>
      <c r="H50" s="204">
        <v>43616</v>
      </c>
      <c r="I50" s="143" t="str">
        <f t="shared" si="1"/>
        <v>2019</v>
      </c>
      <c r="J50" s="143" t="str">
        <f t="shared" si="2"/>
        <v>May</v>
      </c>
      <c r="K50" s="204">
        <v>43623</v>
      </c>
      <c r="L50" s="157" t="s">
        <v>156</v>
      </c>
      <c r="M50" s="204">
        <v>43659</v>
      </c>
      <c r="N50" s="143" t="str">
        <f t="shared" si="3"/>
        <v>2019</v>
      </c>
      <c r="O50" s="143" t="str">
        <f t="shared" si="4"/>
        <v>Jul</v>
      </c>
      <c r="P50" s="157" t="s">
        <v>165</v>
      </c>
      <c r="Q50" s="146" t="s">
        <v>266</v>
      </c>
      <c r="R50" s="157" t="s">
        <v>37</v>
      </c>
      <c r="S50" s="141" t="s">
        <v>20</v>
      </c>
      <c r="T50" s="204">
        <v>43992</v>
      </c>
      <c r="U50" s="145" t="str">
        <f t="shared" si="5"/>
        <v>2020</v>
      </c>
      <c r="V50" s="145" t="str">
        <f t="shared" si="6"/>
        <v>Jun</v>
      </c>
      <c r="W50" s="141">
        <f t="shared" ca="1" si="0"/>
        <v>269</v>
      </c>
      <c r="X50" s="157" t="s">
        <v>110</v>
      </c>
      <c r="Y50" s="157">
        <f t="shared" ca="1" si="7"/>
        <v>6456</v>
      </c>
      <c r="Z50" s="158">
        <v>64.56</v>
      </c>
      <c r="AA50" s="148">
        <v>3228</v>
      </c>
      <c r="AB50" s="148">
        <f t="shared" si="8"/>
        <v>50</v>
      </c>
      <c r="AC50" s="204">
        <v>43626</v>
      </c>
      <c r="AD50" s="146" t="str">
        <f t="shared" si="9"/>
        <v>2019</v>
      </c>
      <c r="AE50" s="150" t="str">
        <f t="shared" si="10"/>
        <v>Jun</v>
      </c>
    </row>
    <row r="51" spans="2:31" x14ac:dyDescent="0.25">
      <c r="B51" s="152">
        <v>1</v>
      </c>
      <c r="C51" s="153" t="s">
        <v>7</v>
      </c>
      <c r="D51" s="154" t="s">
        <v>8</v>
      </c>
      <c r="E51" s="157" t="s">
        <v>111</v>
      </c>
      <c r="F51" s="141">
        <v>149</v>
      </c>
      <c r="G51" s="155" t="s">
        <v>155</v>
      </c>
      <c r="H51" s="204">
        <v>43620</v>
      </c>
      <c r="I51" s="143" t="str">
        <f t="shared" si="1"/>
        <v>2019</v>
      </c>
      <c r="J51" s="143" t="str">
        <f t="shared" si="2"/>
        <v>Jun</v>
      </c>
      <c r="K51" s="204">
        <v>43635</v>
      </c>
      <c r="L51" s="157" t="s">
        <v>156</v>
      </c>
      <c r="M51" s="204">
        <v>43660</v>
      </c>
      <c r="N51" s="143" t="str">
        <f t="shared" si="3"/>
        <v>2019</v>
      </c>
      <c r="O51" s="143" t="str">
        <f t="shared" si="4"/>
        <v>Jul</v>
      </c>
      <c r="P51" s="157" t="s">
        <v>162</v>
      </c>
      <c r="Q51" s="146" t="s">
        <v>266</v>
      </c>
      <c r="R51" s="157" t="s">
        <v>18</v>
      </c>
      <c r="S51" s="141" t="s">
        <v>20</v>
      </c>
      <c r="T51" s="204">
        <v>43847</v>
      </c>
      <c r="U51" s="145" t="str">
        <f t="shared" si="5"/>
        <v>2020</v>
      </c>
      <c r="V51" s="145" t="str">
        <f t="shared" si="6"/>
        <v>Jan</v>
      </c>
      <c r="W51" s="141">
        <f t="shared" ca="1" si="0"/>
        <v>164</v>
      </c>
      <c r="X51" s="157" t="s">
        <v>89</v>
      </c>
      <c r="Y51" s="157">
        <f t="shared" ca="1" si="7"/>
        <v>3936</v>
      </c>
      <c r="Z51" s="158">
        <v>118.08</v>
      </c>
      <c r="AA51" s="148">
        <v>5904</v>
      </c>
      <c r="AB51" s="148">
        <f t="shared" si="8"/>
        <v>50</v>
      </c>
      <c r="AC51" s="204">
        <v>43638</v>
      </c>
      <c r="AD51" s="146" t="str">
        <f t="shared" si="9"/>
        <v>2019</v>
      </c>
      <c r="AE51" s="150" t="str">
        <f t="shared" si="10"/>
        <v>Jun</v>
      </c>
    </row>
    <row r="52" spans="2:31" x14ac:dyDescent="0.25">
      <c r="B52" s="152">
        <v>2</v>
      </c>
      <c r="C52" s="153" t="s">
        <v>10</v>
      </c>
      <c r="D52" s="154" t="s">
        <v>11</v>
      </c>
      <c r="E52" s="157" t="s">
        <v>112</v>
      </c>
      <c r="F52" s="141">
        <v>150</v>
      </c>
      <c r="G52" s="154" t="s">
        <v>119</v>
      </c>
      <c r="H52" s="204">
        <v>43627</v>
      </c>
      <c r="I52" s="143" t="str">
        <f t="shared" si="1"/>
        <v>2019</v>
      </c>
      <c r="J52" s="143" t="str">
        <f t="shared" si="2"/>
        <v>Jun</v>
      </c>
      <c r="K52" s="204">
        <v>43641</v>
      </c>
      <c r="L52" s="157" t="s">
        <v>161</v>
      </c>
      <c r="M52" s="204">
        <v>43681</v>
      </c>
      <c r="N52" s="143" t="str">
        <f t="shared" si="3"/>
        <v>2019</v>
      </c>
      <c r="O52" s="143" t="str">
        <f t="shared" si="4"/>
        <v>Aug</v>
      </c>
      <c r="P52" s="157" t="s">
        <v>164</v>
      </c>
      <c r="Q52" s="146" t="s">
        <v>17</v>
      </c>
      <c r="R52" s="157" t="s">
        <v>19</v>
      </c>
      <c r="S52" s="141" t="s">
        <v>20</v>
      </c>
      <c r="T52" s="204">
        <v>43695</v>
      </c>
      <c r="U52" s="145" t="str">
        <f t="shared" si="5"/>
        <v>2019</v>
      </c>
      <c r="V52" s="145" t="str">
        <f t="shared" si="6"/>
        <v>Aug</v>
      </c>
      <c r="W52" s="141">
        <f t="shared" ca="1" si="0"/>
        <v>49</v>
      </c>
      <c r="X52" s="157" t="s">
        <v>90</v>
      </c>
      <c r="Y52" s="157">
        <f t="shared" ca="1" si="7"/>
        <v>1176</v>
      </c>
      <c r="Z52" s="158">
        <v>11.76</v>
      </c>
      <c r="AA52" s="148">
        <v>1764</v>
      </c>
      <c r="AB52" s="148">
        <f t="shared" si="8"/>
        <v>150</v>
      </c>
      <c r="AC52" s="204">
        <v>43644</v>
      </c>
      <c r="AD52" s="146" t="str">
        <f t="shared" si="9"/>
        <v>2019</v>
      </c>
      <c r="AE52" s="150" t="str">
        <f t="shared" si="10"/>
        <v>Jun</v>
      </c>
    </row>
    <row r="53" spans="2:31" x14ac:dyDescent="0.25">
      <c r="B53" s="152">
        <v>3</v>
      </c>
      <c r="C53" s="157" t="s">
        <v>69</v>
      </c>
      <c r="D53" s="154" t="s">
        <v>62</v>
      </c>
      <c r="E53" s="157" t="s">
        <v>113</v>
      </c>
      <c r="F53" s="141">
        <v>151</v>
      </c>
      <c r="G53" s="155" t="s">
        <v>121</v>
      </c>
      <c r="H53" s="204">
        <v>43627</v>
      </c>
      <c r="I53" s="143" t="str">
        <f t="shared" si="1"/>
        <v>2019</v>
      </c>
      <c r="J53" s="143" t="str">
        <f t="shared" si="2"/>
        <v>Jun</v>
      </c>
      <c r="K53" s="204">
        <v>43639</v>
      </c>
      <c r="L53" s="157" t="s">
        <v>156</v>
      </c>
      <c r="M53" s="204">
        <v>43669</v>
      </c>
      <c r="N53" s="143" t="str">
        <f t="shared" si="3"/>
        <v>2019</v>
      </c>
      <c r="O53" s="143" t="str">
        <f t="shared" si="4"/>
        <v>Jul</v>
      </c>
      <c r="P53" s="157" t="s">
        <v>165</v>
      </c>
      <c r="Q53" s="146" t="s">
        <v>264</v>
      </c>
      <c r="R53" s="157" t="s">
        <v>41</v>
      </c>
      <c r="S53" s="141" t="s">
        <v>20</v>
      </c>
      <c r="T53" s="204">
        <v>43895</v>
      </c>
      <c r="U53" s="145" t="str">
        <f t="shared" si="5"/>
        <v>2020</v>
      </c>
      <c r="V53" s="145" t="str">
        <f t="shared" si="6"/>
        <v>Mar</v>
      </c>
      <c r="W53" s="141">
        <f t="shared" ca="1" si="0"/>
        <v>193</v>
      </c>
      <c r="X53" s="157" t="s">
        <v>91</v>
      </c>
      <c r="Y53" s="157">
        <f t="shared" ca="1" si="7"/>
        <v>4632</v>
      </c>
      <c r="Z53" s="158">
        <v>46.32</v>
      </c>
      <c r="AA53" s="148">
        <v>1389.6</v>
      </c>
      <c r="AB53" s="148">
        <f t="shared" si="8"/>
        <v>29.999999999999996</v>
      </c>
      <c r="AC53" s="204">
        <v>43642</v>
      </c>
      <c r="AD53" s="146" t="str">
        <f t="shared" si="9"/>
        <v>2019</v>
      </c>
      <c r="AE53" s="150" t="str">
        <f t="shared" si="10"/>
        <v>Jun</v>
      </c>
    </row>
    <row r="54" spans="2:31" x14ac:dyDescent="0.25">
      <c r="B54" s="152">
        <v>4</v>
      </c>
      <c r="C54" s="157" t="s">
        <v>70</v>
      </c>
      <c r="D54" s="154" t="s">
        <v>63</v>
      </c>
      <c r="E54" s="157" t="s">
        <v>114</v>
      </c>
      <c r="F54" s="141">
        <v>152</v>
      </c>
      <c r="G54" s="155" t="s">
        <v>121</v>
      </c>
      <c r="H54" s="204">
        <v>43630</v>
      </c>
      <c r="I54" s="143" t="str">
        <f t="shared" si="1"/>
        <v>2019</v>
      </c>
      <c r="J54" s="143" t="str">
        <f t="shared" si="2"/>
        <v>Jun</v>
      </c>
      <c r="K54" s="204">
        <v>43636</v>
      </c>
      <c r="L54" s="157" t="s">
        <v>161</v>
      </c>
      <c r="M54" s="204">
        <v>43675</v>
      </c>
      <c r="N54" s="143" t="str">
        <f t="shared" si="3"/>
        <v>2019</v>
      </c>
      <c r="O54" s="143" t="str">
        <f t="shared" si="4"/>
        <v>Jul</v>
      </c>
      <c r="P54" s="157" t="s">
        <v>162</v>
      </c>
      <c r="Q54" s="146" t="s">
        <v>264</v>
      </c>
      <c r="R54" s="157" t="s">
        <v>42</v>
      </c>
      <c r="S54" s="141" t="s">
        <v>20</v>
      </c>
      <c r="T54" s="204">
        <v>43820</v>
      </c>
      <c r="U54" s="145" t="str">
        <f t="shared" si="5"/>
        <v>2019</v>
      </c>
      <c r="V54" s="145" t="str">
        <f t="shared" si="6"/>
        <v>Dec</v>
      </c>
      <c r="W54" s="141">
        <f t="shared" ca="1" si="0"/>
        <v>136</v>
      </c>
      <c r="X54" s="157" t="s">
        <v>92</v>
      </c>
      <c r="Y54" s="157">
        <f t="shared" ca="1" si="7"/>
        <v>3264</v>
      </c>
      <c r="Z54" s="158">
        <v>32.64</v>
      </c>
      <c r="AA54" s="148">
        <v>979.2</v>
      </c>
      <c r="AB54" s="148">
        <f t="shared" si="8"/>
        <v>30</v>
      </c>
      <c r="AC54" s="204">
        <v>43639</v>
      </c>
      <c r="AD54" s="146" t="str">
        <f t="shared" si="9"/>
        <v>2019</v>
      </c>
      <c r="AE54" s="150" t="str">
        <f t="shared" si="10"/>
        <v>Jun</v>
      </c>
    </row>
    <row r="55" spans="2:31" x14ac:dyDescent="0.25">
      <c r="B55" s="152">
        <v>5</v>
      </c>
      <c r="C55" s="157" t="s">
        <v>71</v>
      </c>
      <c r="D55" s="154" t="s">
        <v>64</v>
      </c>
      <c r="E55" s="157" t="s">
        <v>115</v>
      </c>
      <c r="F55" s="141">
        <v>153</v>
      </c>
      <c r="G55" s="155" t="s">
        <v>121</v>
      </c>
      <c r="H55" s="204">
        <v>43631</v>
      </c>
      <c r="I55" s="143" t="str">
        <f t="shared" si="1"/>
        <v>2019</v>
      </c>
      <c r="J55" s="143" t="str">
        <f t="shared" si="2"/>
        <v>Jun</v>
      </c>
      <c r="K55" s="204">
        <v>43640</v>
      </c>
      <c r="L55" s="157" t="s">
        <v>157</v>
      </c>
      <c r="M55" s="204">
        <v>43672</v>
      </c>
      <c r="N55" s="143" t="str">
        <f t="shared" si="3"/>
        <v>2019</v>
      </c>
      <c r="O55" s="143" t="str">
        <f t="shared" si="4"/>
        <v>Jul</v>
      </c>
      <c r="P55" s="157" t="s">
        <v>162</v>
      </c>
      <c r="Q55" s="146" t="s">
        <v>264</v>
      </c>
      <c r="R55" s="157" t="s">
        <v>43</v>
      </c>
      <c r="S55" s="141" t="s">
        <v>20</v>
      </c>
      <c r="T55" s="204">
        <v>43665</v>
      </c>
      <c r="U55" s="145" t="str">
        <f t="shared" si="5"/>
        <v>2019</v>
      </c>
      <c r="V55" s="145" t="str">
        <f t="shared" si="6"/>
        <v>Jul</v>
      </c>
      <c r="W55" s="141">
        <f t="shared" ca="1" si="0"/>
        <v>25</v>
      </c>
      <c r="X55" s="157" t="s">
        <v>93</v>
      </c>
      <c r="Y55" s="157">
        <f t="shared" ca="1" si="7"/>
        <v>600</v>
      </c>
      <c r="Z55" s="158">
        <v>12</v>
      </c>
      <c r="AA55" s="148">
        <v>360</v>
      </c>
      <c r="AB55" s="148">
        <f t="shared" si="8"/>
        <v>30</v>
      </c>
      <c r="AC55" s="204">
        <v>43643</v>
      </c>
      <c r="AD55" s="146" t="str">
        <f t="shared" si="9"/>
        <v>2019</v>
      </c>
      <c r="AE55" s="150" t="str">
        <f t="shared" si="10"/>
        <v>Jun</v>
      </c>
    </row>
    <row r="56" spans="2:31" x14ac:dyDescent="0.25">
      <c r="B56" s="152">
        <v>6</v>
      </c>
      <c r="C56" s="157" t="s">
        <v>72</v>
      </c>
      <c r="D56" s="154" t="s">
        <v>65</v>
      </c>
      <c r="E56" s="157" t="s">
        <v>116</v>
      </c>
      <c r="F56" s="141">
        <v>154</v>
      </c>
      <c r="G56" s="155" t="s">
        <v>120</v>
      </c>
      <c r="H56" s="204">
        <v>43631</v>
      </c>
      <c r="I56" s="143" t="str">
        <f t="shared" si="1"/>
        <v>2019</v>
      </c>
      <c r="J56" s="143" t="str">
        <f t="shared" si="2"/>
        <v>Jun</v>
      </c>
      <c r="K56" s="204">
        <v>43640</v>
      </c>
      <c r="L56" s="157" t="s">
        <v>159</v>
      </c>
      <c r="M56" s="204">
        <v>43679</v>
      </c>
      <c r="N56" s="143" t="str">
        <f t="shared" si="3"/>
        <v>2019</v>
      </c>
      <c r="O56" s="143" t="str">
        <f t="shared" si="4"/>
        <v>Aug</v>
      </c>
      <c r="P56" s="157" t="s">
        <v>164</v>
      </c>
      <c r="Q56" s="146" t="s">
        <v>17</v>
      </c>
      <c r="R56" s="157" t="s">
        <v>44</v>
      </c>
      <c r="S56" s="141" t="s">
        <v>20</v>
      </c>
      <c r="T56" s="204">
        <v>43946</v>
      </c>
      <c r="U56" s="145" t="str">
        <f t="shared" si="5"/>
        <v>2020</v>
      </c>
      <c r="V56" s="145" t="str">
        <f t="shared" si="6"/>
        <v>Apr</v>
      </c>
      <c r="W56" s="141">
        <f t="shared" ca="1" si="0"/>
        <v>225</v>
      </c>
      <c r="X56" s="157" t="s">
        <v>94</v>
      </c>
      <c r="Y56" s="157">
        <f t="shared" ca="1" si="7"/>
        <v>5400</v>
      </c>
      <c r="Z56" s="158">
        <v>108</v>
      </c>
      <c r="AA56" s="148">
        <v>16200</v>
      </c>
      <c r="AB56" s="148">
        <f t="shared" si="8"/>
        <v>150</v>
      </c>
      <c r="AC56" s="204">
        <v>43643</v>
      </c>
      <c r="AD56" s="146" t="str">
        <f t="shared" si="9"/>
        <v>2019</v>
      </c>
      <c r="AE56" s="150" t="str">
        <f t="shared" si="10"/>
        <v>Jun</v>
      </c>
    </row>
    <row r="57" spans="2:31" x14ac:dyDescent="0.25">
      <c r="B57" s="152">
        <v>7</v>
      </c>
      <c r="C57" s="157" t="s">
        <v>73</v>
      </c>
      <c r="D57" s="154" t="s">
        <v>66</v>
      </c>
      <c r="E57" s="157" t="s">
        <v>117</v>
      </c>
      <c r="F57" s="141">
        <v>155</v>
      </c>
      <c r="G57" s="155" t="s">
        <v>121</v>
      </c>
      <c r="H57" s="204">
        <v>43633</v>
      </c>
      <c r="I57" s="143" t="str">
        <f t="shared" si="1"/>
        <v>2019</v>
      </c>
      <c r="J57" s="143" t="str">
        <f t="shared" si="2"/>
        <v>Jun</v>
      </c>
      <c r="K57" s="204">
        <v>43638</v>
      </c>
      <c r="L57" s="157" t="s">
        <v>161</v>
      </c>
      <c r="M57" s="204">
        <v>43675</v>
      </c>
      <c r="N57" s="143" t="str">
        <f t="shared" si="3"/>
        <v>2019</v>
      </c>
      <c r="O57" s="143" t="str">
        <f t="shared" si="4"/>
        <v>Jul</v>
      </c>
      <c r="P57" s="157" t="s">
        <v>164</v>
      </c>
      <c r="Q57" s="146" t="s">
        <v>264</v>
      </c>
      <c r="R57" s="157" t="s">
        <v>45</v>
      </c>
      <c r="S57" s="141" t="s">
        <v>20</v>
      </c>
      <c r="T57" s="204">
        <v>43750</v>
      </c>
      <c r="U57" s="145" t="str">
        <f t="shared" si="5"/>
        <v>2019</v>
      </c>
      <c r="V57" s="145" t="str">
        <f t="shared" si="6"/>
        <v>Oct</v>
      </c>
      <c r="W57" s="141">
        <f t="shared" ca="1" si="0"/>
        <v>85</v>
      </c>
      <c r="X57" s="157" t="s">
        <v>95</v>
      </c>
      <c r="Y57" s="157">
        <f t="shared" ca="1" si="7"/>
        <v>2040</v>
      </c>
      <c r="Z57" s="158">
        <v>40.800000000000004</v>
      </c>
      <c r="AA57" s="148">
        <v>1224.0000000000002</v>
      </c>
      <c r="AB57" s="148">
        <f t="shared" si="8"/>
        <v>30.000000000000004</v>
      </c>
      <c r="AC57" s="204">
        <v>43641</v>
      </c>
      <c r="AD57" s="146" t="str">
        <f t="shared" si="9"/>
        <v>2019</v>
      </c>
      <c r="AE57" s="150" t="str">
        <f t="shared" si="10"/>
        <v>Jun</v>
      </c>
    </row>
    <row r="58" spans="2:31" x14ac:dyDescent="0.25">
      <c r="B58" s="152">
        <v>21</v>
      </c>
      <c r="C58" s="157" t="s">
        <v>87</v>
      </c>
      <c r="D58" s="154" t="s">
        <v>92</v>
      </c>
      <c r="E58" s="157" t="s">
        <v>115</v>
      </c>
      <c r="F58" s="141">
        <v>156</v>
      </c>
      <c r="G58" s="155" t="s">
        <v>122</v>
      </c>
      <c r="H58" s="204">
        <v>43634</v>
      </c>
      <c r="I58" s="143" t="str">
        <f t="shared" si="1"/>
        <v>2019</v>
      </c>
      <c r="J58" s="143" t="str">
        <f t="shared" si="2"/>
        <v>Jun</v>
      </c>
      <c r="K58" s="204">
        <v>43640</v>
      </c>
      <c r="L58" s="157" t="s">
        <v>160</v>
      </c>
      <c r="M58" s="204">
        <v>43678</v>
      </c>
      <c r="N58" s="143" t="str">
        <f t="shared" si="3"/>
        <v>2019</v>
      </c>
      <c r="O58" s="143" t="str">
        <f t="shared" si="4"/>
        <v>Aug</v>
      </c>
      <c r="P58" s="157" t="s">
        <v>164</v>
      </c>
      <c r="Q58" s="146" t="s">
        <v>265</v>
      </c>
      <c r="R58" s="157" t="s">
        <v>36</v>
      </c>
      <c r="S58" s="141" t="s">
        <v>20</v>
      </c>
      <c r="T58" s="204">
        <v>44084</v>
      </c>
      <c r="U58" s="145" t="str">
        <f t="shared" si="5"/>
        <v>2020</v>
      </c>
      <c r="V58" s="145" t="str">
        <f t="shared" si="6"/>
        <v>Sep</v>
      </c>
      <c r="W58" s="141">
        <f t="shared" ca="1" si="0"/>
        <v>323</v>
      </c>
      <c r="X58" s="157" t="s">
        <v>109</v>
      </c>
      <c r="Y58" s="157">
        <f t="shared" ca="1" si="7"/>
        <v>7752</v>
      </c>
      <c r="Z58" s="158">
        <v>155.04</v>
      </c>
      <c r="AA58" s="148">
        <v>15504</v>
      </c>
      <c r="AB58" s="148">
        <f t="shared" si="8"/>
        <v>100</v>
      </c>
      <c r="AC58" s="204">
        <v>43643</v>
      </c>
      <c r="AD58" s="146" t="str">
        <f t="shared" si="9"/>
        <v>2019</v>
      </c>
      <c r="AE58" s="150" t="str">
        <f t="shared" si="10"/>
        <v>Jun</v>
      </c>
    </row>
    <row r="59" spans="2:31" x14ac:dyDescent="0.25">
      <c r="B59" s="152">
        <v>22</v>
      </c>
      <c r="C59" s="157" t="s">
        <v>88</v>
      </c>
      <c r="D59" s="154" t="s">
        <v>39</v>
      </c>
      <c r="E59" s="157" t="s">
        <v>116</v>
      </c>
      <c r="F59" s="141">
        <v>157</v>
      </c>
      <c r="G59" s="155" t="s">
        <v>123</v>
      </c>
      <c r="H59" s="204">
        <v>43638</v>
      </c>
      <c r="I59" s="143" t="str">
        <f t="shared" si="1"/>
        <v>2019</v>
      </c>
      <c r="J59" s="143" t="str">
        <f t="shared" si="2"/>
        <v>Jun</v>
      </c>
      <c r="K59" s="204">
        <v>43645</v>
      </c>
      <c r="L59" s="151" t="s">
        <v>159</v>
      </c>
      <c r="M59" s="204">
        <v>43686</v>
      </c>
      <c r="N59" s="143" t="str">
        <f t="shared" si="3"/>
        <v>2019</v>
      </c>
      <c r="O59" s="143" t="str">
        <f t="shared" si="4"/>
        <v>Aug</v>
      </c>
      <c r="P59" s="157" t="s">
        <v>167</v>
      </c>
      <c r="Q59" s="146" t="s">
        <v>266</v>
      </c>
      <c r="R59" s="157" t="s">
        <v>37</v>
      </c>
      <c r="S59" s="141" t="s">
        <v>167</v>
      </c>
      <c r="T59" s="204" t="s">
        <v>274</v>
      </c>
      <c r="U59" s="145" t="str">
        <f t="shared" si="5"/>
        <v/>
      </c>
      <c r="V59" s="145" t="str">
        <f t="shared" si="6"/>
        <v/>
      </c>
      <c r="W59" s="141">
        <f t="shared" ca="1" si="0"/>
        <v>1328</v>
      </c>
      <c r="X59" s="157" t="s">
        <v>110</v>
      </c>
      <c r="Y59" s="157">
        <f t="shared" ca="1" si="7"/>
        <v>31872</v>
      </c>
      <c r="Z59" s="158">
        <v>636.48</v>
      </c>
      <c r="AA59" s="148">
        <v>31824</v>
      </c>
      <c r="AB59" s="148">
        <f t="shared" si="8"/>
        <v>50</v>
      </c>
      <c r="AC59" s="204"/>
      <c r="AD59" s="157" t="str">
        <f t="shared" si="9"/>
        <v/>
      </c>
      <c r="AE59" s="150" t="str">
        <f t="shared" si="10"/>
        <v/>
      </c>
    </row>
    <row r="60" spans="2:31" x14ac:dyDescent="0.25">
      <c r="B60" s="152">
        <v>1</v>
      </c>
      <c r="C60" s="153" t="s">
        <v>7</v>
      </c>
      <c r="D60" s="154" t="s">
        <v>8</v>
      </c>
      <c r="E60" s="157" t="s">
        <v>111</v>
      </c>
      <c r="F60" s="141">
        <v>158</v>
      </c>
      <c r="G60" s="155" t="s">
        <v>122</v>
      </c>
      <c r="H60" s="204">
        <v>43640</v>
      </c>
      <c r="I60" s="143" t="str">
        <f t="shared" si="1"/>
        <v>2019</v>
      </c>
      <c r="J60" s="143" t="str">
        <f t="shared" si="2"/>
        <v>Jun</v>
      </c>
      <c r="K60" s="204">
        <v>43646</v>
      </c>
      <c r="L60" s="157" t="s">
        <v>158</v>
      </c>
      <c r="M60" s="204">
        <v>43698</v>
      </c>
      <c r="N60" s="143" t="str">
        <f t="shared" si="3"/>
        <v>2019</v>
      </c>
      <c r="O60" s="143" t="str">
        <f t="shared" si="4"/>
        <v>Aug</v>
      </c>
      <c r="P60" s="157" t="s">
        <v>164</v>
      </c>
      <c r="Q60" s="146" t="s">
        <v>265</v>
      </c>
      <c r="R60" s="157" t="s">
        <v>18</v>
      </c>
      <c r="S60" s="141" t="s">
        <v>20</v>
      </c>
      <c r="T60" s="204">
        <v>43938</v>
      </c>
      <c r="U60" s="145" t="str">
        <f t="shared" si="5"/>
        <v>2020</v>
      </c>
      <c r="V60" s="145" t="str">
        <f t="shared" si="6"/>
        <v>Apr</v>
      </c>
      <c r="W60" s="141">
        <f t="shared" ca="1" si="0"/>
        <v>215</v>
      </c>
      <c r="X60" s="157" t="s">
        <v>89</v>
      </c>
      <c r="Y60" s="157">
        <f t="shared" ca="1" si="7"/>
        <v>5160</v>
      </c>
      <c r="Z60" s="158">
        <v>51.6</v>
      </c>
      <c r="AA60" s="148">
        <v>5160</v>
      </c>
      <c r="AB60" s="148">
        <f t="shared" si="8"/>
        <v>100</v>
      </c>
      <c r="AC60" s="204">
        <v>43649</v>
      </c>
      <c r="AD60" s="146" t="str">
        <f t="shared" si="9"/>
        <v>2019</v>
      </c>
      <c r="AE60" s="150" t="str">
        <f t="shared" si="10"/>
        <v>Jul</v>
      </c>
    </row>
    <row r="61" spans="2:31" x14ac:dyDescent="0.25">
      <c r="B61" s="152">
        <v>2</v>
      </c>
      <c r="C61" s="153" t="s">
        <v>10</v>
      </c>
      <c r="D61" s="154" t="s">
        <v>11</v>
      </c>
      <c r="E61" s="157" t="s">
        <v>112</v>
      </c>
      <c r="F61" s="141">
        <v>159</v>
      </c>
      <c r="G61" s="155" t="s">
        <v>124</v>
      </c>
      <c r="H61" s="204">
        <v>43645</v>
      </c>
      <c r="I61" s="143" t="str">
        <f t="shared" si="1"/>
        <v>2019</v>
      </c>
      <c r="J61" s="143" t="str">
        <f t="shared" si="2"/>
        <v>Jun</v>
      </c>
      <c r="K61" s="204">
        <v>43658</v>
      </c>
      <c r="L61" s="157" t="s">
        <v>160</v>
      </c>
      <c r="M61" s="204">
        <v>43683</v>
      </c>
      <c r="N61" s="143" t="str">
        <f t="shared" si="3"/>
        <v>2019</v>
      </c>
      <c r="O61" s="143" t="str">
        <f t="shared" si="4"/>
        <v>Aug</v>
      </c>
      <c r="P61" s="157" t="s">
        <v>164</v>
      </c>
      <c r="Q61" s="146" t="s">
        <v>17</v>
      </c>
      <c r="R61" s="157" t="s">
        <v>19</v>
      </c>
      <c r="S61" s="141" t="s">
        <v>20</v>
      </c>
      <c r="T61" s="204">
        <v>43779</v>
      </c>
      <c r="U61" s="145" t="str">
        <f t="shared" si="5"/>
        <v>2019</v>
      </c>
      <c r="V61" s="145" t="str">
        <f t="shared" si="6"/>
        <v>Nov</v>
      </c>
      <c r="W61" s="141">
        <f t="shared" ca="1" si="0"/>
        <v>95</v>
      </c>
      <c r="X61" s="157" t="s">
        <v>90</v>
      </c>
      <c r="Y61" s="157">
        <f t="shared" ca="1" si="7"/>
        <v>2280</v>
      </c>
      <c r="Z61" s="158">
        <v>45.6</v>
      </c>
      <c r="AA61" s="148">
        <v>6840</v>
      </c>
      <c r="AB61" s="148">
        <f t="shared" si="8"/>
        <v>150</v>
      </c>
      <c r="AC61" s="204">
        <v>43661</v>
      </c>
      <c r="AD61" s="146" t="str">
        <f t="shared" si="9"/>
        <v>2019</v>
      </c>
      <c r="AE61" s="150" t="str">
        <f t="shared" si="10"/>
        <v>Jul</v>
      </c>
    </row>
    <row r="62" spans="2:31" x14ac:dyDescent="0.25">
      <c r="B62" s="152">
        <v>3</v>
      </c>
      <c r="C62" s="157" t="s">
        <v>69</v>
      </c>
      <c r="D62" s="154" t="s">
        <v>62</v>
      </c>
      <c r="E62" s="157" t="s">
        <v>113</v>
      </c>
      <c r="F62" s="141">
        <v>160</v>
      </c>
      <c r="G62" s="155" t="s">
        <v>122</v>
      </c>
      <c r="H62" s="204">
        <v>43647</v>
      </c>
      <c r="I62" s="143" t="str">
        <f t="shared" si="1"/>
        <v>2019</v>
      </c>
      <c r="J62" s="143" t="str">
        <f t="shared" si="2"/>
        <v>Jul</v>
      </c>
      <c r="K62" s="204">
        <v>43654</v>
      </c>
      <c r="L62" s="157" t="s">
        <v>159</v>
      </c>
      <c r="M62" s="204">
        <v>43672</v>
      </c>
      <c r="N62" s="143" t="str">
        <f t="shared" si="3"/>
        <v>2019</v>
      </c>
      <c r="O62" s="143" t="str">
        <f t="shared" si="4"/>
        <v>Jul</v>
      </c>
      <c r="P62" s="157" t="s">
        <v>164</v>
      </c>
      <c r="Q62" s="146" t="s">
        <v>265</v>
      </c>
      <c r="R62" s="157" t="s">
        <v>41</v>
      </c>
      <c r="S62" s="141" t="s">
        <v>20</v>
      </c>
      <c r="T62" s="204">
        <v>44058</v>
      </c>
      <c r="U62" s="145" t="str">
        <f t="shared" si="5"/>
        <v>2020</v>
      </c>
      <c r="V62" s="145" t="str">
        <f t="shared" si="6"/>
        <v>Aug</v>
      </c>
      <c r="W62" s="141">
        <f t="shared" ca="1" si="0"/>
        <v>295</v>
      </c>
      <c r="X62" s="157" t="s">
        <v>91</v>
      </c>
      <c r="Y62" s="157">
        <f t="shared" ca="1" si="7"/>
        <v>7080</v>
      </c>
      <c r="Z62" s="158">
        <v>212.4</v>
      </c>
      <c r="AA62" s="148">
        <v>21240</v>
      </c>
      <c r="AB62" s="148">
        <f t="shared" si="8"/>
        <v>100</v>
      </c>
      <c r="AC62" s="204">
        <v>43657</v>
      </c>
      <c r="AD62" s="146" t="str">
        <f t="shared" si="9"/>
        <v>2019</v>
      </c>
      <c r="AE62" s="150" t="str">
        <f t="shared" si="10"/>
        <v>Jul</v>
      </c>
    </row>
    <row r="63" spans="2:31" x14ac:dyDescent="0.25">
      <c r="B63" s="152">
        <v>4</v>
      </c>
      <c r="C63" s="157" t="s">
        <v>70</v>
      </c>
      <c r="D63" s="154" t="s">
        <v>63</v>
      </c>
      <c r="E63" s="157" t="s">
        <v>114</v>
      </c>
      <c r="F63" s="141">
        <v>161</v>
      </c>
      <c r="G63" s="155" t="s">
        <v>125</v>
      </c>
      <c r="H63" s="204">
        <v>43651</v>
      </c>
      <c r="I63" s="143" t="str">
        <f t="shared" si="1"/>
        <v>2019</v>
      </c>
      <c r="J63" s="143" t="str">
        <f t="shared" si="2"/>
        <v>Jul</v>
      </c>
      <c r="K63" s="204">
        <v>43661</v>
      </c>
      <c r="L63" s="157" t="s">
        <v>160</v>
      </c>
      <c r="M63" s="204">
        <v>43695</v>
      </c>
      <c r="N63" s="143" t="str">
        <f t="shared" si="3"/>
        <v>2019</v>
      </c>
      <c r="O63" s="143" t="str">
        <f t="shared" si="4"/>
        <v>Aug</v>
      </c>
      <c r="P63" s="157" t="s">
        <v>162</v>
      </c>
      <c r="Q63" s="146" t="s">
        <v>17</v>
      </c>
      <c r="R63" s="157" t="s">
        <v>42</v>
      </c>
      <c r="S63" s="141" t="s">
        <v>20</v>
      </c>
      <c r="T63" s="204">
        <v>44051</v>
      </c>
      <c r="U63" s="145" t="str">
        <f t="shared" si="5"/>
        <v>2020</v>
      </c>
      <c r="V63" s="145" t="str">
        <f t="shared" si="6"/>
        <v>Aug</v>
      </c>
      <c r="W63" s="141">
        <f t="shared" ca="1" si="0"/>
        <v>286</v>
      </c>
      <c r="X63" s="157" t="s">
        <v>92</v>
      </c>
      <c r="Y63" s="157">
        <f t="shared" ca="1" si="7"/>
        <v>6864</v>
      </c>
      <c r="Z63" s="158">
        <v>137.28</v>
      </c>
      <c r="AA63" s="148">
        <v>20592</v>
      </c>
      <c r="AB63" s="148">
        <f t="shared" si="8"/>
        <v>150</v>
      </c>
      <c r="AC63" s="204">
        <v>43664</v>
      </c>
      <c r="AD63" s="146" t="str">
        <f t="shared" si="9"/>
        <v>2019</v>
      </c>
      <c r="AE63" s="150" t="str">
        <f t="shared" si="10"/>
        <v>Jul</v>
      </c>
    </row>
    <row r="64" spans="2:31" x14ac:dyDescent="0.25">
      <c r="B64" s="152">
        <v>5</v>
      </c>
      <c r="C64" s="157" t="s">
        <v>71</v>
      </c>
      <c r="D64" s="154" t="s">
        <v>64</v>
      </c>
      <c r="E64" s="157" t="s">
        <v>115</v>
      </c>
      <c r="F64" s="141">
        <v>162</v>
      </c>
      <c r="G64" s="155" t="s">
        <v>126</v>
      </c>
      <c r="H64" s="204">
        <v>43654</v>
      </c>
      <c r="I64" s="143" t="str">
        <f t="shared" si="1"/>
        <v>2019</v>
      </c>
      <c r="J64" s="143" t="str">
        <f t="shared" si="2"/>
        <v>Jul</v>
      </c>
      <c r="K64" s="204">
        <v>43666</v>
      </c>
      <c r="L64" s="157" t="s">
        <v>156</v>
      </c>
      <c r="M64" s="204">
        <v>43697</v>
      </c>
      <c r="N64" s="143" t="str">
        <f t="shared" si="3"/>
        <v>2019</v>
      </c>
      <c r="O64" s="143" t="str">
        <f t="shared" si="4"/>
        <v>Aug</v>
      </c>
      <c r="P64" s="157" t="s">
        <v>165</v>
      </c>
      <c r="Q64" s="146" t="s">
        <v>17</v>
      </c>
      <c r="R64" s="157" t="s">
        <v>43</v>
      </c>
      <c r="S64" s="141" t="s">
        <v>20</v>
      </c>
      <c r="T64" s="204">
        <v>43996</v>
      </c>
      <c r="U64" s="145" t="str">
        <f t="shared" si="5"/>
        <v>2020</v>
      </c>
      <c r="V64" s="145" t="str">
        <f t="shared" si="6"/>
        <v>Jun</v>
      </c>
      <c r="W64" s="141">
        <f t="shared" ca="1" si="0"/>
        <v>245</v>
      </c>
      <c r="X64" s="157" t="s">
        <v>93</v>
      </c>
      <c r="Y64" s="157">
        <f t="shared" ca="1" si="7"/>
        <v>5880</v>
      </c>
      <c r="Z64" s="158">
        <v>117.60000000000001</v>
      </c>
      <c r="AA64" s="148">
        <v>17640</v>
      </c>
      <c r="AB64" s="148">
        <f t="shared" si="8"/>
        <v>150</v>
      </c>
      <c r="AC64" s="204">
        <v>43669</v>
      </c>
      <c r="AD64" s="146" t="str">
        <f t="shared" si="9"/>
        <v>2019</v>
      </c>
      <c r="AE64" s="150" t="str">
        <f t="shared" si="10"/>
        <v>Jul</v>
      </c>
    </row>
    <row r="65" spans="2:31" x14ac:dyDescent="0.25">
      <c r="B65" s="152">
        <v>6</v>
      </c>
      <c r="C65" s="157" t="s">
        <v>72</v>
      </c>
      <c r="D65" s="154" t="s">
        <v>65</v>
      </c>
      <c r="E65" s="157" t="s">
        <v>116</v>
      </c>
      <c r="F65" s="141">
        <v>163</v>
      </c>
      <c r="G65" s="155" t="s">
        <v>127</v>
      </c>
      <c r="H65" s="204">
        <v>43655</v>
      </c>
      <c r="I65" s="143" t="str">
        <f t="shared" si="1"/>
        <v>2019</v>
      </c>
      <c r="J65" s="143" t="str">
        <f t="shared" si="2"/>
        <v>Jul</v>
      </c>
      <c r="K65" s="204">
        <v>43669</v>
      </c>
      <c r="L65" s="157" t="s">
        <v>160</v>
      </c>
      <c r="M65" s="204">
        <v>43705</v>
      </c>
      <c r="N65" s="143" t="str">
        <f t="shared" si="3"/>
        <v>2019</v>
      </c>
      <c r="O65" s="143" t="str">
        <f t="shared" si="4"/>
        <v>Aug</v>
      </c>
      <c r="P65" s="157" t="s">
        <v>164</v>
      </c>
      <c r="Q65" s="146" t="s">
        <v>17</v>
      </c>
      <c r="R65" s="157" t="s">
        <v>44</v>
      </c>
      <c r="S65" s="141" t="s">
        <v>20</v>
      </c>
      <c r="T65" s="204">
        <v>43686</v>
      </c>
      <c r="U65" s="145" t="str">
        <f t="shared" si="5"/>
        <v>2019</v>
      </c>
      <c r="V65" s="145" t="str">
        <f t="shared" si="6"/>
        <v>Aug</v>
      </c>
      <c r="W65" s="141">
        <f t="shared" ca="1" si="0"/>
        <v>24</v>
      </c>
      <c r="X65" s="157" t="s">
        <v>94</v>
      </c>
      <c r="Y65" s="157">
        <f t="shared" ca="1" si="7"/>
        <v>576</v>
      </c>
      <c r="Z65" s="158">
        <v>17.28</v>
      </c>
      <c r="AA65" s="148">
        <v>2592</v>
      </c>
      <c r="AB65" s="148">
        <f t="shared" si="8"/>
        <v>150</v>
      </c>
      <c r="AC65" s="204">
        <v>43672</v>
      </c>
      <c r="AD65" s="146" t="str">
        <f t="shared" si="9"/>
        <v>2019</v>
      </c>
      <c r="AE65" s="150" t="str">
        <f t="shared" si="10"/>
        <v>Jul</v>
      </c>
    </row>
    <row r="66" spans="2:31" x14ac:dyDescent="0.25">
      <c r="B66" s="152">
        <v>7</v>
      </c>
      <c r="C66" s="157" t="s">
        <v>73</v>
      </c>
      <c r="D66" s="154" t="s">
        <v>66</v>
      </c>
      <c r="E66" s="157" t="s">
        <v>117</v>
      </c>
      <c r="F66" s="141">
        <v>164</v>
      </c>
      <c r="G66" s="155" t="s">
        <v>128</v>
      </c>
      <c r="H66" s="204">
        <v>43658</v>
      </c>
      <c r="I66" s="143" t="str">
        <f t="shared" si="1"/>
        <v>2019</v>
      </c>
      <c r="J66" s="143" t="str">
        <f t="shared" si="2"/>
        <v>Jul</v>
      </c>
      <c r="K66" s="204">
        <v>43666</v>
      </c>
      <c r="L66" s="157" t="s">
        <v>157</v>
      </c>
      <c r="M66" s="204">
        <v>43693</v>
      </c>
      <c r="N66" s="143" t="str">
        <f t="shared" si="3"/>
        <v>2019</v>
      </c>
      <c r="O66" s="143" t="str">
        <f t="shared" si="4"/>
        <v>Aug</v>
      </c>
      <c r="P66" s="157" t="s">
        <v>162</v>
      </c>
      <c r="Q66" s="146" t="s">
        <v>267</v>
      </c>
      <c r="R66" s="157" t="s">
        <v>45</v>
      </c>
      <c r="S66" s="141" t="s">
        <v>20</v>
      </c>
      <c r="T66" s="204">
        <v>43981</v>
      </c>
      <c r="U66" s="145" t="str">
        <f t="shared" si="5"/>
        <v>2020</v>
      </c>
      <c r="V66" s="145" t="str">
        <f t="shared" si="6"/>
        <v>May</v>
      </c>
      <c r="W66" s="141">
        <f t="shared" ca="1" si="0"/>
        <v>231</v>
      </c>
      <c r="X66" s="157" t="s">
        <v>95</v>
      </c>
      <c r="Y66" s="157">
        <f t="shared" ca="1" si="7"/>
        <v>5544</v>
      </c>
      <c r="Z66" s="158">
        <v>166.32</v>
      </c>
      <c r="AA66" s="148">
        <v>12474</v>
      </c>
      <c r="AB66" s="148">
        <f t="shared" si="8"/>
        <v>75</v>
      </c>
      <c r="AC66" s="204">
        <v>43669</v>
      </c>
      <c r="AD66" s="146" t="str">
        <f t="shared" si="9"/>
        <v>2019</v>
      </c>
      <c r="AE66" s="150" t="str">
        <f t="shared" si="10"/>
        <v>Jul</v>
      </c>
    </row>
    <row r="67" spans="2:31" x14ac:dyDescent="0.25">
      <c r="B67" s="152">
        <v>8</v>
      </c>
      <c r="C67" s="157" t="s">
        <v>74</v>
      </c>
      <c r="D67" s="154" t="s">
        <v>67</v>
      </c>
      <c r="E67" s="157" t="s">
        <v>118</v>
      </c>
      <c r="F67" s="141">
        <v>165</v>
      </c>
      <c r="G67" s="155" t="s">
        <v>129</v>
      </c>
      <c r="H67" s="204">
        <v>43669</v>
      </c>
      <c r="I67" s="143" t="str">
        <f t="shared" si="1"/>
        <v>2019</v>
      </c>
      <c r="J67" s="143" t="str">
        <f t="shared" si="2"/>
        <v>Jul</v>
      </c>
      <c r="K67" s="204">
        <v>43670</v>
      </c>
      <c r="L67" s="157" t="s">
        <v>158</v>
      </c>
      <c r="M67" s="204">
        <v>43710</v>
      </c>
      <c r="N67" s="143" t="str">
        <f t="shared" si="3"/>
        <v>2019</v>
      </c>
      <c r="O67" s="143" t="str">
        <f t="shared" si="4"/>
        <v>Sep</v>
      </c>
      <c r="P67" s="157" t="s">
        <v>162</v>
      </c>
      <c r="Q67" s="146" t="s">
        <v>17</v>
      </c>
      <c r="R67" s="157" t="s">
        <v>46</v>
      </c>
      <c r="S67" s="141" t="s">
        <v>20</v>
      </c>
      <c r="T67" s="204">
        <v>43784</v>
      </c>
      <c r="U67" s="145" t="str">
        <f t="shared" si="5"/>
        <v>2019</v>
      </c>
      <c r="V67" s="145" t="str">
        <f t="shared" si="6"/>
        <v>Nov</v>
      </c>
      <c r="W67" s="141">
        <f t="shared" ref="W67:W130" ca="1" si="11">IF($T67="",NETWORKDAYS($H67,TODAY()),NETWORKDAYS($H67,$T67))</f>
        <v>84</v>
      </c>
      <c r="X67" s="157" t="s">
        <v>96</v>
      </c>
      <c r="Y67" s="157">
        <f t="shared" ca="1" si="7"/>
        <v>2016</v>
      </c>
      <c r="Z67" s="158">
        <v>20.16</v>
      </c>
      <c r="AA67" s="148">
        <v>3024</v>
      </c>
      <c r="AB67" s="148">
        <f t="shared" si="8"/>
        <v>150</v>
      </c>
      <c r="AC67" s="204">
        <v>43673</v>
      </c>
      <c r="AD67" s="146" t="str">
        <f t="shared" si="9"/>
        <v>2019</v>
      </c>
      <c r="AE67" s="150" t="str">
        <f t="shared" si="10"/>
        <v>Jul</v>
      </c>
    </row>
    <row r="68" spans="2:31" x14ac:dyDescent="0.25">
      <c r="B68" s="152">
        <v>9</v>
      </c>
      <c r="C68" s="157" t="s">
        <v>75</v>
      </c>
      <c r="D68" s="154" t="s">
        <v>68</v>
      </c>
      <c r="E68" s="157" t="s">
        <v>115</v>
      </c>
      <c r="F68" s="141">
        <v>166</v>
      </c>
      <c r="G68" s="155" t="s">
        <v>122</v>
      </c>
      <c r="H68" s="204">
        <v>43671</v>
      </c>
      <c r="I68" s="143" t="str">
        <f t="shared" ref="I68:I131" si="12">TEXT($H68,"YYYY")</f>
        <v>2019</v>
      </c>
      <c r="J68" s="143" t="str">
        <f t="shared" ref="J68:J131" si="13">TEXT($H68,"MMM")</f>
        <v>Jul</v>
      </c>
      <c r="K68" s="204">
        <v>43685</v>
      </c>
      <c r="L68" s="157" t="s">
        <v>161</v>
      </c>
      <c r="M68" s="204">
        <v>43714</v>
      </c>
      <c r="N68" s="143" t="str">
        <f t="shared" ref="N68:N131" si="14">TEXT($M68,"YYYY")</f>
        <v>2019</v>
      </c>
      <c r="O68" s="143" t="str">
        <f t="shared" ref="O68:O131" si="15">TEXT($M68,"MMM")</f>
        <v>Sep</v>
      </c>
      <c r="P68" s="157" t="s">
        <v>165</v>
      </c>
      <c r="Q68" s="146" t="s">
        <v>265</v>
      </c>
      <c r="R68" s="157" t="s">
        <v>47</v>
      </c>
      <c r="S68" s="141" t="s">
        <v>20</v>
      </c>
      <c r="T68" s="204">
        <v>43770</v>
      </c>
      <c r="U68" s="145" t="str">
        <f t="shared" ref="U68:U131" si="16">IF($T68="","",TEXT($T68,"YYYY"))</f>
        <v>2019</v>
      </c>
      <c r="V68" s="145" t="str">
        <f t="shared" ref="V68:V131" si="17">IF($T68="","",TEXT($T68,"MMM"))</f>
        <v>Nov</v>
      </c>
      <c r="W68" s="141">
        <f t="shared" ca="1" si="11"/>
        <v>72</v>
      </c>
      <c r="X68" s="157" t="s">
        <v>97</v>
      </c>
      <c r="Y68" s="157">
        <f t="shared" ref="Y68:Y131" ca="1" si="18">W68*24</f>
        <v>1728</v>
      </c>
      <c r="Z68" s="158">
        <v>51.839999999999996</v>
      </c>
      <c r="AA68" s="148">
        <v>5184</v>
      </c>
      <c r="AB68" s="148">
        <f t="shared" ref="AB68:AB131" si="19">AA68/Z68</f>
        <v>100.00000000000001</v>
      </c>
      <c r="AC68" s="204">
        <v>43688</v>
      </c>
      <c r="AD68" s="146" t="str">
        <f t="shared" ref="AD68:AD131" si="20">IF(AC68="","",TEXT(AC68,"yyyy"))</f>
        <v>2019</v>
      </c>
      <c r="AE68" s="150" t="str">
        <f t="shared" ref="AE68:AE131" si="21">IF(AC68="","",TEXT(AC68,"mmm"))</f>
        <v>Aug</v>
      </c>
    </row>
    <row r="69" spans="2:31" x14ac:dyDescent="0.25">
      <c r="B69" s="152">
        <v>10</v>
      </c>
      <c r="C69" s="157" t="s">
        <v>76</v>
      </c>
      <c r="D69" s="154" t="s">
        <v>55</v>
      </c>
      <c r="E69" s="157" t="s">
        <v>116</v>
      </c>
      <c r="F69" s="141">
        <v>167</v>
      </c>
      <c r="G69" s="155" t="s">
        <v>130</v>
      </c>
      <c r="H69" s="204">
        <v>43671</v>
      </c>
      <c r="I69" s="143" t="str">
        <f t="shared" si="12"/>
        <v>2019</v>
      </c>
      <c r="J69" s="143" t="str">
        <f t="shared" si="13"/>
        <v>Jul</v>
      </c>
      <c r="K69" s="204">
        <v>43682</v>
      </c>
      <c r="L69" s="157" t="s">
        <v>161</v>
      </c>
      <c r="M69" s="204">
        <v>43713</v>
      </c>
      <c r="N69" s="143" t="str">
        <f t="shared" si="14"/>
        <v>2019</v>
      </c>
      <c r="O69" s="143" t="str">
        <f t="shared" si="15"/>
        <v>Sep</v>
      </c>
      <c r="P69" s="157" t="s">
        <v>162</v>
      </c>
      <c r="Q69" s="146" t="s">
        <v>17</v>
      </c>
      <c r="R69" s="157" t="s">
        <v>48</v>
      </c>
      <c r="S69" s="141" t="s">
        <v>20</v>
      </c>
      <c r="T69" s="204">
        <v>43824</v>
      </c>
      <c r="U69" s="145" t="str">
        <f t="shared" si="16"/>
        <v>2019</v>
      </c>
      <c r="V69" s="145" t="str">
        <f t="shared" si="17"/>
        <v>Dec</v>
      </c>
      <c r="W69" s="141">
        <f t="shared" ca="1" si="11"/>
        <v>110</v>
      </c>
      <c r="X69" s="157" t="s">
        <v>98</v>
      </c>
      <c r="Y69" s="157">
        <f t="shared" ca="1" si="18"/>
        <v>2640</v>
      </c>
      <c r="Z69" s="158">
        <v>26.400000000000002</v>
      </c>
      <c r="AA69" s="148">
        <v>3960.0000000000005</v>
      </c>
      <c r="AB69" s="148">
        <f t="shared" si="19"/>
        <v>150</v>
      </c>
      <c r="AC69" s="204">
        <v>43685</v>
      </c>
      <c r="AD69" s="146" t="str">
        <f t="shared" si="20"/>
        <v>2019</v>
      </c>
      <c r="AE69" s="150" t="str">
        <f t="shared" si="21"/>
        <v>Aug</v>
      </c>
    </row>
    <row r="70" spans="2:31" x14ac:dyDescent="0.25">
      <c r="B70" s="152">
        <v>11</v>
      </c>
      <c r="C70" s="157" t="s">
        <v>77</v>
      </c>
      <c r="D70" s="154" t="s">
        <v>56</v>
      </c>
      <c r="E70" s="157" t="s">
        <v>117</v>
      </c>
      <c r="F70" s="141">
        <v>168</v>
      </c>
      <c r="G70" s="155" t="s">
        <v>131</v>
      </c>
      <c r="H70" s="204">
        <v>43675</v>
      </c>
      <c r="I70" s="143" t="str">
        <f t="shared" si="12"/>
        <v>2019</v>
      </c>
      <c r="J70" s="143" t="str">
        <f t="shared" si="13"/>
        <v>Jul</v>
      </c>
      <c r="K70" s="204">
        <v>43676</v>
      </c>
      <c r="L70" s="157" t="s">
        <v>160</v>
      </c>
      <c r="M70" s="204">
        <v>43714</v>
      </c>
      <c r="N70" s="143" t="str">
        <f t="shared" si="14"/>
        <v>2019</v>
      </c>
      <c r="O70" s="143" t="str">
        <f t="shared" si="15"/>
        <v>Sep</v>
      </c>
      <c r="P70" s="157" t="s">
        <v>164</v>
      </c>
      <c r="Q70" s="146" t="s">
        <v>266</v>
      </c>
      <c r="R70" s="157" t="s">
        <v>49</v>
      </c>
      <c r="S70" s="141" t="s">
        <v>20</v>
      </c>
      <c r="T70" s="204">
        <v>44032</v>
      </c>
      <c r="U70" s="145" t="str">
        <f t="shared" si="16"/>
        <v>2020</v>
      </c>
      <c r="V70" s="145" t="str">
        <f t="shared" si="17"/>
        <v>Jul</v>
      </c>
      <c r="W70" s="141">
        <f t="shared" ca="1" si="11"/>
        <v>256</v>
      </c>
      <c r="X70" s="157" t="s">
        <v>99</v>
      </c>
      <c r="Y70" s="157">
        <f t="shared" ca="1" si="18"/>
        <v>6144</v>
      </c>
      <c r="Z70" s="158">
        <v>122.88</v>
      </c>
      <c r="AA70" s="148">
        <v>6144</v>
      </c>
      <c r="AB70" s="148">
        <f t="shared" si="19"/>
        <v>50</v>
      </c>
      <c r="AC70" s="204">
        <v>43679</v>
      </c>
      <c r="AD70" s="146" t="str">
        <f t="shared" si="20"/>
        <v>2019</v>
      </c>
      <c r="AE70" s="150" t="str">
        <f t="shared" si="21"/>
        <v>Aug</v>
      </c>
    </row>
    <row r="71" spans="2:31" x14ac:dyDescent="0.25">
      <c r="B71" s="152">
        <v>12</v>
      </c>
      <c r="C71" s="157" t="s">
        <v>78</v>
      </c>
      <c r="D71" s="154" t="s">
        <v>57</v>
      </c>
      <c r="E71" s="157" t="s">
        <v>118</v>
      </c>
      <c r="F71" s="141">
        <v>169</v>
      </c>
      <c r="G71" s="155" t="s">
        <v>132</v>
      </c>
      <c r="H71" s="204">
        <v>43677</v>
      </c>
      <c r="I71" s="143" t="str">
        <f t="shared" si="12"/>
        <v>2019</v>
      </c>
      <c r="J71" s="143" t="str">
        <f t="shared" si="13"/>
        <v>Jul</v>
      </c>
      <c r="K71" s="204">
        <v>43685</v>
      </c>
      <c r="L71" s="157" t="s">
        <v>161</v>
      </c>
      <c r="M71" s="204">
        <v>43735</v>
      </c>
      <c r="N71" s="143" t="str">
        <f t="shared" si="14"/>
        <v>2019</v>
      </c>
      <c r="O71" s="143" t="str">
        <f t="shared" si="15"/>
        <v>Sep</v>
      </c>
      <c r="P71" s="157" t="s">
        <v>164</v>
      </c>
      <c r="Q71" s="146" t="s">
        <v>17</v>
      </c>
      <c r="R71" s="157" t="s">
        <v>50</v>
      </c>
      <c r="S71" s="141" t="s">
        <v>20</v>
      </c>
      <c r="T71" s="204">
        <v>43726</v>
      </c>
      <c r="U71" s="145" t="str">
        <f t="shared" si="16"/>
        <v>2019</v>
      </c>
      <c r="V71" s="145" t="str">
        <f t="shared" si="17"/>
        <v>Sep</v>
      </c>
      <c r="W71" s="141">
        <f t="shared" ca="1" si="11"/>
        <v>36</v>
      </c>
      <c r="X71" s="157" t="s">
        <v>100</v>
      </c>
      <c r="Y71" s="157">
        <f t="shared" ca="1" si="18"/>
        <v>864</v>
      </c>
      <c r="Z71" s="158">
        <v>8.64</v>
      </c>
      <c r="AA71" s="148">
        <v>1296</v>
      </c>
      <c r="AB71" s="148">
        <f t="shared" si="19"/>
        <v>150</v>
      </c>
      <c r="AC71" s="204">
        <v>43688</v>
      </c>
      <c r="AD71" s="146" t="str">
        <f t="shared" si="20"/>
        <v>2019</v>
      </c>
      <c r="AE71" s="150" t="str">
        <f t="shared" si="21"/>
        <v>Aug</v>
      </c>
    </row>
    <row r="72" spans="2:31" x14ac:dyDescent="0.25">
      <c r="B72" s="152">
        <v>1</v>
      </c>
      <c r="C72" s="153" t="s">
        <v>7</v>
      </c>
      <c r="D72" s="154" t="s">
        <v>8</v>
      </c>
      <c r="E72" s="157" t="s">
        <v>111</v>
      </c>
      <c r="F72" s="141">
        <v>170</v>
      </c>
      <c r="G72" s="155" t="s">
        <v>123</v>
      </c>
      <c r="H72" s="204">
        <v>43679</v>
      </c>
      <c r="I72" s="143" t="str">
        <f t="shared" si="12"/>
        <v>2019</v>
      </c>
      <c r="J72" s="143" t="str">
        <f t="shared" si="13"/>
        <v>Aug</v>
      </c>
      <c r="K72" s="204">
        <v>43685</v>
      </c>
      <c r="L72" s="157" t="s">
        <v>158</v>
      </c>
      <c r="M72" s="204">
        <v>43730</v>
      </c>
      <c r="N72" s="143" t="str">
        <f t="shared" si="14"/>
        <v>2019</v>
      </c>
      <c r="O72" s="143" t="str">
        <f t="shared" si="15"/>
        <v>Sep</v>
      </c>
      <c r="P72" s="157" t="s">
        <v>165</v>
      </c>
      <c r="Q72" s="146" t="s">
        <v>266</v>
      </c>
      <c r="R72" s="157" t="s">
        <v>18</v>
      </c>
      <c r="S72" s="141" t="s">
        <v>20</v>
      </c>
      <c r="T72" s="204">
        <v>43803</v>
      </c>
      <c r="U72" s="145" t="str">
        <f t="shared" si="16"/>
        <v>2019</v>
      </c>
      <c r="V72" s="145" t="str">
        <f t="shared" si="17"/>
        <v>Dec</v>
      </c>
      <c r="W72" s="141">
        <f t="shared" ca="1" si="11"/>
        <v>89</v>
      </c>
      <c r="X72" s="157" t="s">
        <v>89</v>
      </c>
      <c r="Y72" s="157">
        <f t="shared" ca="1" si="18"/>
        <v>2136</v>
      </c>
      <c r="Z72" s="158">
        <v>64.08</v>
      </c>
      <c r="AA72" s="148">
        <v>3204</v>
      </c>
      <c r="AB72" s="148">
        <f t="shared" si="19"/>
        <v>50</v>
      </c>
      <c r="AC72" s="204">
        <v>43688</v>
      </c>
      <c r="AD72" s="146" t="str">
        <f t="shared" si="20"/>
        <v>2019</v>
      </c>
      <c r="AE72" s="150" t="str">
        <f t="shared" si="21"/>
        <v>Aug</v>
      </c>
    </row>
    <row r="73" spans="2:31" x14ac:dyDescent="0.25">
      <c r="B73" s="152">
        <v>2</v>
      </c>
      <c r="C73" s="153" t="s">
        <v>10</v>
      </c>
      <c r="D73" s="154" t="s">
        <v>11</v>
      </c>
      <c r="E73" s="157" t="s">
        <v>112</v>
      </c>
      <c r="F73" s="141">
        <v>171</v>
      </c>
      <c r="G73" s="155" t="s">
        <v>133</v>
      </c>
      <c r="H73" s="204">
        <v>43683</v>
      </c>
      <c r="I73" s="143" t="str">
        <f t="shared" si="12"/>
        <v>2019</v>
      </c>
      <c r="J73" s="143" t="str">
        <f t="shared" si="13"/>
        <v>Aug</v>
      </c>
      <c r="K73" s="204">
        <v>43687</v>
      </c>
      <c r="L73" s="157" t="s">
        <v>161</v>
      </c>
      <c r="M73" s="204">
        <v>43725</v>
      </c>
      <c r="N73" s="143" t="str">
        <f t="shared" si="14"/>
        <v>2019</v>
      </c>
      <c r="O73" s="143" t="str">
        <f t="shared" si="15"/>
        <v>Sep</v>
      </c>
      <c r="P73" s="157" t="s">
        <v>162</v>
      </c>
      <c r="Q73" s="146" t="s">
        <v>268</v>
      </c>
      <c r="R73" s="157" t="s">
        <v>19</v>
      </c>
      <c r="S73" s="141" t="s">
        <v>20</v>
      </c>
      <c r="T73" s="204">
        <v>43930</v>
      </c>
      <c r="U73" s="145" t="str">
        <f t="shared" si="16"/>
        <v>2020</v>
      </c>
      <c r="V73" s="145" t="str">
        <f t="shared" si="17"/>
        <v>Apr</v>
      </c>
      <c r="W73" s="141">
        <f t="shared" ca="1" si="11"/>
        <v>178</v>
      </c>
      <c r="X73" s="157" t="s">
        <v>90</v>
      </c>
      <c r="Y73" s="157">
        <f t="shared" ca="1" si="18"/>
        <v>4272</v>
      </c>
      <c r="Z73" s="158">
        <v>128.16</v>
      </c>
      <c r="AA73" s="148">
        <v>15379.199999999999</v>
      </c>
      <c r="AB73" s="148">
        <f t="shared" si="19"/>
        <v>120</v>
      </c>
      <c r="AC73" s="204">
        <v>43690</v>
      </c>
      <c r="AD73" s="146" t="str">
        <f t="shared" si="20"/>
        <v>2019</v>
      </c>
      <c r="AE73" s="150" t="str">
        <f t="shared" si="21"/>
        <v>Aug</v>
      </c>
    </row>
    <row r="74" spans="2:31" x14ac:dyDescent="0.25">
      <c r="B74" s="152">
        <v>3</v>
      </c>
      <c r="C74" s="157" t="s">
        <v>69</v>
      </c>
      <c r="D74" s="154" t="s">
        <v>62</v>
      </c>
      <c r="E74" s="157" t="s">
        <v>113</v>
      </c>
      <c r="F74" s="141">
        <v>172</v>
      </c>
      <c r="G74" s="155" t="s">
        <v>134</v>
      </c>
      <c r="H74" s="204">
        <v>43695</v>
      </c>
      <c r="I74" s="143" t="str">
        <f t="shared" si="12"/>
        <v>2019</v>
      </c>
      <c r="J74" s="143" t="str">
        <f t="shared" si="13"/>
        <v>Aug</v>
      </c>
      <c r="K74" s="204">
        <v>43708</v>
      </c>
      <c r="L74" s="157" t="s">
        <v>156</v>
      </c>
      <c r="M74" s="204">
        <v>43742</v>
      </c>
      <c r="N74" s="143" t="str">
        <f t="shared" si="14"/>
        <v>2019</v>
      </c>
      <c r="O74" s="143" t="str">
        <f t="shared" si="15"/>
        <v>Oct</v>
      </c>
      <c r="P74" s="157" t="s">
        <v>165</v>
      </c>
      <c r="Q74" s="146" t="s">
        <v>17</v>
      </c>
      <c r="R74" s="157" t="s">
        <v>41</v>
      </c>
      <c r="S74" s="141" t="s">
        <v>20</v>
      </c>
      <c r="T74" s="204">
        <v>44067</v>
      </c>
      <c r="U74" s="145" t="str">
        <f t="shared" si="16"/>
        <v>2020</v>
      </c>
      <c r="V74" s="145" t="str">
        <f t="shared" si="17"/>
        <v>Aug</v>
      </c>
      <c r="W74" s="141">
        <f t="shared" ca="1" si="11"/>
        <v>266</v>
      </c>
      <c r="X74" s="157" t="s">
        <v>91</v>
      </c>
      <c r="Y74" s="157">
        <f t="shared" ca="1" si="18"/>
        <v>6384</v>
      </c>
      <c r="Z74" s="158">
        <v>191.51999999999998</v>
      </c>
      <c r="AA74" s="148">
        <v>28727.999999999996</v>
      </c>
      <c r="AB74" s="148">
        <f t="shared" si="19"/>
        <v>150</v>
      </c>
      <c r="AC74" s="204">
        <v>43711</v>
      </c>
      <c r="AD74" s="146" t="str">
        <f t="shared" si="20"/>
        <v>2019</v>
      </c>
      <c r="AE74" s="150" t="str">
        <f t="shared" si="21"/>
        <v>Sep</v>
      </c>
    </row>
    <row r="75" spans="2:31" x14ac:dyDescent="0.25">
      <c r="B75" s="152">
        <v>4</v>
      </c>
      <c r="C75" s="157" t="s">
        <v>70</v>
      </c>
      <c r="D75" s="154" t="s">
        <v>63</v>
      </c>
      <c r="E75" s="157" t="s">
        <v>114</v>
      </c>
      <c r="F75" s="141">
        <v>173</v>
      </c>
      <c r="G75" s="155" t="s">
        <v>123</v>
      </c>
      <c r="H75" s="204">
        <v>43695</v>
      </c>
      <c r="I75" s="143" t="str">
        <f t="shared" si="12"/>
        <v>2019</v>
      </c>
      <c r="J75" s="143" t="str">
        <f t="shared" si="13"/>
        <v>Aug</v>
      </c>
      <c r="K75" s="204">
        <v>43696</v>
      </c>
      <c r="L75" s="157" t="s">
        <v>161</v>
      </c>
      <c r="M75" s="204">
        <v>43737</v>
      </c>
      <c r="N75" s="143" t="str">
        <f t="shared" si="14"/>
        <v>2019</v>
      </c>
      <c r="O75" s="143" t="str">
        <f t="shared" si="15"/>
        <v>Sep</v>
      </c>
      <c r="P75" s="157" t="s">
        <v>165</v>
      </c>
      <c r="Q75" s="146" t="s">
        <v>266</v>
      </c>
      <c r="R75" s="157" t="s">
        <v>42</v>
      </c>
      <c r="S75" s="141" t="s">
        <v>20</v>
      </c>
      <c r="T75" s="204">
        <v>43992</v>
      </c>
      <c r="U75" s="145" t="str">
        <f t="shared" si="16"/>
        <v>2020</v>
      </c>
      <c r="V75" s="145" t="str">
        <f t="shared" si="17"/>
        <v>Jun</v>
      </c>
      <c r="W75" s="141">
        <f t="shared" ca="1" si="11"/>
        <v>213</v>
      </c>
      <c r="X75" s="157" t="s">
        <v>92</v>
      </c>
      <c r="Y75" s="157">
        <f t="shared" ca="1" si="18"/>
        <v>5112</v>
      </c>
      <c r="Z75" s="158">
        <v>102.24000000000001</v>
      </c>
      <c r="AA75" s="148">
        <v>5112</v>
      </c>
      <c r="AB75" s="148">
        <f t="shared" si="19"/>
        <v>49.999999999999993</v>
      </c>
      <c r="AC75" s="204">
        <v>43699</v>
      </c>
      <c r="AD75" s="146" t="str">
        <f t="shared" si="20"/>
        <v>2019</v>
      </c>
      <c r="AE75" s="150" t="str">
        <f t="shared" si="21"/>
        <v>Aug</v>
      </c>
    </row>
    <row r="76" spans="2:31" x14ac:dyDescent="0.25">
      <c r="B76" s="152">
        <v>5</v>
      </c>
      <c r="C76" s="157" t="s">
        <v>71</v>
      </c>
      <c r="D76" s="154" t="s">
        <v>64</v>
      </c>
      <c r="E76" s="157" t="s">
        <v>115</v>
      </c>
      <c r="F76" s="141">
        <v>174</v>
      </c>
      <c r="G76" s="155" t="s">
        <v>135</v>
      </c>
      <c r="H76" s="204">
        <v>43701</v>
      </c>
      <c r="I76" s="143" t="str">
        <f t="shared" si="12"/>
        <v>2019</v>
      </c>
      <c r="J76" s="143" t="str">
        <f t="shared" si="13"/>
        <v>Aug</v>
      </c>
      <c r="K76" s="204">
        <v>43703</v>
      </c>
      <c r="L76" s="157" t="s">
        <v>159</v>
      </c>
      <c r="M76" s="204">
        <v>43747</v>
      </c>
      <c r="N76" s="143" t="str">
        <f t="shared" si="14"/>
        <v>2019</v>
      </c>
      <c r="O76" s="143" t="str">
        <f t="shared" si="15"/>
        <v>Oct</v>
      </c>
      <c r="P76" s="157" t="s">
        <v>162</v>
      </c>
      <c r="Q76" s="146" t="s">
        <v>269</v>
      </c>
      <c r="R76" s="157" t="s">
        <v>43</v>
      </c>
      <c r="S76" s="141" t="s">
        <v>20</v>
      </c>
      <c r="T76" s="204">
        <v>44098</v>
      </c>
      <c r="U76" s="145" t="str">
        <f t="shared" si="16"/>
        <v>2020</v>
      </c>
      <c r="V76" s="145" t="str">
        <f t="shared" si="17"/>
        <v>Sep</v>
      </c>
      <c r="W76" s="141">
        <f t="shared" ca="1" si="11"/>
        <v>284</v>
      </c>
      <c r="X76" s="157" t="s">
        <v>93</v>
      </c>
      <c r="Y76" s="157">
        <f t="shared" ca="1" si="18"/>
        <v>6816</v>
      </c>
      <c r="Z76" s="158">
        <v>204.48</v>
      </c>
      <c r="AA76" s="148">
        <v>10224</v>
      </c>
      <c r="AB76" s="148">
        <f t="shared" si="19"/>
        <v>50</v>
      </c>
      <c r="AC76" s="204">
        <v>43706</v>
      </c>
      <c r="AD76" s="146" t="str">
        <f t="shared" si="20"/>
        <v>2019</v>
      </c>
      <c r="AE76" s="150" t="str">
        <f t="shared" si="21"/>
        <v>Aug</v>
      </c>
    </row>
    <row r="77" spans="2:31" x14ac:dyDescent="0.25">
      <c r="B77" s="152">
        <v>6</v>
      </c>
      <c r="C77" s="157" t="s">
        <v>72</v>
      </c>
      <c r="D77" s="154" t="s">
        <v>65</v>
      </c>
      <c r="E77" s="157" t="s">
        <v>116</v>
      </c>
      <c r="F77" s="141">
        <v>175</v>
      </c>
      <c r="G77" s="155" t="s">
        <v>136</v>
      </c>
      <c r="H77" s="204">
        <v>43707</v>
      </c>
      <c r="I77" s="143" t="str">
        <f t="shared" si="12"/>
        <v>2019</v>
      </c>
      <c r="J77" s="143" t="str">
        <f t="shared" si="13"/>
        <v>Aug</v>
      </c>
      <c r="K77" s="204">
        <v>43720</v>
      </c>
      <c r="L77" s="157" t="s">
        <v>158</v>
      </c>
      <c r="M77" s="204">
        <v>43733</v>
      </c>
      <c r="N77" s="143" t="str">
        <f t="shared" si="14"/>
        <v>2019</v>
      </c>
      <c r="O77" s="143" t="str">
        <f t="shared" si="15"/>
        <v>Sep</v>
      </c>
      <c r="P77" s="157" t="s">
        <v>165</v>
      </c>
      <c r="Q77" s="146" t="s">
        <v>17</v>
      </c>
      <c r="R77" s="157" t="s">
        <v>44</v>
      </c>
      <c r="S77" s="141" t="s">
        <v>20</v>
      </c>
      <c r="T77" s="204">
        <v>43941</v>
      </c>
      <c r="U77" s="145" t="str">
        <f t="shared" si="16"/>
        <v>2020</v>
      </c>
      <c r="V77" s="145" t="str">
        <f t="shared" si="17"/>
        <v>Apr</v>
      </c>
      <c r="W77" s="141">
        <f t="shared" ca="1" si="11"/>
        <v>167</v>
      </c>
      <c r="X77" s="157" t="s">
        <v>94</v>
      </c>
      <c r="Y77" s="157">
        <f t="shared" ca="1" si="18"/>
        <v>4008</v>
      </c>
      <c r="Z77" s="158">
        <v>120.24</v>
      </c>
      <c r="AA77" s="148">
        <v>18036</v>
      </c>
      <c r="AB77" s="148">
        <f t="shared" si="19"/>
        <v>150</v>
      </c>
      <c r="AC77" s="204">
        <v>43723</v>
      </c>
      <c r="AD77" s="146" t="str">
        <f t="shared" si="20"/>
        <v>2019</v>
      </c>
      <c r="AE77" s="150" t="str">
        <f t="shared" si="21"/>
        <v>Sep</v>
      </c>
    </row>
    <row r="78" spans="2:31" x14ac:dyDescent="0.25">
      <c r="B78" s="152">
        <v>7</v>
      </c>
      <c r="C78" s="157" t="s">
        <v>73</v>
      </c>
      <c r="D78" s="154" t="s">
        <v>66</v>
      </c>
      <c r="E78" s="157" t="s">
        <v>117</v>
      </c>
      <c r="F78" s="141">
        <v>176</v>
      </c>
      <c r="G78" s="155" t="s">
        <v>122</v>
      </c>
      <c r="H78" s="204">
        <v>43710</v>
      </c>
      <c r="I78" s="143" t="str">
        <f t="shared" si="12"/>
        <v>2019</v>
      </c>
      <c r="J78" s="143" t="str">
        <f t="shared" si="13"/>
        <v>Sep</v>
      </c>
      <c r="K78" s="204">
        <v>43724</v>
      </c>
      <c r="L78" s="157" t="s">
        <v>156</v>
      </c>
      <c r="M78" s="204">
        <v>43746</v>
      </c>
      <c r="N78" s="143" t="str">
        <f t="shared" si="14"/>
        <v>2019</v>
      </c>
      <c r="O78" s="143" t="str">
        <f t="shared" si="15"/>
        <v>Oct</v>
      </c>
      <c r="P78" s="157" t="s">
        <v>162</v>
      </c>
      <c r="Q78" s="146" t="s">
        <v>265</v>
      </c>
      <c r="R78" s="157" t="s">
        <v>45</v>
      </c>
      <c r="S78" s="141" t="s">
        <v>20</v>
      </c>
      <c r="T78" s="204">
        <v>43955</v>
      </c>
      <c r="U78" s="145" t="str">
        <f t="shared" si="16"/>
        <v>2020</v>
      </c>
      <c r="V78" s="145" t="str">
        <f t="shared" si="17"/>
        <v>May</v>
      </c>
      <c r="W78" s="141">
        <f t="shared" ca="1" si="11"/>
        <v>176</v>
      </c>
      <c r="X78" s="157" t="s">
        <v>95</v>
      </c>
      <c r="Y78" s="157">
        <f t="shared" ca="1" si="18"/>
        <v>4224</v>
      </c>
      <c r="Z78" s="158">
        <v>126.72</v>
      </c>
      <c r="AA78" s="148">
        <v>12672</v>
      </c>
      <c r="AB78" s="148">
        <f t="shared" si="19"/>
        <v>100</v>
      </c>
      <c r="AC78" s="204">
        <v>43727</v>
      </c>
      <c r="AD78" s="146" t="str">
        <f t="shared" si="20"/>
        <v>2019</v>
      </c>
      <c r="AE78" s="150" t="str">
        <f t="shared" si="21"/>
        <v>Sep</v>
      </c>
    </row>
    <row r="79" spans="2:31" x14ac:dyDescent="0.25">
      <c r="B79" s="152">
        <v>8</v>
      </c>
      <c r="C79" s="157" t="s">
        <v>74</v>
      </c>
      <c r="D79" s="154" t="s">
        <v>67</v>
      </c>
      <c r="E79" s="157" t="s">
        <v>118</v>
      </c>
      <c r="F79" s="141">
        <v>177</v>
      </c>
      <c r="G79" s="155" t="s">
        <v>123</v>
      </c>
      <c r="H79" s="204">
        <v>43711</v>
      </c>
      <c r="I79" s="143" t="str">
        <f t="shared" si="12"/>
        <v>2019</v>
      </c>
      <c r="J79" s="143" t="str">
        <f t="shared" si="13"/>
        <v>Sep</v>
      </c>
      <c r="K79" s="204">
        <v>43724</v>
      </c>
      <c r="L79" s="157" t="s">
        <v>158</v>
      </c>
      <c r="M79" s="204">
        <v>43740</v>
      </c>
      <c r="N79" s="143" t="str">
        <f t="shared" si="14"/>
        <v>2019</v>
      </c>
      <c r="O79" s="143" t="str">
        <f t="shared" si="15"/>
        <v>Oct</v>
      </c>
      <c r="P79" s="157" t="s">
        <v>164</v>
      </c>
      <c r="Q79" s="146" t="s">
        <v>266</v>
      </c>
      <c r="R79" s="157" t="s">
        <v>46</v>
      </c>
      <c r="S79" s="141" t="s">
        <v>20</v>
      </c>
      <c r="T79" s="204">
        <v>44146</v>
      </c>
      <c r="U79" s="145" t="str">
        <f t="shared" si="16"/>
        <v>2020</v>
      </c>
      <c r="V79" s="145" t="str">
        <f t="shared" si="17"/>
        <v>Nov</v>
      </c>
      <c r="W79" s="141">
        <f t="shared" ca="1" si="11"/>
        <v>312</v>
      </c>
      <c r="X79" s="157" t="s">
        <v>96</v>
      </c>
      <c r="Y79" s="157">
        <f t="shared" ca="1" si="18"/>
        <v>7488</v>
      </c>
      <c r="Z79" s="158">
        <v>224.64</v>
      </c>
      <c r="AA79" s="148">
        <v>11232</v>
      </c>
      <c r="AB79" s="148">
        <f t="shared" si="19"/>
        <v>50</v>
      </c>
      <c r="AC79" s="204">
        <v>43727</v>
      </c>
      <c r="AD79" s="146" t="str">
        <f t="shared" si="20"/>
        <v>2019</v>
      </c>
      <c r="AE79" s="150" t="str">
        <f t="shared" si="21"/>
        <v>Sep</v>
      </c>
    </row>
    <row r="80" spans="2:31" x14ac:dyDescent="0.25">
      <c r="B80" s="152">
        <v>5</v>
      </c>
      <c r="C80" s="157" t="s">
        <v>71</v>
      </c>
      <c r="D80" s="154" t="s">
        <v>64</v>
      </c>
      <c r="E80" s="157" t="s">
        <v>115</v>
      </c>
      <c r="F80" s="141">
        <v>178</v>
      </c>
      <c r="G80" s="155" t="s">
        <v>123</v>
      </c>
      <c r="H80" s="204">
        <v>43711</v>
      </c>
      <c r="I80" s="143" t="str">
        <f t="shared" si="12"/>
        <v>2019</v>
      </c>
      <c r="J80" s="143" t="str">
        <f t="shared" si="13"/>
        <v>Sep</v>
      </c>
      <c r="K80" s="204">
        <v>43721</v>
      </c>
      <c r="L80" s="157" t="s">
        <v>159</v>
      </c>
      <c r="M80" s="204">
        <v>43765</v>
      </c>
      <c r="N80" s="143" t="str">
        <f t="shared" si="14"/>
        <v>2019</v>
      </c>
      <c r="O80" s="143" t="str">
        <f t="shared" si="15"/>
        <v>Oct</v>
      </c>
      <c r="P80" s="157" t="s">
        <v>165</v>
      </c>
      <c r="Q80" s="146" t="s">
        <v>266</v>
      </c>
      <c r="R80" s="157" t="s">
        <v>43</v>
      </c>
      <c r="S80" s="141" t="s">
        <v>20</v>
      </c>
      <c r="T80" s="204">
        <v>44077</v>
      </c>
      <c r="U80" s="145" t="str">
        <f t="shared" si="16"/>
        <v>2020</v>
      </c>
      <c r="V80" s="145" t="str">
        <f t="shared" si="17"/>
        <v>Sep</v>
      </c>
      <c r="W80" s="141">
        <f t="shared" ca="1" si="11"/>
        <v>263</v>
      </c>
      <c r="X80" s="157" t="s">
        <v>93</v>
      </c>
      <c r="Y80" s="157">
        <f t="shared" ca="1" si="18"/>
        <v>6312</v>
      </c>
      <c r="Z80" s="158">
        <v>126.24000000000001</v>
      </c>
      <c r="AA80" s="148">
        <v>6312</v>
      </c>
      <c r="AB80" s="148">
        <f t="shared" si="19"/>
        <v>49.999999999999993</v>
      </c>
      <c r="AC80" s="204">
        <v>43724</v>
      </c>
      <c r="AD80" s="146" t="str">
        <f t="shared" si="20"/>
        <v>2019</v>
      </c>
      <c r="AE80" s="150" t="str">
        <f t="shared" si="21"/>
        <v>Sep</v>
      </c>
    </row>
    <row r="81" spans="2:31" x14ac:dyDescent="0.25">
      <c r="B81" s="152">
        <v>6</v>
      </c>
      <c r="C81" s="157" t="s">
        <v>72</v>
      </c>
      <c r="D81" s="154" t="s">
        <v>65</v>
      </c>
      <c r="E81" s="157" t="s">
        <v>116</v>
      </c>
      <c r="F81" s="141">
        <v>179</v>
      </c>
      <c r="G81" s="155" t="s">
        <v>124</v>
      </c>
      <c r="H81" s="204">
        <v>43714</v>
      </c>
      <c r="I81" s="143" t="str">
        <f t="shared" si="12"/>
        <v>2019</v>
      </c>
      <c r="J81" s="143" t="str">
        <f t="shared" si="13"/>
        <v>Sep</v>
      </c>
      <c r="K81" s="204">
        <v>43725</v>
      </c>
      <c r="L81" s="157" t="s">
        <v>156</v>
      </c>
      <c r="M81" s="204">
        <v>43766</v>
      </c>
      <c r="N81" s="143" t="str">
        <f t="shared" si="14"/>
        <v>2019</v>
      </c>
      <c r="O81" s="143" t="str">
        <f t="shared" si="15"/>
        <v>Oct</v>
      </c>
      <c r="P81" s="157" t="s">
        <v>164</v>
      </c>
      <c r="Q81" s="146" t="s">
        <v>17</v>
      </c>
      <c r="R81" s="157" t="s">
        <v>44</v>
      </c>
      <c r="S81" s="141" t="s">
        <v>20</v>
      </c>
      <c r="T81" s="204">
        <v>44193</v>
      </c>
      <c r="U81" s="145" t="str">
        <f t="shared" si="16"/>
        <v>2020</v>
      </c>
      <c r="V81" s="145" t="str">
        <f t="shared" si="17"/>
        <v>Dec</v>
      </c>
      <c r="W81" s="141">
        <f t="shared" ca="1" si="11"/>
        <v>342</v>
      </c>
      <c r="X81" s="157" t="s">
        <v>94</v>
      </c>
      <c r="Y81" s="157">
        <f t="shared" ca="1" si="18"/>
        <v>8208</v>
      </c>
      <c r="Z81" s="158">
        <v>82.08</v>
      </c>
      <c r="AA81" s="148">
        <v>12312</v>
      </c>
      <c r="AB81" s="148">
        <f t="shared" si="19"/>
        <v>150</v>
      </c>
      <c r="AC81" s="204">
        <v>43728</v>
      </c>
      <c r="AD81" s="146" t="str">
        <f t="shared" si="20"/>
        <v>2019</v>
      </c>
      <c r="AE81" s="150" t="str">
        <f t="shared" si="21"/>
        <v>Sep</v>
      </c>
    </row>
    <row r="82" spans="2:31" x14ac:dyDescent="0.25">
      <c r="B82" s="152">
        <v>7</v>
      </c>
      <c r="C82" s="157" t="s">
        <v>73</v>
      </c>
      <c r="D82" s="154" t="s">
        <v>66</v>
      </c>
      <c r="E82" s="157" t="s">
        <v>117</v>
      </c>
      <c r="F82" s="141">
        <v>180</v>
      </c>
      <c r="G82" s="155" t="s">
        <v>123</v>
      </c>
      <c r="H82" s="204">
        <v>43726</v>
      </c>
      <c r="I82" s="143" t="str">
        <f t="shared" si="12"/>
        <v>2019</v>
      </c>
      <c r="J82" s="143" t="str">
        <f t="shared" si="13"/>
        <v>Sep</v>
      </c>
      <c r="K82" s="204">
        <v>43734</v>
      </c>
      <c r="L82" s="157" t="s">
        <v>157</v>
      </c>
      <c r="M82" s="204">
        <v>43760</v>
      </c>
      <c r="N82" s="143" t="str">
        <f t="shared" si="14"/>
        <v>2019</v>
      </c>
      <c r="O82" s="143" t="str">
        <f t="shared" si="15"/>
        <v>Oct</v>
      </c>
      <c r="P82" s="157" t="s">
        <v>162</v>
      </c>
      <c r="Q82" s="146" t="s">
        <v>266</v>
      </c>
      <c r="R82" s="157" t="s">
        <v>45</v>
      </c>
      <c r="S82" s="141" t="s">
        <v>20</v>
      </c>
      <c r="T82" s="204">
        <v>43937</v>
      </c>
      <c r="U82" s="145" t="str">
        <f t="shared" si="16"/>
        <v>2020</v>
      </c>
      <c r="V82" s="145" t="str">
        <f t="shared" si="17"/>
        <v>Apr</v>
      </c>
      <c r="W82" s="141">
        <f t="shared" ca="1" si="11"/>
        <v>152</v>
      </c>
      <c r="X82" s="157" t="s">
        <v>95</v>
      </c>
      <c r="Y82" s="157">
        <f t="shared" ca="1" si="18"/>
        <v>3648</v>
      </c>
      <c r="Z82" s="158">
        <v>109.44</v>
      </c>
      <c r="AA82" s="148">
        <v>5472</v>
      </c>
      <c r="AB82" s="148">
        <f t="shared" si="19"/>
        <v>50</v>
      </c>
      <c r="AC82" s="204">
        <v>43737</v>
      </c>
      <c r="AD82" s="146" t="str">
        <f t="shared" si="20"/>
        <v>2019</v>
      </c>
      <c r="AE82" s="150" t="str">
        <f t="shared" si="21"/>
        <v>Sep</v>
      </c>
    </row>
    <row r="83" spans="2:31" x14ac:dyDescent="0.25">
      <c r="B83" s="152">
        <v>8</v>
      </c>
      <c r="C83" s="157" t="s">
        <v>74</v>
      </c>
      <c r="D83" s="154" t="s">
        <v>67</v>
      </c>
      <c r="E83" s="157" t="s">
        <v>118</v>
      </c>
      <c r="F83" s="141">
        <v>181</v>
      </c>
      <c r="G83" s="155" t="s">
        <v>125</v>
      </c>
      <c r="H83" s="204">
        <v>43730</v>
      </c>
      <c r="I83" s="143" t="str">
        <f t="shared" si="12"/>
        <v>2019</v>
      </c>
      <c r="J83" s="143" t="str">
        <f t="shared" si="13"/>
        <v>Sep</v>
      </c>
      <c r="K83" s="204">
        <v>43740</v>
      </c>
      <c r="L83" s="157" t="s">
        <v>161</v>
      </c>
      <c r="M83" s="204">
        <v>43767</v>
      </c>
      <c r="N83" s="143" t="str">
        <f t="shared" si="14"/>
        <v>2019</v>
      </c>
      <c r="O83" s="143" t="str">
        <f t="shared" si="15"/>
        <v>Oct</v>
      </c>
      <c r="P83" s="157" t="s">
        <v>162</v>
      </c>
      <c r="Q83" s="146" t="s">
        <v>17</v>
      </c>
      <c r="R83" s="157" t="s">
        <v>46</v>
      </c>
      <c r="S83" s="141" t="s">
        <v>20</v>
      </c>
      <c r="T83" s="204">
        <v>44118</v>
      </c>
      <c r="U83" s="145" t="str">
        <f t="shared" si="16"/>
        <v>2020</v>
      </c>
      <c r="V83" s="145" t="str">
        <f t="shared" si="17"/>
        <v>Oct</v>
      </c>
      <c r="W83" s="141">
        <f t="shared" ca="1" si="11"/>
        <v>278</v>
      </c>
      <c r="X83" s="157" t="s">
        <v>96</v>
      </c>
      <c r="Y83" s="157">
        <f t="shared" ca="1" si="18"/>
        <v>6672</v>
      </c>
      <c r="Z83" s="158">
        <v>133.44</v>
      </c>
      <c r="AA83" s="148">
        <v>20016</v>
      </c>
      <c r="AB83" s="148">
        <f t="shared" si="19"/>
        <v>150</v>
      </c>
      <c r="AC83" s="204">
        <v>43743</v>
      </c>
      <c r="AD83" s="146" t="str">
        <f t="shared" si="20"/>
        <v>2019</v>
      </c>
      <c r="AE83" s="150" t="str">
        <f t="shared" si="21"/>
        <v>Oct</v>
      </c>
    </row>
    <row r="84" spans="2:31" x14ac:dyDescent="0.25">
      <c r="B84" s="152">
        <v>9</v>
      </c>
      <c r="C84" s="157" t="s">
        <v>75</v>
      </c>
      <c r="D84" s="154" t="s">
        <v>68</v>
      </c>
      <c r="E84" s="157" t="s">
        <v>115</v>
      </c>
      <c r="F84" s="141">
        <v>182</v>
      </c>
      <c r="G84" s="155" t="s">
        <v>126</v>
      </c>
      <c r="H84" s="204">
        <v>43731</v>
      </c>
      <c r="I84" s="143" t="str">
        <f t="shared" si="12"/>
        <v>2019</v>
      </c>
      <c r="J84" s="143" t="str">
        <f t="shared" si="13"/>
        <v>Sep</v>
      </c>
      <c r="K84" s="204">
        <v>43744</v>
      </c>
      <c r="L84" s="157" t="s">
        <v>161</v>
      </c>
      <c r="M84" s="204">
        <v>43761</v>
      </c>
      <c r="N84" s="143" t="str">
        <f t="shared" si="14"/>
        <v>2019</v>
      </c>
      <c r="O84" s="143" t="str">
        <f t="shared" si="15"/>
        <v>Oct</v>
      </c>
      <c r="P84" s="157" t="s">
        <v>165</v>
      </c>
      <c r="Q84" s="146" t="s">
        <v>17</v>
      </c>
      <c r="R84" s="157" t="s">
        <v>47</v>
      </c>
      <c r="S84" s="141" t="s">
        <v>20</v>
      </c>
      <c r="T84" s="204">
        <v>43880</v>
      </c>
      <c r="U84" s="145" t="str">
        <f t="shared" si="16"/>
        <v>2020</v>
      </c>
      <c r="V84" s="145" t="str">
        <f t="shared" si="17"/>
        <v>Feb</v>
      </c>
      <c r="W84" s="141">
        <f t="shared" ca="1" si="11"/>
        <v>108</v>
      </c>
      <c r="X84" s="157" t="s">
        <v>97</v>
      </c>
      <c r="Y84" s="157">
        <f t="shared" ca="1" si="18"/>
        <v>2592</v>
      </c>
      <c r="Z84" s="158">
        <v>77.759999999999991</v>
      </c>
      <c r="AA84" s="148">
        <v>11663.999999999998</v>
      </c>
      <c r="AB84" s="148">
        <f t="shared" si="19"/>
        <v>150</v>
      </c>
      <c r="AC84" s="204">
        <v>43747</v>
      </c>
      <c r="AD84" s="146" t="str">
        <f t="shared" si="20"/>
        <v>2019</v>
      </c>
      <c r="AE84" s="150" t="str">
        <f t="shared" si="21"/>
        <v>Oct</v>
      </c>
    </row>
    <row r="85" spans="2:31" x14ac:dyDescent="0.25">
      <c r="B85" s="152">
        <v>10</v>
      </c>
      <c r="C85" s="157" t="s">
        <v>76</v>
      </c>
      <c r="D85" s="154" t="s">
        <v>55</v>
      </c>
      <c r="E85" s="157" t="s">
        <v>116</v>
      </c>
      <c r="F85" s="141">
        <v>183</v>
      </c>
      <c r="G85" s="155" t="s">
        <v>127</v>
      </c>
      <c r="H85" s="204">
        <v>43733</v>
      </c>
      <c r="I85" s="143" t="str">
        <f t="shared" si="12"/>
        <v>2019</v>
      </c>
      <c r="J85" s="143" t="str">
        <f t="shared" si="13"/>
        <v>Sep</v>
      </c>
      <c r="K85" s="204">
        <v>43734</v>
      </c>
      <c r="L85" s="157" t="s">
        <v>159</v>
      </c>
      <c r="M85" s="204">
        <v>43774</v>
      </c>
      <c r="N85" s="143" t="str">
        <f t="shared" si="14"/>
        <v>2019</v>
      </c>
      <c r="O85" s="143" t="str">
        <f t="shared" si="15"/>
        <v>Nov</v>
      </c>
      <c r="P85" s="157" t="s">
        <v>165</v>
      </c>
      <c r="Q85" s="146" t="s">
        <v>17</v>
      </c>
      <c r="R85" s="157" t="s">
        <v>48</v>
      </c>
      <c r="S85" s="141" t="s">
        <v>20</v>
      </c>
      <c r="T85" s="204">
        <v>43764</v>
      </c>
      <c r="U85" s="145" t="str">
        <f t="shared" si="16"/>
        <v>2019</v>
      </c>
      <c r="V85" s="145" t="str">
        <f t="shared" si="17"/>
        <v>Oct</v>
      </c>
      <c r="W85" s="141">
        <f t="shared" ca="1" si="11"/>
        <v>23</v>
      </c>
      <c r="X85" s="157" t="s">
        <v>98</v>
      </c>
      <c r="Y85" s="157">
        <f t="shared" ca="1" si="18"/>
        <v>552</v>
      </c>
      <c r="Z85" s="158">
        <v>5.5200000000000005</v>
      </c>
      <c r="AA85" s="148">
        <v>828.00000000000011</v>
      </c>
      <c r="AB85" s="148">
        <f t="shared" si="19"/>
        <v>150</v>
      </c>
      <c r="AC85" s="204">
        <v>43737</v>
      </c>
      <c r="AD85" s="146" t="str">
        <f t="shared" si="20"/>
        <v>2019</v>
      </c>
      <c r="AE85" s="150" t="str">
        <f t="shared" si="21"/>
        <v>Sep</v>
      </c>
    </row>
    <row r="86" spans="2:31" x14ac:dyDescent="0.25">
      <c r="B86" s="152">
        <v>11</v>
      </c>
      <c r="C86" s="157" t="s">
        <v>77</v>
      </c>
      <c r="D86" s="154" t="s">
        <v>56</v>
      </c>
      <c r="E86" s="157" t="s">
        <v>117</v>
      </c>
      <c r="F86" s="141">
        <v>184</v>
      </c>
      <c r="G86" s="155" t="s">
        <v>128</v>
      </c>
      <c r="H86" s="204">
        <v>43735</v>
      </c>
      <c r="I86" s="143" t="str">
        <f t="shared" si="12"/>
        <v>2019</v>
      </c>
      <c r="J86" s="143" t="str">
        <f t="shared" si="13"/>
        <v>Sep</v>
      </c>
      <c r="K86" s="204">
        <v>43745</v>
      </c>
      <c r="L86" s="157" t="s">
        <v>156</v>
      </c>
      <c r="M86" s="204">
        <v>43785</v>
      </c>
      <c r="N86" s="143" t="str">
        <f t="shared" si="14"/>
        <v>2019</v>
      </c>
      <c r="O86" s="143" t="str">
        <f t="shared" si="15"/>
        <v>Nov</v>
      </c>
      <c r="P86" s="157" t="s">
        <v>164</v>
      </c>
      <c r="Q86" s="146" t="s">
        <v>267</v>
      </c>
      <c r="R86" s="157" t="s">
        <v>49</v>
      </c>
      <c r="S86" s="141" t="s">
        <v>20</v>
      </c>
      <c r="T86" s="204">
        <v>43973</v>
      </c>
      <c r="U86" s="145" t="str">
        <f t="shared" si="16"/>
        <v>2020</v>
      </c>
      <c r="V86" s="145" t="str">
        <f t="shared" si="17"/>
        <v>May</v>
      </c>
      <c r="W86" s="141">
        <f t="shared" ca="1" si="11"/>
        <v>171</v>
      </c>
      <c r="X86" s="157" t="s">
        <v>99</v>
      </c>
      <c r="Y86" s="157">
        <f t="shared" ca="1" si="18"/>
        <v>4104</v>
      </c>
      <c r="Z86" s="158">
        <v>41.04</v>
      </c>
      <c r="AA86" s="148">
        <v>3078</v>
      </c>
      <c r="AB86" s="148">
        <f t="shared" si="19"/>
        <v>75</v>
      </c>
      <c r="AC86" s="204">
        <v>43748</v>
      </c>
      <c r="AD86" s="146" t="str">
        <f t="shared" si="20"/>
        <v>2019</v>
      </c>
      <c r="AE86" s="150" t="str">
        <f t="shared" si="21"/>
        <v>Oct</v>
      </c>
    </row>
    <row r="87" spans="2:31" x14ac:dyDescent="0.25">
      <c r="B87" s="152">
        <v>12</v>
      </c>
      <c r="C87" s="157" t="s">
        <v>78</v>
      </c>
      <c r="D87" s="154" t="s">
        <v>57</v>
      </c>
      <c r="E87" s="157" t="s">
        <v>118</v>
      </c>
      <c r="F87" s="141">
        <v>185</v>
      </c>
      <c r="G87" s="155" t="s">
        <v>129</v>
      </c>
      <c r="H87" s="204">
        <v>43736</v>
      </c>
      <c r="I87" s="143" t="str">
        <f t="shared" si="12"/>
        <v>2019</v>
      </c>
      <c r="J87" s="143" t="str">
        <f t="shared" si="13"/>
        <v>Sep</v>
      </c>
      <c r="K87" s="204">
        <v>43739</v>
      </c>
      <c r="L87" s="157" t="s">
        <v>160</v>
      </c>
      <c r="M87" s="204">
        <v>43782</v>
      </c>
      <c r="N87" s="143" t="str">
        <f t="shared" si="14"/>
        <v>2019</v>
      </c>
      <c r="O87" s="143" t="str">
        <f t="shared" si="15"/>
        <v>Nov</v>
      </c>
      <c r="P87" s="157" t="s">
        <v>162</v>
      </c>
      <c r="Q87" s="146" t="s">
        <v>17</v>
      </c>
      <c r="R87" s="157" t="s">
        <v>50</v>
      </c>
      <c r="S87" s="141" t="s">
        <v>20</v>
      </c>
      <c r="T87" s="204">
        <v>43867</v>
      </c>
      <c r="U87" s="145" t="str">
        <f t="shared" si="16"/>
        <v>2020</v>
      </c>
      <c r="V87" s="145" t="str">
        <f t="shared" si="17"/>
        <v>Feb</v>
      </c>
      <c r="W87" s="141">
        <f t="shared" ca="1" si="11"/>
        <v>94</v>
      </c>
      <c r="X87" s="157" t="s">
        <v>100</v>
      </c>
      <c r="Y87" s="157">
        <f t="shared" ca="1" si="18"/>
        <v>2256</v>
      </c>
      <c r="Z87" s="158">
        <v>22.56</v>
      </c>
      <c r="AA87" s="148">
        <v>3384</v>
      </c>
      <c r="AB87" s="148">
        <f t="shared" si="19"/>
        <v>150</v>
      </c>
      <c r="AC87" s="204">
        <v>43742</v>
      </c>
      <c r="AD87" s="146" t="str">
        <f t="shared" si="20"/>
        <v>2019</v>
      </c>
      <c r="AE87" s="150" t="str">
        <f t="shared" si="21"/>
        <v>Oct</v>
      </c>
    </row>
    <row r="88" spans="2:31" x14ac:dyDescent="0.25">
      <c r="B88" s="152">
        <v>13</v>
      </c>
      <c r="C88" s="157" t="s">
        <v>79</v>
      </c>
      <c r="D88" s="154" t="s">
        <v>58</v>
      </c>
      <c r="E88" s="157" t="s">
        <v>111</v>
      </c>
      <c r="F88" s="141">
        <v>186</v>
      </c>
      <c r="G88" s="155" t="s">
        <v>123</v>
      </c>
      <c r="H88" s="204">
        <v>43739</v>
      </c>
      <c r="I88" s="143" t="str">
        <f t="shared" si="12"/>
        <v>2019</v>
      </c>
      <c r="J88" s="143" t="str">
        <f t="shared" si="13"/>
        <v>Oct</v>
      </c>
      <c r="K88" s="204">
        <v>43748</v>
      </c>
      <c r="L88" s="157" t="s">
        <v>159</v>
      </c>
      <c r="M88" s="204">
        <v>43770</v>
      </c>
      <c r="N88" s="143" t="str">
        <f t="shared" si="14"/>
        <v>2019</v>
      </c>
      <c r="O88" s="143" t="str">
        <f t="shared" si="15"/>
        <v>Nov</v>
      </c>
      <c r="P88" s="157" t="s">
        <v>162</v>
      </c>
      <c r="Q88" s="146" t="s">
        <v>266</v>
      </c>
      <c r="R88" s="157" t="s">
        <v>51</v>
      </c>
      <c r="S88" s="141" t="s">
        <v>20</v>
      </c>
      <c r="T88" s="204">
        <v>43968</v>
      </c>
      <c r="U88" s="145" t="str">
        <f t="shared" si="16"/>
        <v>2020</v>
      </c>
      <c r="V88" s="145" t="str">
        <f t="shared" si="17"/>
        <v>May</v>
      </c>
      <c r="W88" s="141">
        <f t="shared" ca="1" si="11"/>
        <v>164</v>
      </c>
      <c r="X88" s="157" t="s">
        <v>101</v>
      </c>
      <c r="Y88" s="157">
        <f t="shared" ca="1" si="18"/>
        <v>3936</v>
      </c>
      <c r="Z88" s="158">
        <v>39.36</v>
      </c>
      <c r="AA88" s="148">
        <v>1968</v>
      </c>
      <c r="AB88" s="148">
        <f t="shared" si="19"/>
        <v>50</v>
      </c>
      <c r="AC88" s="204">
        <v>43751</v>
      </c>
      <c r="AD88" s="146" t="str">
        <f t="shared" si="20"/>
        <v>2019</v>
      </c>
      <c r="AE88" s="150" t="str">
        <f t="shared" si="21"/>
        <v>Oct</v>
      </c>
    </row>
    <row r="89" spans="2:31" x14ac:dyDescent="0.25">
      <c r="B89" s="152">
        <v>14</v>
      </c>
      <c r="C89" s="157" t="s">
        <v>80</v>
      </c>
      <c r="D89" s="154" t="s">
        <v>59</v>
      </c>
      <c r="E89" s="157" t="s">
        <v>112</v>
      </c>
      <c r="F89" s="141">
        <v>187</v>
      </c>
      <c r="G89" s="155" t="s">
        <v>130</v>
      </c>
      <c r="H89" s="204">
        <v>43743</v>
      </c>
      <c r="I89" s="143" t="str">
        <f t="shared" si="12"/>
        <v>2019</v>
      </c>
      <c r="J89" s="143" t="str">
        <f t="shared" si="13"/>
        <v>Oct</v>
      </c>
      <c r="K89" s="204">
        <v>43758</v>
      </c>
      <c r="L89" s="157" t="s">
        <v>157</v>
      </c>
      <c r="M89" s="204">
        <v>43786</v>
      </c>
      <c r="N89" s="143" t="str">
        <f t="shared" si="14"/>
        <v>2019</v>
      </c>
      <c r="O89" s="143" t="str">
        <f t="shared" si="15"/>
        <v>Nov</v>
      </c>
      <c r="P89" s="157" t="s">
        <v>165</v>
      </c>
      <c r="Q89" s="146" t="s">
        <v>17</v>
      </c>
      <c r="R89" s="157" t="s">
        <v>52</v>
      </c>
      <c r="S89" s="141" t="s">
        <v>20</v>
      </c>
      <c r="T89" s="204">
        <v>43931</v>
      </c>
      <c r="U89" s="145" t="str">
        <f t="shared" si="16"/>
        <v>2020</v>
      </c>
      <c r="V89" s="145" t="str">
        <f t="shared" si="17"/>
        <v>Apr</v>
      </c>
      <c r="W89" s="141">
        <f t="shared" ca="1" si="11"/>
        <v>135</v>
      </c>
      <c r="X89" s="157" t="s">
        <v>102</v>
      </c>
      <c r="Y89" s="157">
        <f t="shared" ca="1" si="18"/>
        <v>3240</v>
      </c>
      <c r="Z89" s="158">
        <v>32.4</v>
      </c>
      <c r="AA89" s="148">
        <v>4860</v>
      </c>
      <c r="AB89" s="148">
        <f t="shared" si="19"/>
        <v>150</v>
      </c>
      <c r="AC89" s="204">
        <v>43761</v>
      </c>
      <c r="AD89" s="146" t="str">
        <f t="shared" si="20"/>
        <v>2019</v>
      </c>
      <c r="AE89" s="150" t="str">
        <f t="shared" si="21"/>
        <v>Oct</v>
      </c>
    </row>
    <row r="90" spans="2:31" x14ac:dyDescent="0.25">
      <c r="B90" s="152">
        <v>15</v>
      </c>
      <c r="C90" s="157" t="s">
        <v>81</v>
      </c>
      <c r="D90" s="154" t="s">
        <v>60</v>
      </c>
      <c r="E90" s="157" t="s">
        <v>113</v>
      </c>
      <c r="F90" s="141">
        <v>188</v>
      </c>
      <c r="G90" s="155" t="s">
        <v>131</v>
      </c>
      <c r="H90" s="204">
        <v>43743</v>
      </c>
      <c r="I90" s="143" t="str">
        <f t="shared" si="12"/>
        <v>2019</v>
      </c>
      <c r="J90" s="143" t="str">
        <f t="shared" si="13"/>
        <v>Oct</v>
      </c>
      <c r="K90" s="204">
        <v>43750</v>
      </c>
      <c r="L90" s="157" t="s">
        <v>158</v>
      </c>
      <c r="M90" s="204">
        <v>43795</v>
      </c>
      <c r="N90" s="143" t="str">
        <f t="shared" si="14"/>
        <v>2019</v>
      </c>
      <c r="O90" s="143" t="str">
        <f t="shared" si="15"/>
        <v>Nov</v>
      </c>
      <c r="P90" s="157" t="s">
        <v>165</v>
      </c>
      <c r="Q90" s="146" t="s">
        <v>266</v>
      </c>
      <c r="R90" s="157" t="s">
        <v>53</v>
      </c>
      <c r="S90" s="141" t="s">
        <v>20</v>
      </c>
      <c r="T90" s="204">
        <v>43822</v>
      </c>
      <c r="U90" s="145" t="str">
        <f t="shared" si="16"/>
        <v>2019</v>
      </c>
      <c r="V90" s="145" t="str">
        <f t="shared" si="17"/>
        <v>Dec</v>
      </c>
      <c r="W90" s="141">
        <f t="shared" ca="1" si="11"/>
        <v>56</v>
      </c>
      <c r="X90" s="157" t="s">
        <v>103</v>
      </c>
      <c r="Y90" s="157">
        <f t="shared" ca="1" si="18"/>
        <v>1344</v>
      </c>
      <c r="Z90" s="158">
        <v>26.88</v>
      </c>
      <c r="AA90" s="148">
        <v>1344</v>
      </c>
      <c r="AB90" s="148">
        <f t="shared" si="19"/>
        <v>50</v>
      </c>
      <c r="AC90" s="204">
        <v>43753</v>
      </c>
      <c r="AD90" s="146" t="str">
        <f t="shared" si="20"/>
        <v>2019</v>
      </c>
      <c r="AE90" s="150" t="str">
        <f t="shared" si="21"/>
        <v>Oct</v>
      </c>
    </row>
    <row r="91" spans="2:31" x14ac:dyDescent="0.25">
      <c r="B91" s="152">
        <v>16</v>
      </c>
      <c r="C91" s="157" t="s">
        <v>82</v>
      </c>
      <c r="D91" s="154" t="s">
        <v>61</v>
      </c>
      <c r="E91" s="157" t="s">
        <v>114</v>
      </c>
      <c r="F91" s="141">
        <v>189</v>
      </c>
      <c r="G91" s="155" t="s">
        <v>132</v>
      </c>
      <c r="H91" s="204">
        <v>43745</v>
      </c>
      <c r="I91" s="143" t="str">
        <f t="shared" si="12"/>
        <v>2019</v>
      </c>
      <c r="J91" s="143" t="str">
        <f t="shared" si="13"/>
        <v>Oct</v>
      </c>
      <c r="K91" s="204">
        <v>43752</v>
      </c>
      <c r="L91" s="157" t="s">
        <v>160</v>
      </c>
      <c r="M91" s="204">
        <v>43787</v>
      </c>
      <c r="N91" s="143" t="str">
        <f t="shared" si="14"/>
        <v>2019</v>
      </c>
      <c r="O91" s="143" t="str">
        <f t="shared" si="15"/>
        <v>Nov</v>
      </c>
      <c r="P91" s="157" t="s">
        <v>162</v>
      </c>
      <c r="Q91" s="146" t="s">
        <v>17</v>
      </c>
      <c r="R91" s="157" t="s">
        <v>54</v>
      </c>
      <c r="S91" s="141" t="s">
        <v>20</v>
      </c>
      <c r="T91" s="204">
        <v>43801</v>
      </c>
      <c r="U91" s="145" t="str">
        <f t="shared" si="16"/>
        <v>2019</v>
      </c>
      <c r="V91" s="145" t="str">
        <f t="shared" si="17"/>
        <v>Dec</v>
      </c>
      <c r="W91" s="141">
        <f t="shared" ca="1" si="11"/>
        <v>41</v>
      </c>
      <c r="X91" s="157" t="s">
        <v>104</v>
      </c>
      <c r="Y91" s="157">
        <f t="shared" ca="1" si="18"/>
        <v>984</v>
      </c>
      <c r="Z91" s="158">
        <v>9.84</v>
      </c>
      <c r="AA91" s="148">
        <v>1476</v>
      </c>
      <c r="AB91" s="148">
        <f t="shared" si="19"/>
        <v>150</v>
      </c>
      <c r="AC91" s="204">
        <v>43755</v>
      </c>
      <c r="AD91" s="146" t="str">
        <f t="shared" si="20"/>
        <v>2019</v>
      </c>
      <c r="AE91" s="150" t="str">
        <f t="shared" si="21"/>
        <v>Oct</v>
      </c>
    </row>
    <row r="92" spans="2:31" x14ac:dyDescent="0.25">
      <c r="B92" s="152">
        <v>17</v>
      </c>
      <c r="C92" s="157" t="s">
        <v>83</v>
      </c>
      <c r="D92" s="154" t="s">
        <v>33</v>
      </c>
      <c r="E92" s="157" t="s">
        <v>115</v>
      </c>
      <c r="F92" s="141">
        <v>190</v>
      </c>
      <c r="G92" s="155" t="s">
        <v>124</v>
      </c>
      <c r="H92" s="204">
        <v>43758</v>
      </c>
      <c r="I92" s="143" t="str">
        <f t="shared" si="12"/>
        <v>2019</v>
      </c>
      <c r="J92" s="143" t="str">
        <f t="shared" si="13"/>
        <v>Oct</v>
      </c>
      <c r="K92" s="204">
        <v>43758</v>
      </c>
      <c r="L92" s="157" t="s">
        <v>156</v>
      </c>
      <c r="M92" s="204">
        <v>43797</v>
      </c>
      <c r="N92" s="143" t="str">
        <f t="shared" si="14"/>
        <v>2019</v>
      </c>
      <c r="O92" s="143" t="str">
        <f t="shared" si="15"/>
        <v>Nov</v>
      </c>
      <c r="P92" s="157" t="s">
        <v>162</v>
      </c>
      <c r="Q92" s="146" t="s">
        <v>17</v>
      </c>
      <c r="R92" s="157" t="s">
        <v>38</v>
      </c>
      <c r="S92" s="141" t="s">
        <v>20</v>
      </c>
      <c r="T92" s="204">
        <v>44051</v>
      </c>
      <c r="U92" s="145" t="str">
        <f t="shared" si="16"/>
        <v>2020</v>
      </c>
      <c r="V92" s="145" t="str">
        <f t="shared" si="17"/>
        <v>Aug</v>
      </c>
      <c r="W92" s="141">
        <f t="shared" ca="1" si="11"/>
        <v>210</v>
      </c>
      <c r="X92" s="157" t="s">
        <v>105</v>
      </c>
      <c r="Y92" s="157">
        <f t="shared" ca="1" si="18"/>
        <v>5040</v>
      </c>
      <c r="Z92" s="158">
        <v>100.8</v>
      </c>
      <c r="AA92" s="148">
        <v>15120</v>
      </c>
      <c r="AB92" s="148">
        <f t="shared" si="19"/>
        <v>150</v>
      </c>
      <c r="AC92" s="204">
        <v>43761</v>
      </c>
      <c r="AD92" s="146" t="str">
        <f t="shared" si="20"/>
        <v>2019</v>
      </c>
      <c r="AE92" s="150" t="str">
        <f t="shared" si="21"/>
        <v>Oct</v>
      </c>
    </row>
    <row r="93" spans="2:31" x14ac:dyDescent="0.25">
      <c r="B93" s="152">
        <v>18</v>
      </c>
      <c r="C93" s="157" t="s">
        <v>84</v>
      </c>
      <c r="D93" s="154" t="s">
        <v>89</v>
      </c>
      <c r="E93" s="157" t="s">
        <v>112</v>
      </c>
      <c r="F93" s="141">
        <v>191</v>
      </c>
      <c r="G93" s="155" t="s">
        <v>133</v>
      </c>
      <c r="H93" s="204">
        <v>43765</v>
      </c>
      <c r="I93" s="143" t="str">
        <f t="shared" si="12"/>
        <v>2019</v>
      </c>
      <c r="J93" s="143" t="str">
        <f t="shared" si="13"/>
        <v>Oct</v>
      </c>
      <c r="K93" s="204">
        <v>43780</v>
      </c>
      <c r="L93" s="157" t="s">
        <v>160</v>
      </c>
      <c r="M93" s="204">
        <v>43808</v>
      </c>
      <c r="N93" s="143" t="str">
        <f t="shared" si="14"/>
        <v>2019</v>
      </c>
      <c r="O93" s="143" t="str">
        <f t="shared" si="15"/>
        <v>Dec</v>
      </c>
      <c r="P93" s="157" t="s">
        <v>164</v>
      </c>
      <c r="Q93" s="146" t="s">
        <v>268</v>
      </c>
      <c r="R93" s="157" t="s">
        <v>40</v>
      </c>
      <c r="S93" s="141" t="s">
        <v>20</v>
      </c>
      <c r="T93" s="204">
        <v>44142</v>
      </c>
      <c r="U93" s="145" t="str">
        <f t="shared" si="16"/>
        <v>2020</v>
      </c>
      <c r="V93" s="145" t="str">
        <f t="shared" si="17"/>
        <v>Nov</v>
      </c>
      <c r="W93" s="141">
        <f t="shared" ca="1" si="11"/>
        <v>270</v>
      </c>
      <c r="X93" s="157" t="s">
        <v>106</v>
      </c>
      <c r="Y93" s="157">
        <f t="shared" ca="1" si="18"/>
        <v>6480</v>
      </c>
      <c r="Z93" s="158">
        <v>64.8</v>
      </c>
      <c r="AA93" s="148">
        <v>7776</v>
      </c>
      <c r="AB93" s="148">
        <f t="shared" si="19"/>
        <v>120</v>
      </c>
      <c r="AC93" s="204">
        <v>43783</v>
      </c>
      <c r="AD93" s="146" t="str">
        <f t="shared" si="20"/>
        <v>2019</v>
      </c>
      <c r="AE93" s="150" t="str">
        <f t="shared" si="21"/>
        <v>Nov</v>
      </c>
    </row>
    <row r="94" spans="2:31" x14ac:dyDescent="0.25">
      <c r="B94" s="152">
        <v>1</v>
      </c>
      <c r="C94" s="153" t="s">
        <v>7</v>
      </c>
      <c r="D94" s="154" t="s">
        <v>8</v>
      </c>
      <c r="E94" s="157" t="s">
        <v>111</v>
      </c>
      <c r="F94" s="141">
        <v>192</v>
      </c>
      <c r="G94" s="155" t="s">
        <v>134</v>
      </c>
      <c r="H94" s="204">
        <v>43769</v>
      </c>
      <c r="I94" s="143" t="str">
        <f t="shared" si="12"/>
        <v>2019</v>
      </c>
      <c r="J94" s="143" t="str">
        <f t="shared" si="13"/>
        <v>Oct</v>
      </c>
      <c r="K94" s="204">
        <v>43769</v>
      </c>
      <c r="L94" s="157" t="s">
        <v>161</v>
      </c>
      <c r="M94" s="204">
        <v>43807</v>
      </c>
      <c r="N94" s="143" t="str">
        <f t="shared" si="14"/>
        <v>2019</v>
      </c>
      <c r="O94" s="143" t="str">
        <f t="shared" si="15"/>
        <v>Dec</v>
      </c>
      <c r="P94" s="157" t="s">
        <v>162</v>
      </c>
      <c r="Q94" s="146" t="s">
        <v>17</v>
      </c>
      <c r="R94" s="157" t="s">
        <v>18</v>
      </c>
      <c r="S94" s="141" t="s">
        <v>20</v>
      </c>
      <c r="T94" s="204">
        <v>44277</v>
      </c>
      <c r="U94" s="145" t="str">
        <f t="shared" si="16"/>
        <v>2021</v>
      </c>
      <c r="V94" s="145" t="str">
        <f t="shared" si="17"/>
        <v>Mar</v>
      </c>
      <c r="W94" s="141">
        <f t="shared" ca="1" si="11"/>
        <v>363</v>
      </c>
      <c r="X94" s="157" t="s">
        <v>89</v>
      </c>
      <c r="Y94" s="157">
        <f t="shared" ca="1" si="18"/>
        <v>8712</v>
      </c>
      <c r="Z94" s="158">
        <v>87.12</v>
      </c>
      <c r="AA94" s="148">
        <v>13068</v>
      </c>
      <c r="AB94" s="148">
        <f t="shared" si="19"/>
        <v>150</v>
      </c>
      <c r="AC94" s="204">
        <v>43772</v>
      </c>
      <c r="AD94" s="146" t="str">
        <f t="shared" si="20"/>
        <v>2019</v>
      </c>
      <c r="AE94" s="150" t="str">
        <f t="shared" si="21"/>
        <v>Nov</v>
      </c>
    </row>
    <row r="95" spans="2:31" x14ac:dyDescent="0.25">
      <c r="B95" s="152">
        <v>2</v>
      </c>
      <c r="C95" s="153" t="s">
        <v>10</v>
      </c>
      <c r="D95" s="154" t="s">
        <v>11</v>
      </c>
      <c r="E95" s="157" t="s">
        <v>112</v>
      </c>
      <c r="F95" s="141">
        <v>193</v>
      </c>
      <c r="G95" s="155" t="s">
        <v>124</v>
      </c>
      <c r="H95" s="204">
        <v>43775</v>
      </c>
      <c r="I95" s="143" t="str">
        <f t="shared" si="12"/>
        <v>2019</v>
      </c>
      <c r="J95" s="143" t="str">
        <f t="shared" si="13"/>
        <v>Nov</v>
      </c>
      <c r="K95" s="204">
        <v>43781</v>
      </c>
      <c r="L95" s="157" t="s">
        <v>159</v>
      </c>
      <c r="M95" s="204">
        <v>43826</v>
      </c>
      <c r="N95" s="143" t="str">
        <f t="shared" si="14"/>
        <v>2019</v>
      </c>
      <c r="O95" s="143" t="str">
        <f t="shared" si="15"/>
        <v>Dec</v>
      </c>
      <c r="P95" s="157" t="s">
        <v>164</v>
      </c>
      <c r="Q95" s="146" t="s">
        <v>17</v>
      </c>
      <c r="R95" s="157" t="s">
        <v>19</v>
      </c>
      <c r="S95" s="141" t="s">
        <v>20</v>
      </c>
      <c r="T95" s="204">
        <v>44016</v>
      </c>
      <c r="U95" s="145" t="str">
        <f t="shared" si="16"/>
        <v>2020</v>
      </c>
      <c r="V95" s="145" t="str">
        <f t="shared" si="17"/>
        <v>Jul</v>
      </c>
      <c r="W95" s="141">
        <f t="shared" ca="1" si="11"/>
        <v>173</v>
      </c>
      <c r="X95" s="157" t="s">
        <v>90</v>
      </c>
      <c r="Y95" s="157">
        <f t="shared" ca="1" si="18"/>
        <v>4152</v>
      </c>
      <c r="Z95" s="158">
        <v>83.04</v>
      </c>
      <c r="AA95" s="148">
        <v>12456.000000000002</v>
      </c>
      <c r="AB95" s="148">
        <f t="shared" si="19"/>
        <v>150</v>
      </c>
      <c r="AC95" s="204">
        <v>43784</v>
      </c>
      <c r="AD95" s="146" t="str">
        <f t="shared" si="20"/>
        <v>2019</v>
      </c>
      <c r="AE95" s="150" t="str">
        <f t="shared" si="21"/>
        <v>Nov</v>
      </c>
    </row>
    <row r="96" spans="2:31" x14ac:dyDescent="0.25">
      <c r="B96" s="152">
        <v>3</v>
      </c>
      <c r="C96" s="157" t="s">
        <v>69</v>
      </c>
      <c r="D96" s="154" t="s">
        <v>62</v>
      </c>
      <c r="E96" s="157" t="s">
        <v>113</v>
      </c>
      <c r="F96" s="141">
        <v>194</v>
      </c>
      <c r="G96" s="155" t="s">
        <v>135</v>
      </c>
      <c r="H96" s="204">
        <v>43778</v>
      </c>
      <c r="I96" s="143" t="str">
        <f t="shared" si="12"/>
        <v>2019</v>
      </c>
      <c r="J96" s="143" t="str">
        <f t="shared" si="13"/>
        <v>Nov</v>
      </c>
      <c r="K96" s="204">
        <v>43792</v>
      </c>
      <c r="L96" s="157" t="s">
        <v>157</v>
      </c>
      <c r="M96" s="204">
        <v>43814</v>
      </c>
      <c r="N96" s="143" t="str">
        <f t="shared" si="14"/>
        <v>2019</v>
      </c>
      <c r="O96" s="143" t="str">
        <f t="shared" si="15"/>
        <v>Dec</v>
      </c>
      <c r="P96" s="157" t="s">
        <v>165</v>
      </c>
      <c r="Q96" s="146" t="s">
        <v>269</v>
      </c>
      <c r="R96" s="157" t="s">
        <v>41</v>
      </c>
      <c r="S96" s="141" t="s">
        <v>20</v>
      </c>
      <c r="T96" s="204">
        <v>44190</v>
      </c>
      <c r="U96" s="145" t="str">
        <f t="shared" si="16"/>
        <v>2020</v>
      </c>
      <c r="V96" s="145" t="str">
        <f t="shared" si="17"/>
        <v>Dec</v>
      </c>
      <c r="W96" s="141">
        <f t="shared" ca="1" si="11"/>
        <v>295</v>
      </c>
      <c r="X96" s="157" t="s">
        <v>91</v>
      </c>
      <c r="Y96" s="157">
        <f t="shared" ca="1" si="18"/>
        <v>7080</v>
      </c>
      <c r="Z96" s="158">
        <v>141.6</v>
      </c>
      <c r="AA96" s="148">
        <v>7080</v>
      </c>
      <c r="AB96" s="148">
        <f t="shared" si="19"/>
        <v>50</v>
      </c>
      <c r="AC96" s="204">
        <v>43795</v>
      </c>
      <c r="AD96" s="146" t="str">
        <f t="shared" si="20"/>
        <v>2019</v>
      </c>
      <c r="AE96" s="150" t="str">
        <f t="shared" si="21"/>
        <v>Nov</v>
      </c>
    </row>
    <row r="97" spans="2:31" x14ac:dyDescent="0.25">
      <c r="B97" s="152">
        <v>4</v>
      </c>
      <c r="C97" s="157" t="s">
        <v>70</v>
      </c>
      <c r="D97" s="154" t="s">
        <v>63</v>
      </c>
      <c r="E97" s="157" t="s">
        <v>114</v>
      </c>
      <c r="F97" s="141">
        <v>195</v>
      </c>
      <c r="G97" s="155" t="s">
        <v>136</v>
      </c>
      <c r="H97" s="204">
        <v>43785</v>
      </c>
      <c r="I97" s="143" t="str">
        <f t="shared" si="12"/>
        <v>2019</v>
      </c>
      <c r="J97" s="143" t="str">
        <f t="shared" si="13"/>
        <v>Nov</v>
      </c>
      <c r="K97" s="204">
        <v>43798</v>
      </c>
      <c r="L97" s="157" t="s">
        <v>156</v>
      </c>
      <c r="M97" s="204">
        <v>43836</v>
      </c>
      <c r="N97" s="143" t="str">
        <f t="shared" si="14"/>
        <v>2020</v>
      </c>
      <c r="O97" s="143" t="str">
        <f t="shared" si="15"/>
        <v>Jan</v>
      </c>
      <c r="P97" s="157" t="s">
        <v>162</v>
      </c>
      <c r="Q97" s="146" t="s">
        <v>17</v>
      </c>
      <c r="R97" s="157" t="s">
        <v>42</v>
      </c>
      <c r="S97" s="141" t="s">
        <v>20</v>
      </c>
      <c r="T97" s="204">
        <v>43841</v>
      </c>
      <c r="U97" s="145" t="str">
        <f t="shared" si="16"/>
        <v>2020</v>
      </c>
      <c r="V97" s="145" t="str">
        <f t="shared" si="17"/>
        <v>Jan</v>
      </c>
      <c r="W97" s="141">
        <f t="shared" ca="1" si="11"/>
        <v>40</v>
      </c>
      <c r="X97" s="157" t="s">
        <v>92</v>
      </c>
      <c r="Y97" s="157">
        <f t="shared" ca="1" si="18"/>
        <v>960</v>
      </c>
      <c r="Z97" s="158">
        <v>19.2</v>
      </c>
      <c r="AA97" s="148">
        <v>2880</v>
      </c>
      <c r="AB97" s="148">
        <f t="shared" si="19"/>
        <v>150</v>
      </c>
      <c r="AC97" s="204">
        <v>43801</v>
      </c>
      <c r="AD97" s="146" t="str">
        <f t="shared" si="20"/>
        <v>2019</v>
      </c>
      <c r="AE97" s="150" t="str">
        <f t="shared" si="21"/>
        <v>Dec</v>
      </c>
    </row>
    <row r="98" spans="2:31" x14ac:dyDescent="0.25">
      <c r="B98" s="152">
        <v>5</v>
      </c>
      <c r="C98" s="157" t="s">
        <v>71</v>
      </c>
      <c r="D98" s="154" t="s">
        <v>64</v>
      </c>
      <c r="E98" s="157" t="s">
        <v>115</v>
      </c>
      <c r="F98" s="141">
        <v>196</v>
      </c>
      <c r="G98" s="155" t="s">
        <v>137</v>
      </c>
      <c r="H98" s="204">
        <v>43786</v>
      </c>
      <c r="I98" s="143" t="str">
        <f t="shared" si="12"/>
        <v>2019</v>
      </c>
      <c r="J98" s="143" t="str">
        <f t="shared" si="13"/>
        <v>Nov</v>
      </c>
      <c r="K98" s="204">
        <v>43799</v>
      </c>
      <c r="L98" s="157" t="s">
        <v>161</v>
      </c>
      <c r="M98" s="204">
        <v>43813</v>
      </c>
      <c r="N98" s="143" t="str">
        <f t="shared" si="14"/>
        <v>2019</v>
      </c>
      <c r="O98" s="143" t="str">
        <f t="shared" si="15"/>
        <v>Dec</v>
      </c>
      <c r="P98" s="157" t="s">
        <v>165</v>
      </c>
      <c r="Q98" s="146" t="s">
        <v>29</v>
      </c>
      <c r="R98" s="157" t="s">
        <v>43</v>
      </c>
      <c r="S98" s="141" t="s">
        <v>20</v>
      </c>
      <c r="T98" s="204">
        <v>44001</v>
      </c>
      <c r="U98" s="145" t="str">
        <f t="shared" si="16"/>
        <v>2020</v>
      </c>
      <c r="V98" s="145" t="str">
        <f t="shared" si="17"/>
        <v>Jun</v>
      </c>
      <c r="W98" s="141">
        <f t="shared" ca="1" si="11"/>
        <v>155</v>
      </c>
      <c r="X98" s="157" t="s">
        <v>93</v>
      </c>
      <c r="Y98" s="157">
        <f t="shared" ca="1" si="18"/>
        <v>3720</v>
      </c>
      <c r="Z98" s="158">
        <v>74.400000000000006</v>
      </c>
      <c r="AA98" s="148">
        <v>2232</v>
      </c>
      <c r="AB98" s="148">
        <f t="shared" si="19"/>
        <v>29.999999999999996</v>
      </c>
      <c r="AC98" s="204">
        <v>43802</v>
      </c>
      <c r="AD98" s="146" t="str">
        <f t="shared" si="20"/>
        <v>2019</v>
      </c>
      <c r="AE98" s="150" t="str">
        <f t="shared" si="21"/>
        <v>Dec</v>
      </c>
    </row>
    <row r="99" spans="2:31" x14ac:dyDescent="0.25">
      <c r="B99" s="152">
        <v>6</v>
      </c>
      <c r="C99" s="157" t="s">
        <v>72</v>
      </c>
      <c r="D99" s="154" t="s">
        <v>65</v>
      </c>
      <c r="E99" s="157" t="s">
        <v>116</v>
      </c>
      <c r="F99" s="141">
        <v>197</v>
      </c>
      <c r="G99" s="155" t="s">
        <v>138</v>
      </c>
      <c r="H99" s="204">
        <v>43787</v>
      </c>
      <c r="I99" s="143" t="str">
        <f t="shared" si="12"/>
        <v>2019</v>
      </c>
      <c r="J99" s="143" t="str">
        <f t="shared" si="13"/>
        <v>Nov</v>
      </c>
      <c r="K99" s="204">
        <v>43799</v>
      </c>
      <c r="L99" s="157" t="s">
        <v>160</v>
      </c>
      <c r="M99" s="204">
        <v>43839</v>
      </c>
      <c r="N99" s="143" t="str">
        <f t="shared" si="14"/>
        <v>2020</v>
      </c>
      <c r="O99" s="143" t="str">
        <f t="shared" si="15"/>
        <v>Jan</v>
      </c>
      <c r="P99" s="157" t="s">
        <v>162</v>
      </c>
      <c r="Q99" s="146" t="s">
        <v>270</v>
      </c>
      <c r="R99" s="157" t="s">
        <v>44</v>
      </c>
      <c r="S99" s="141" t="s">
        <v>20</v>
      </c>
      <c r="T99" s="204">
        <v>44111</v>
      </c>
      <c r="U99" s="145" t="str">
        <f t="shared" si="16"/>
        <v>2020</v>
      </c>
      <c r="V99" s="145" t="str">
        <f t="shared" si="17"/>
        <v>Oct</v>
      </c>
      <c r="W99" s="141">
        <f t="shared" ca="1" si="11"/>
        <v>233</v>
      </c>
      <c r="X99" s="157" t="s">
        <v>94</v>
      </c>
      <c r="Y99" s="157">
        <f t="shared" ca="1" si="18"/>
        <v>5592</v>
      </c>
      <c r="Z99" s="158">
        <v>167.76</v>
      </c>
      <c r="AA99" s="148">
        <v>5032.7999999999993</v>
      </c>
      <c r="AB99" s="148">
        <f t="shared" si="19"/>
        <v>29.999999999999996</v>
      </c>
      <c r="AC99" s="204">
        <v>43802</v>
      </c>
      <c r="AD99" s="146" t="str">
        <f t="shared" si="20"/>
        <v>2019</v>
      </c>
      <c r="AE99" s="150" t="str">
        <f t="shared" si="21"/>
        <v>Dec</v>
      </c>
    </row>
    <row r="100" spans="2:31" x14ac:dyDescent="0.25">
      <c r="B100" s="152">
        <v>7</v>
      </c>
      <c r="C100" s="157" t="s">
        <v>73</v>
      </c>
      <c r="D100" s="154" t="s">
        <v>66</v>
      </c>
      <c r="E100" s="157" t="s">
        <v>117</v>
      </c>
      <c r="F100" s="141">
        <v>198</v>
      </c>
      <c r="G100" s="155" t="s">
        <v>139</v>
      </c>
      <c r="H100" s="204">
        <v>43788</v>
      </c>
      <c r="I100" s="143" t="str">
        <f t="shared" si="12"/>
        <v>2019</v>
      </c>
      <c r="J100" s="143" t="str">
        <f t="shared" si="13"/>
        <v>Nov</v>
      </c>
      <c r="K100" s="204">
        <v>43801</v>
      </c>
      <c r="L100" s="157" t="s">
        <v>156</v>
      </c>
      <c r="M100" s="204">
        <v>43829</v>
      </c>
      <c r="N100" s="143" t="str">
        <f t="shared" si="14"/>
        <v>2019</v>
      </c>
      <c r="O100" s="143" t="str">
        <f t="shared" si="15"/>
        <v>Dec</v>
      </c>
      <c r="P100" s="157" t="s">
        <v>162</v>
      </c>
      <c r="Q100" s="146" t="s">
        <v>271</v>
      </c>
      <c r="R100" s="157" t="s">
        <v>45</v>
      </c>
      <c r="S100" s="141" t="s">
        <v>20</v>
      </c>
      <c r="T100" s="204">
        <v>43960</v>
      </c>
      <c r="U100" s="145" t="str">
        <f t="shared" si="16"/>
        <v>2020</v>
      </c>
      <c r="V100" s="145" t="str">
        <f t="shared" si="17"/>
        <v>May</v>
      </c>
      <c r="W100" s="141">
        <f t="shared" ca="1" si="11"/>
        <v>124</v>
      </c>
      <c r="X100" s="157" t="s">
        <v>95</v>
      </c>
      <c r="Y100" s="157">
        <f t="shared" ca="1" si="18"/>
        <v>2976</v>
      </c>
      <c r="Z100" s="158">
        <v>29.76</v>
      </c>
      <c r="AA100" s="148">
        <v>1785.6000000000001</v>
      </c>
      <c r="AB100" s="148">
        <f t="shared" si="19"/>
        <v>60</v>
      </c>
      <c r="AC100" s="204">
        <v>43804</v>
      </c>
      <c r="AD100" s="146" t="str">
        <f t="shared" si="20"/>
        <v>2019</v>
      </c>
      <c r="AE100" s="150" t="str">
        <f t="shared" si="21"/>
        <v>Dec</v>
      </c>
    </row>
    <row r="101" spans="2:31" x14ac:dyDescent="0.25">
      <c r="B101" s="152">
        <v>8</v>
      </c>
      <c r="C101" s="157" t="s">
        <v>74</v>
      </c>
      <c r="D101" s="154" t="s">
        <v>67</v>
      </c>
      <c r="E101" s="157" t="s">
        <v>118</v>
      </c>
      <c r="F101" s="141">
        <v>199</v>
      </c>
      <c r="G101" s="155" t="s">
        <v>140</v>
      </c>
      <c r="H101" s="204">
        <v>43798</v>
      </c>
      <c r="I101" s="143" t="str">
        <f t="shared" si="12"/>
        <v>2019</v>
      </c>
      <c r="J101" s="143" t="str">
        <f t="shared" si="13"/>
        <v>Nov</v>
      </c>
      <c r="K101" s="204">
        <v>43812</v>
      </c>
      <c r="L101" s="157" t="s">
        <v>157</v>
      </c>
      <c r="M101" s="204">
        <v>43834</v>
      </c>
      <c r="N101" s="143" t="str">
        <f t="shared" si="14"/>
        <v>2020</v>
      </c>
      <c r="O101" s="143" t="str">
        <f t="shared" si="15"/>
        <v>Jan</v>
      </c>
      <c r="P101" s="157" t="s">
        <v>164</v>
      </c>
      <c r="Q101" s="146" t="s">
        <v>266</v>
      </c>
      <c r="R101" s="157" t="s">
        <v>46</v>
      </c>
      <c r="S101" s="141" t="s">
        <v>20</v>
      </c>
      <c r="T101" s="204">
        <v>43969</v>
      </c>
      <c r="U101" s="145" t="str">
        <f t="shared" si="16"/>
        <v>2020</v>
      </c>
      <c r="V101" s="145" t="str">
        <f t="shared" si="17"/>
        <v>May</v>
      </c>
      <c r="W101" s="141">
        <f t="shared" ca="1" si="11"/>
        <v>122</v>
      </c>
      <c r="X101" s="157" t="s">
        <v>96</v>
      </c>
      <c r="Y101" s="157">
        <f t="shared" ca="1" si="18"/>
        <v>2928</v>
      </c>
      <c r="Z101" s="158">
        <v>58.56</v>
      </c>
      <c r="AA101" s="148">
        <v>2928</v>
      </c>
      <c r="AB101" s="148">
        <f t="shared" si="19"/>
        <v>50</v>
      </c>
      <c r="AC101" s="204">
        <v>43815</v>
      </c>
      <c r="AD101" s="146" t="str">
        <f t="shared" si="20"/>
        <v>2019</v>
      </c>
      <c r="AE101" s="150" t="str">
        <f t="shared" si="21"/>
        <v>Dec</v>
      </c>
    </row>
    <row r="102" spans="2:31" x14ac:dyDescent="0.25">
      <c r="B102" s="152">
        <v>9</v>
      </c>
      <c r="C102" s="157" t="s">
        <v>75</v>
      </c>
      <c r="D102" s="154" t="s">
        <v>68</v>
      </c>
      <c r="E102" s="157" t="s">
        <v>115</v>
      </c>
      <c r="F102" s="141">
        <v>200</v>
      </c>
      <c r="G102" s="155" t="s">
        <v>141</v>
      </c>
      <c r="H102" s="204">
        <v>43798</v>
      </c>
      <c r="I102" s="143" t="str">
        <f t="shared" si="12"/>
        <v>2019</v>
      </c>
      <c r="J102" s="143" t="str">
        <f t="shared" si="13"/>
        <v>Nov</v>
      </c>
      <c r="K102" s="204">
        <v>43813</v>
      </c>
      <c r="L102" s="157" t="s">
        <v>159</v>
      </c>
      <c r="M102" s="204">
        <v>43846</v>
      </c>
      <c r="N102" s="143" t="str">
        <f t="shared" si="14"/>
        <v>2020</v>
      </c>
      <c r="O102" s="143" t="str">
        <f t="shared" si="15"/>
        <v>Jan</v>
      </c>
      <c r="P102" s="157" t="s">
        <v>162</v>
      </c>
      <c r="Q102" s="146" t="s">
        <v>17</v>
      </c>
      <c r="R102" s="157" t="s">
        <v>47</v>
      </c>
      <c r="S102" s="141" t="s">
        <v>20</v>
      </c>
      <c r="T102" s="204">
        <v>44173</v>
      </c>
      <c r="U102" s="145" t="str">
        <f t="shared" si="16"/>
        <v>2020</v>
      </c>
      <c r="V102" s="145" t="str">
        <f t="shared" si="17"/>
        <v>Dec</v>
      </c>
      <c r="W102" s="141">
        <f t="shared" ca="1" si="11"/>
        <v>268</v>
      </c>
      <c r="X102" s="157" t="s">
        <v>97</v>
      </c>
      <c r="Y102" s="157">
        <f t="shared" ca="1" si="18"/>
        <v>6432</v>
      </c>
      <c r="Z102" s="158">
        <v>192.95999999999998</v>
      </c>
      <c r="AA102" s="148">
        <v>28943.999999999996</v>
      </c>
      <c r="AB102" s="148">
        <f t="shared" si="19"/>
        <v>150</v>
      </c>
      <c r="AC102" s="204">
        <v>43816</v>
      </c>
      <c r="AD102" s="146" t="str">
        <f t="shared" si="20"/>
        <v>2019</v>
      </c>
      <c r="AE102" s="150" t="str">
        <f t="shared" si="21"/>
        <v>Dec</v>
      </c>
    </row>
    <row r="103" spans="2:31" x14ac:dyDescent="0.25">
      <c r="B103" s="152">
        <v>10</v>
      </c>
      <c r="C103" s="157" t="s">
        <v>76</v>
      </c>
      <c r="D103" s="154" t="s">
        <v>55</v>
      </c>
      <c r="E103" s="157" t="s">
        <v>116</v>
      </c>
      <c r="F103" s="141">
        <v>201</v>
      </c>
      <c r="G103" s="155" t="s">
        <v>142</v>
      </c>
      <c r="H103" s="204">
        <v>43798</v>
      </c>
      <c r="I103" s="143" t="str">
        <f t="shared" si="12"/>
        <v>2019</v>
      </c>
      <c r="J103" s="143" t="str">
        <f t="shared" si="13"/>
        <v>Nov</v>
      </c>
      <c r="K103" s="204">
        <v>43798</v>
      </c>
      <c r="L103" s="157" t="s">
        <v>158</v>
      </c>
      <c r="M103" s="204">
        <v>43852</v>
      </c>
      <c r="N103" s="143" t="str">
        <f t="shared" si="14"/>
        <v>2020</v>
      </c>
      <c r="O103" s="143" t="str">
        <f t="shared" si="15"/>
        <v>Jan</v>
      </c>
      <c r="P103" s="157" t="s">
        <v>164</v>
      </c>
      <c r="Q103" s="146" t="s">
        <v>266</v>
      </c>
      <c r="R103" s="157" t="s">
        <v>48</v>
      </c>
      <c r="S103" s="141" t="s">
        <v>20</v>
      </c>
      <c r="T103" s="204">
        <v>44099</v>
      </c>
      <c r="U103" s="145" t="str">
        <f t="shared" si="16"/>
        <v>2020</v>
      </c>
      <c r="V103" s="145" t="str">
        <f t="shared" si="17"/>
        <v>Sep</v>
      </c>
      <c r="W103" s="141">
        <f t="shared" ca="1" si="11"/>
        <v>216</v>
      </c>
      <c r="X103" s="157" t="s">
        <v>98</v>
      </c>
      <c r="Y103" s="157">
        <f t="shared" ca="1" si="18"/>
        <v>5184</v>
      </c>
      <c r="Z103" s="158">
        <v>103.68</v>
      </c>
      <c r="AA103" s="148">
        <v>5184</v>
      </c>
      <c r="AB103" s="148">
        <f t="shared" si="19"/>
        <v>50</v>
      </c>
      <c r="AC103" s="204">
        <v>43801</v>
      </c>
      <c r="AD103" s="146" t="str">
        <f t="shared" si="20"/>
        <v>2019</v>
      </c>
      <c r="AE103" s="150" t="str">
        <f t="shared" si="21"/>
        <v>Dec</v>
      </c>
    </row>
    <row r="104" spans="2:31" x14ac:dyDescent="0.25">
      <c r="B104" s="152">
        <v>11</v>
      </c>
      <c r="C104" s="157" t="s">
        <v>77</v>
      </c>
      <c r="D104" s="154" t="s">
        <v>56</v>
      </c>
      <c r="E104" s="157" t="s">
        <v>117</v>
      </c>
      <c r="F104" s="141">
        <v>202</v>
      </c>
      <c r="G104" s="155" t="s">
        <v>143</v>
      </c>
      <c r="H104" s="204">
        <v>43799</v>
      </c>
      <c r="I104" s="143" t="str">
        <f t="shared" si="12"/>
        <v>2019</v>
      </c>
      <c r="J104" s="143" t="str">
        <f t="shared" si="13"/>
        <v>Nov</v>
      </c>
      <c r="K104" s="204">
        <v>43809</v>
      </c>
      <c r="L104" s="157" t="s">
        <v>156</v>
      </c>
      <c r="M104" s="204">
        <v>43826</v>
      </c>
      <c r="N104" s="143" t="str">
        <f t="shared" si="14"/>
        <v>2019</v>
      </c>
      <c r="O104" s="143" t="str">
        <f t="shared" si="15"/>
        <v>Dec</v>
      </c>
      <c r="P104" s="157" t="s">
        <v>165</v>
      </c>
      <c r="Q104" s="146" t="s">
        <v>266</v>
      </c>
      <c r="R104" s="157" t="s">
        <v>49</v>
      </c>
      <c r="S104" s="141" t="s">
        <v>20</v>
      </c>
      <c r="T104" s="204">
        <v>44088</v>
      </c>
      <c r="U104" s="145" t="str">
        <f t="shared" si="16"/>
        <v>2020</v>
      </c>
      <c r="V104" s="145" t="str">
        <f t="shared" si="17"/>
        <v>Sep</v>
      </c>
      <c r="W104" s="141">
        <f t="shared" ca="1" si="11"/>
        <v>206</v>
      </c>
      <c r="X104" s="157" t="s">
        <v>99</v>
      </c>
      <c r="Y104" s="157">
        <f t="shared" ca="1" si="18"/>
        <v>4944</v>
      </c>
      <c r="Z104" s="158">
        <v>148.32</v>
      </c>
      <c r="AA104" s="148">
        <v>7416</v>
      </c>
      <c r="AB104" s="148">
        <f t="shared" si="19"/>
        <v>50</v>
      </c>
      <c r="AC104" s="204">
        <v>43812</v>
      </c>
      <c r="AD104" s="146" t="str">
        <f t="shared" si="20"/>
        <v>2019</v>
      </c>
      <c r="AE104" s="150" t="str">
        <f t="shared" si="21"/>
        <v>Dec</v>
      </c>
    </row>
    <row r="105" spans="2:31" x14ac:dyDescent="0.25">
      <c r="B105" s="152">
        <v>12</v>
      </c>
      <c r="C105" s="157" t="s">
        <v>78</v>
      </c>
      <c r="D105" s="154" t="s">
        <v>57</v>
      </c>
      <c r="E105" s="157" t="s">
        <v>118</v>
      </c>
      <c r="F105" s="141">
        <v>203</v>
      </c>
      <c r="G105" s="155" t="s">
        <v>144</v>
      </c>
      <c r="H105" s="204">
        <v>43807</v>
      </c>
      <c r="I105" s="143" t="str">
        <f t="shared" si="12"/>
        <v>2019</v>
      </c>
      <c r="J105" s="143" t="str">
        <f t="shared" si="13"/>
        <v>Dec</v>
      </c>
      <c r="K105" s="204">
        <v>43818</v>
      </c>
      <c r="L105" s="157" t="s">
        <v>160</v>
      </c>
      <c r="M105" s="204">
        <v>43848</v>
      </c>
      <c r="N105" s="143" t="str">
        <f t="shared" si="14"/>
        <v>2020</v>
      </c>
      <c r="O105" s="143" t="str">
        <f t="shared" si="15"/>
        <v>Jan</v>
      </c>
      <c r="P105" s="157" t="s">
        <v>165</v>
      </c>
      <c r="Q105" s="146" t="s">
        <v>17</v>
      </c>
      <c r="R105" s="157" t="s">
        <v>50</v>
      </c>
      <c r="S105" s="141" t="s">
        <v>20</v>
      </c>
      <c r="T105" s="204">
        <v>44339</v>
      </c>
      <c r="U105" s="145" t="str">
        <f t="shared" si="16"/>
        <v>2021</v>
      </c>
      <c r="V105" s="145" t="str">
        <f t="shared" si="17"/>
        <v>May</v>
      </c>
      <c r="W105" s="141">
        <f t="shared" ca="1" si="11"/>
        <v>380</v>
      </c>
      <c r="X105" s="157" t="s">
        <v>100</v>
      </c>
      <c r="Y105" s="157">
        <f t="shared" ca="1" si="18"/>
        <v>9120</v>
      </c>
      <c r="Z105" s="158">
        <v>91.2</v>
      </c>
      <c r="AA105" s="148">
        <v>13680</v>
      </c>
      <c r="AB105" s="148">
        <f t="shared" si="19"/>
        <v>150</v>
      </c>
      <c r="AC105" s="204">
        <v>43821</v>
      </c>
      <c r="AD105" s="146" t="str">
        <f t="shared" si="20"/>
        <v>2019</v>
      </c>
      <c r="AE105" s="150" t="str">
        <f t="shared" si="21"/>
        <v>Dec</v>
      </c>
    </row>
    <row r="106" spans="2:31" x14ac:dyDescent="0.25">
      <c r="B106" s="152">
        <v>13</v>
      </c>
      <c r="C106" s="157" t="s">
        <v>79</v>
      </c>
      <c r="D106" s="154" t="s">
        <v>58</v>
      </c>
      <c r="E106" s="157" t="s">
        <v>111</v>
      </c>
      <c r="F106" s="141">
        <v>204</v>
      </c>
      <c r="G106" s="155" t="s">
        <v>145</v>
      </c>
      <c r="H106" s="204">
        <v>43813</v>
      </c>
      <c r="I106" s="143" t="str">
        <f t="shared" si="12"/>
        <v>2019</v>
      </c>
      <c r="J106" s="143" t="str">
        <f t="shared" si="13"/>
        <v>Dec</v>
      </c>
      <c r="K106" s="204">
        <v>43819</v>
      </c>
      <c r="L106" s="157" t="s">
        <v>156</v>
      </c>
      <c r="M106" s="204">
        <v>43860</v>
      </c>
      <c r="N106" s="143" t="str">
        <f t="shared" si="14"/>
        <v>2020</v>
      </c>
      <c r="O106" s="143" t="str">
        <f t="shared" si="15"/>
        <v>Jan</v>
      </c>
      <c r="P106" s="157" t="s">
        <v>162</v>
      </c>
      <c r="Q106" s="146" t="s">
        <v>266</v>
      </c>
      <c r="R106" s="157" t="s">
        <v>51</v>
      </c>
      <c r="S106" s="141" t="s">
        <v>20</v>
      </c>
      <c r="T106" s="204">
        <v>44051</v>
      </c>
      <c r="U106" s="145" t="str">
        <f t="shared" si="16"/>
        <v>2020</v>
      </c>
      <c r="V106" s="145" t="str">
        <f t="shared" si="17"/>
        <v>Aug</v>
      </c>
      <c r="W106" s="141">
        <f t="shared" ca="1" si="11"/>
        <v>170</v>
      </c>
      <c r="X106" s="157" t="s">
        <v>101</v>
      </c>
      <c r="Y106" s="157">
        <f t="shared" ca="1" si="18"/>
        <v>4080</v>
      </c>
      <c r="Z106" s="158">
        <v>40.800000000000004</v>
      </c>
      <c r="AA106" s="148">
        <v>2040.0000000000002</v>
      </c>
      <c r="AB106" s="148">
        <f t="shared" si="19"/>
        <v>50</v>
      </c>
      <c r="AC106" s="204">
        <v>43822</v>
      </c>
      <c r="AD106" s="146" t="str">
        <f t="shared" si="20"/>
        <v>2019</v>
      </c>
      <c r="AE106" s="150" t="str">
        <f t="shared" si="21"/>
        <v>Dec</v>
      </c>
    </row>
    <row r="107" spans="2:31" x14ac:dyDescent="0.25">
      <c r="B107" s="152">
        <v>14</v>
      </c>
      <c r="C107" s="157" t="s">
        <v>80</v>
      </c>
      <c r="D107" s="154" t="s">
        <v>59</v>
      </c>
      <c r="E107" s="157" t="s">
        <v>112</v>
      </c>
      <c r="F107" s="141">
        <v>205</v>
      </c>
      <c r="G107" s="155" t="s">
        <v>146</v>
      </c>
      <c r="H107" s="204">
        <v>43816</v>
      </c>
      <c r="I107" s="143" t="str">
        <f t="shared" si="12"/>
        <v>2019</v>
      </c>
      <c r="J107" s="143" t="str">
        <f t="shared" si="13"/>
        <v>Dec</v>
      </c>
      <c r="K107" s="204">
        <v>43821</v>
      </c>
      <c r="L107" s="157" t="s">
        <v>160</v>
      </c>
      <c r="M107" s="204">
        <v>43845</v>
      </c>
      <c r="N107" s="143" t="str">
        <f t="shared" si="14"/>
        <v>2020</v>
      </c>
      <c r="O107" s="143" t="str">
        <f t="shared" si="15"/>
        <v>Jan</v>
      </c>
      <c r="P107" s="157" t="s">
        <v>164</v>
      </c>
      <c r="Q107" s="146" t="s">
        <v>17</v>
      </c>
      <c r="R107" s="157" t="s">
        <v>52</v>
      </c>
      <c r="S107" s="141" t="s">
        <v>20</v>
      </c>
      <c r="T107" s="204">
        <v>43858</v>
      </c>
      <c r="U107" s="145" t="str">
        <f t="shared" si="16"/>
        <v>2020</v>
      </c>
      <c r="V107" s="145" t="str">
        <f t="shared" si="17"/>
        <v>Jan</v>
      </c>
      <c r="W107" s="141">
        <f t="shared" ca="1" si="11"/>
        <v>31</v>
      </c>
      <c r="X107" s="157" t="s">
        <v>102</v>
      </c>
      <c r="Y107" s="157">
        <f t="shared" ca="1" si="18"/>
        <v>744</v>
      </c>
      <c r="Z107" s="158">
        <v>7.44</v>
      </c>
      <c r="AA107" s="148">
        <v>1116</v>
      </c>
      <c r="AB107" s="148">
        <f t="shared" si="19"/>
        <v>150</v>
      </c>
      <c r="AC107" s="204">
        <v>43824</v>
      </c>
      <c r="AD107" s="146" t="str">
        <f t="shared" si="20"/>
        <v>2019</v>
      </c>
      <c r="AE107" s="150" t="str">
        <f t="shared" si="21"/>
        <v>Dec</v>
      </c>
    </row>
    <row r="108" spans="2:31" x14ac:dyDescent="0.25">
      <c r="B108" s="152">
        <v>15</v>
      </c>
      <c r="C108" s="157" t="s">
        <v>81</v>
      </c>
      <c r="D108" s="154" t="s">
        <v>60</v>
      </c>
      <c r="E108" s="157" t="s">
        <v>113</v>
      </c>
      <c r="F108" s="141">
        <v>206</v>
      </c>
      <c r="G108" s="155" t="s">
        <v>124</v>
      </c>
      <c r="H108" s="204">
        <v>43818</v>
      </c>
      <c r="I108" s="143" t="str">
        <f t="shared" si="12"/>
        <v>2019</v>
      </c>
      <c r="J108" s="143" t="str">
        <f t="shared" si="13"/>
        <v>Dec</v>
      </c>
      <c r="K108" s="204">
        <v>43830</v>
      </c>
      <c r="L108" s="157" t="s">
        <v>158</v>
      </c>
      <c r="M108" s="204">
        <v>43856</v>
      </c>
      <c r="N108" s="143" t="str">
        <f t="shared" si="14"/>
        <v>2020</v>
      </c>
      <c r="O108" s="143" t="str">
        <f t="shared" si="15"/>
        <v>Jan</v>
      </c>
      <c r="P108" s="157" t="s">
        <v>164</v>
      </c>
      <c r="Q108" s="146" t="s">
        <v>17</v>
      </c>
      <c r="R108" s="157" t="s">
        <v>53</v>
      </c>
      <c r="S108" s="141" t="s">
        <v>20</v>
      </c>
      <c r="T108" s="204">
        <v>43991</v>
      </c>
      <c r="U108" s="145" t="str">
        <f t="shared" si="16"/>
        <v>2020</v>
      </c>
      <c r="V108" s="145" t="str">
        <f t="shared" si="17"/>
        <v>Jun</v>
      </c>
      <c r="W108" s="141">
        <f t="shared" ca="1" si="11"/>
        <v>124</v>
      </c>
      <c r="X108" s="157" t="s">
        <v>103</v>
      </c>
      <c r="Y108" s="157">
        <f t="shared" ca="1" si="18"/>
        <v>2976</v>
      </c>
      <c r="Z108" s="158">
        <v>29.76</v>
      </c>
      <c r="AA108" s="148">
        <v>4464</v>
      </c>
      <c r="AB108" s="148">
        <f t="shared" si="19"/>
        <v>150</v>
      </c>
      <c r="AC108" s="204">
        <v>43833</v>
      </c>
      <c r="AD108" s="146" t="str">
        <f t="shared" si="20"/>
        <v>2020</v>
      </c>
      <c r="AE108" s="150" t="str">
        <f t="shared" si="21"/>
        <v>Jan</v>
      </c>
    </row>
    <row r="109" spans="2:31" x14ac:dyDescent="0.25">
      <c r="B109" s="152">
        <v>16</v>
      </c>
      <c r="C109" s="157" t="s">
        <v>82</v>
      </c>
      <c r="D109" s="154" t="s">
        <v>61</v>
      </c>
      <c r="E109" s="157" t="s">
        <v>114</v>
      </c>
      <c r="F109" s="141">
        <v>207</v>
      </c>
      <c r="G109" s="155" t="s">
        <v>147</v>
      </c>
      <c r="H109" s="204">
        <v>43824</v>
      </c>
      <c r="I109" s="143" t="str">
        <f t="shared" si="12"/>
        <v>2019</v>
      </c>
      <c r="J109" s="143" t="str">
        <f t="shared" si="13"/>
        <v>Dec</v>
      </c>
      <c r="K109" s="204">
        <v>43839</v>
      </c>
      <c r="L109" s="157" t="s">
        <v>157</v>
      </c>
      <c r="M109" s="204">
        <v>43857</v>
      </c>
      <c r="N109" s="143" t="str">
        <f t="shared" si="14"/>
        <v>2020</v>
      </c>
      <c r="O109" s="143" t="str">
        <f t="shared" si="15"/>
        <v>Jan</v>
      </c>
      <c r="P109" s="157" t="s">
        <v>165</v>
      </c>
      <c r="Q109" s="146" t="s">
        <v>272</v>
      </c>
      <c r="R109" s="157" t="s">
        <v>54</v>
      </c>
      <c r="S109" s="141" t="s">
        <v>20</v>
      </c>
      <c r="T109" s="204">
        <v>44212</v>
      </c>
      <c r="U109" s="145" t="str">
        <f t="shared" si="16"/>
        <v>2021</v>
      </c>
      <c r="V109" s="145" t="str">
        <f t="shared" si="17"/>
        <v>Jan</v>
      </c>
      <c r="W109" s="141">
        <f t="shared" ca="1" si="11"/>
        <v>278</v>
      </c>
      <c r="X109" s="157" t="s">
        <v>104</v>
      </c>
      <c r="Y109" s="157">
        <f t="shared" ca="1" si="18"/>
        <v>6672</v>
      </c>
      <c r="Z109" s="158">
        <v>133.44</v>
      </c>
      <c r="AA109" s="148">
        <v>10675.2</v>
      </c>
      <c r="AB109" s="148">
        <f t="shared" si="19"/>
        <v>80</v>
      </c>
      <c r="AC109" s="204">
        <v>43842</v>
      </c>
      <c r="AD109" s="146" t="str">
        <f t="shared" si="20"/>
        <v>2020</v>
      </c>
      <c r="AE109" s="150" t="str">
        <f t="shared" si="21"/>
        <v>Jan</v>
      </c>
    </row>
    <row r="110" spans="2:31" x14ac:dyDescent="0.25">
      <c r="B110" s="152">
        <v>17</v>
      </c>
      <c r="C110" s="157" t="s">
        <v>83</v>
      </c>
      <c r="D110" s="154" t="s">
        <v>33</v>
      </c>
      <c r="E110" s="157" t="s">
        <v>115</v>
      </c>
      <c r="F110" s="141">
        <v>208</v>
      </c>
      <c r="G110" s="155" t="s">
        <v>148</v>
      </c>
      <c r="H110" s="204">
        <v>43824</v>
      </c>
      <c r="I110" s="143" t="str">
        <f t="shared" si="12"/>
        <v>2019</v>
      </c>
      <c r="J110" s="143" t="str">
        <f t="shared" si="13"/>
        <v>Dec</v>
      </c>
      <c r="K110" s="204">
        <v>43827</v>
      </c>
      <c r="L110" s="157" t="s">
        <v>157</v>
      </c>
      <c r="M110" s="204">
        <v>43870</v>
      </c>
      <c r="N110" s="143" t="str">
        <f t="shared" si="14"/>
        <v>2020</v>
      </c>
      <c r="O110" s="143" t="str">
        <f t="shared" si="15"/>
        <v>Feb</v>
      </c>
      <c r="P110" s="157" t="s">
        <v>162</v>
      </c>
      <c r="Q110" s="146" t="s">
        <v>17</v>
      </c>
      <c r="R110" s="157" t="s">
        <v>38</v>
      </c>
      <c r="S110" s="141" t="s">
        <v>20</v>
      </c>
      <c r="T110" s="204">
        <v>44001</v>
      </c>
      <c r="U110" s="145" t="str">
        <f t="shared" si="16"/>
        <v>2020</v>
      </c>
      <c r="V110" s="145" t="str">
        <f t="shared" si="17"/>
        <v>Jun</v>
      </c>
      <c r="W110" s="141">
        <f t="shared" ca="1" si="11"/>
        <v>128</v>
      </c>
      <c r="X110" s="157" t="s">
        <v>105</v>
      </c>
      <c r="Y110" s="157">
        <f t="shared" ca="1" si="18"/>
        <v>3072</v>
      </c>
      <c r="Z110" s="158">
        <v>30.72</v>
      </c>
      <c r="AA110" s="148">
        <v>4608</v>
      </c>
      <c r="AB110" s="148">
        <f t="shared" si="19"/>
        <v>150</v>
      </c>
      <c r="AC110" s="204">
        <v>43830</v>
      </c>
      <c r="AD110" s="146" t="str">
        <f t="shared" si="20"/>
        <v>2019</v>
      </c>
      <c r="AE110" s="150" t="str">
        <f t="shared" si="21"/>
        <v>Dec</v>
      </c>
    </row>
    <row r="111" spans="2:31" x14ac:dyDescent="0.25">
      <c r="B111" s="152">
        <v>18</v>
      </c>
      <c r="C111" s="157" t="s">
        <v>84</v>
      </c>
      <c r="D111" s="154" t="s">
        <v>89</v>
      </c>
      <c r="E111" s="157" t="s">
        <v>112</v>
      </c>
      <c r="F111" s="141">
        <v>209</v>
      </c>
      <c r="G111" s="155" t="s">
        <v>149</v>
      </c>
      <c r="H111" s="204">
        <v>43833</v>
      </c>
      <c r="I111" s="143" t="str">
        <f t="shared" si="12"/>
        <v>2020</v>
      </c>
      <c r="J111" s="143" t="str">
        <f t="shared" si="13"/>
        <v>Jan</v>
      </c>
      <c r="K111" s="204">
        <v>43833</v>
      </c>
      <c r="L111" s="157" t="s">
        <v>160</v>
      </c>
      <c r="M111" s="204">
        <v>43877</v>
      </c>
      <c r="N111" s="143" t="str">
        <f t="shared" si="14"/>
        <v>2020</v>
      </c>
      <c r="O111" s="143" t="str">
        <f t="shared" si="15"/>
        <v>Feb</v>
      </c>
      <c r="P111" s="157" t="s">
        <v>162</v>
      </c>
      <c r="Q111" s="146" t="s">
        <v>17</v>
      </c>
      <c r="R111" s="157" t="s">
        <v>40</v>
      </c>
      <c r="S111" s="141" t="s">
        <v>20</v>
      </c>
      <c r="T111" s="204">
        <v>44090</v>
      </c>
      <c r="U111" s="145" t="str">
        <f t="shared" si="16"/>
        <v>2020</v>
      </c>
      <c r="V111" s="145" t="str">
        <f t="shared" si="17"/>
        <v>Sep</v>
      </c>
      <c r="W111" s="141">
        <f t="shared" ca="1" si="11"/>
        <v>184</v>
      </c>
      <c r="X111" s="157" t="s">
        <v>106</v>
      </c>
      <c r="Y111" s="157">
        <f t="shared" ca="1" si="18"/>
        <v>4416</v>
      </c>
      <c r="Z111" s="158">
        <v>88.320000000000007</v>
      </c>
      <c r="AA111" s="148">
        <v>13248.000000000002</v>
      </c>
      <c r="AB111" s="148">
        <f t="shared" si="19"/>
        <v>150</v>
      </c>
      <c r="AC111" s="204">
        <v>43836</v>
      </c>
      <c r="AD111" s="146" t="str">
        <f t="shared" si="20"/>
        <v>2020</v>
      </c>
      <c r="AE111" s="150" t="str">
        <f t="shared" si="21"/>
        <v>Jan</v>
      </c>
    </row>
    <row r="112" spans="2:31" x14ac:dyDescent="0.25">
      <c r="B112" s="152">
        <v>19</v>
      </c>
      <c r="C112" s="157" t="s">
        <v>85</v>
      </c>
      <c r="D112" s="154" t="s">
        <v>90</v>
      </c>
      <c r="E112" s="157" t="s">
        <v>113</v>
      </c>
      <c r="F112" s="141">
        <v>210</v>
      </c>
      <c r="G112" s="155" t="s">
        <v>124</v>
      </c>
      <c r="H112" s="204">
        <v>43834</v>
      </c>
      <c r="I112" s="143" t="str">
        <f t="shared" si="12"/>
        <v>2020</v>
      </c>
      <c r="J112" s="143" t="str">
        <f t="shared" si="13"/>
        <v>Jan</v>
      </c>
      <c r="K112" s="204">
        <v>43848</v>
      </c>
      <c r="L112" s="157" t="s">
        <v>160</v>
      </c>
      <c r="M112" s="204">
        <v>43866</v>
      </c>
      <c r="N112" s="143" t="str">
        <f t="shared" si="14"/>
        <v>2020</v>
      </c>
      <c r="O112" s="143" t="str">
        <f t="shared" si="15"/>
        <v>Feb</v>
      </c>
      <c r="P112" s="157" t="s">
        <v>164</v>
      </c>
      <c r="Q112" s="146" t="s">
        <v>17</v>
      </c>
      <c r="R112" s="157" t="s">
        <v>34</v>
      </c>
      <c r="S112" s="141" t="s">
        <v>20</v>
      </c>
      <c r="T112" s="204">
        <v>44184</v>
      </c>
      <c r="U112" s="145" t="str">
        <f t="shared" si="16"/>
        <v>2020</v>
      </c>
      <c r="V112" s="145" t="str">
        <f t="shared" si="17"/>
        <v>Dec</v>
      </c>
      <c r="W112" s="141">
        <f t="shared" ca="1" si="11"/>
        <v>250</v>
      </c>
      <c r="X112" s="157" t="s">
        <v>107</v>
      </c>
      <c r="Y112" s="157">
        <f t="shared" ca="1" si="18"/>
        <v>6000</v>
      </c>
      <c r="Z112" s="158">
        <v>60</v>
      </c>
      <c r="AA112" s="148">
        <v>9000</v>
      </c>
      <c r="AB112" s="148">
        <f t="shared" si="19"/>
        <v>150</v>
      </c>
      <c r="AC112" s="204">
        <v>43851</v>
      </c>
      <c r="AD112" s="146" t="str">
        <f t="shared" si="20"/>
        <v>2020</v>
      </c>
      <c r="AE112" s="150" t="str">
        <f t="shared" si="21"/>
        <v>Jan</v>
      </c>
    </row>
    <row r="113" spans="2:31" x14ac:dyDescent="0.25">
      <c r="B113" s="152">
        <v>20</v>
      </c>
      <c r="C113" s="157" t="s">
        <v>86</v>
      </c>
      <c r="D113" s="154" t="s">
        <v>91</v>
      </c>
      <c r="E113" s="157" t="s">
        <v>114</v>
      </c>
      <c r="F113" s="141">
        <v>211</v>
      </c>
      <c r="G113" s="155" t="s">
        <v>150</v>
      </c>
      <c r="H113" s="204">
        <v>43837</v>
      </c>
      <c r="I113" s="143" t="str">
        <f t="shared" si="12"/>
        <v>2020</v>
      </c>
      <c r="J113" s="143" t="str">
        <f t="shared" si="13"/>
        <v>Jan</v>
      </c>
      <c r="K113" s="204">
        <v>43843</v>
      </c>
      <c r="L113" s="157" t="s">
        <v>161</v>
      </c>
      <c r="M113" s="204">
        <v>43878</v>
      </c>
      <c r="N113" s="143" t="str">
        <f t="shared" si="14"/>
        <v>2020</v>
      </c>
      <c r="O113" s="143" t="str">
        <f t="shared" si="15"/>
        <v>Feb</v>
      </c>
      <c r="P113" s="157" t="s">
        <v>164</v>
      </c>
      <c r="Q113" s="146" t="s">
        <v>29</v>
      </c>
      <c r="R113" s="157" t="s">
        <v>35</v>
      </c>
      <c r="S113" s="141" t="s">
        <v>20</v>
      </c>
      <c r="T113" s="204">
        <v>43973</v>
      </c>
      <c r="U113" s="145" t="str">
        <f t="shared" si="16"/>
        <v>2020</v>
      </c>
      <c r="V113" s="145" t="str">
        <f t="shared" si="17"/>
        <v>May</v>
      </c>
      <c r="W113" s="141">
        <f t="shared" ca="1" si="11"/>
        <v>99</v>
      </c>
      <c r="X113" s="157" t="s">
        <v>108</v>
      </c>
      <c r="Y113" s="157">
        <f t="shared" ca="1" si="18"/>
        <v>2376</v>
      </c>
      <c r="Z113" s="158">
        <v>47.52</v>
      </c>
      <c r="AA113" s="148">
        <v>1425.6000000000001</v>
      </c>
      <c r="AB113" s="148">
        <f t="shared" si="19"/>
        <v>30</v>
      </c>
      <c r="AC113" s="204">
        <v>43846</v>
      </c>
      <c r="AD113" s="146" t="str">
        <f t="shared" si="20"/>
        <v>2020</v>
      </c>
      <c r="AE113" s="150" t="str">
        <f t="shared" si="21"/>
        <v>Jan</v>
      </c>
    </row>
    <row r="114" spans="2:31" x14ac:dyDescent="0.25">
      <c r="B114" s="152">
        <v>21</v>
      </c>
      <c r="C114" s="157" t="s">
        <v>87</v>
      </c>
      <c r="D114" s="154" t="s">
        <v>92</v>
      </c>
      <c r="E114" s="157" t="s">
        <v>115</v>
      </c>
      <c r="F114" s="141">
        <v>212</v>
      </c>
      <c r="G114" s="155" t="s">
        <v>151</v>
      </c>
      <c r="H114" s="204">
        <v>43849</v>
      </c>
      <c r="I114" s="143" t="str">
        <f t="shared" si="12"/>
        <v>2020</v>
      </c>
      <c r="J114" s="143" t="str">
        <f t="shared" si="13"/>
        <v>Jan</v>
      </c>
      <c r="K114" s="204">
        <v>43854</v>
      </c>
      <c r="L114" s="157" t="s">
        <v>158</v>
      </c>
      <c r="M114" s="204">
        <v>43892</v>
      </c>
      <c r="N114" s="143" t="str">
        <f t="shared" si="14"/>
        <v>2020</v>
      </c>
      <c r="O114" s="143" t="str">
        <f t="shared" si="15"/>
        <v>Mar</v>
      </c>
      <c r="P114" s="157" t="s">
        <v>162</v>
      </c>
      <c r="Q114" s="146" t="s">
        <v>17</v>
      </c>
      <c r="R114" s="157" t="s">
        <v>36</v>
      </c>
      <c r="S114" s="141" t="s">
        <v>20</v>
      </c>
      <c r="T114" s="204">
        <v>44225</v>
      </c>
      <c r="U114" s="145" t="str">
        <f t="shared" si="16"/>
        <v>2021</v>
      </c>
      <c r="V114" s="145" t="str">
        <f t="shared" si="17"/>
        <v>Jan</v>
      </c>
      <c r="W114" s="141">
        <f t="shared" ca="1" si="11"/>
        <v>270</v>
      </c>
      <c r="X114" s="157" t="s">
        <v>109</v>
      </c>
      <c r="Y114" s="157">
        <f t="shared" ca="1" si="18"/>
        <v>6480</v>
      </c>
      <c r="Z114" s="158">
        <v>64.8</v>
      </c>
      <c r="AA114" s="148">
        <v>9720</v>
      </c>
      <c r="AB114" s="148">
        <f t="shared" si="19"/>
        <v>150</v>
      </c>
      <c r="AC114" s="204">
        <v>43857</v>
      </c>
      <c r="AD114" s="146" t="str">
        <f t="shared" si="20"/>
        <v>2020</v>
      </c>
      <c r="AE114" s="150" t="str">
        <f t="shared" si="21"/>
        <v>Jan</v>
      </c>
    </row>
    <row r="115" spans="2:31" x14ac:dyDescent="0.25">
      <c r="B115" s="152">
        <v>22</v>
      </c>
      <c r="C115" s="157" t="s">
        <v>88</v>
      </c>
      <c r="D115" s="154" t="s">
        <v>39</v>
      </c>
      <c r="E115" s="157" t="s">
        <v>116</v>
      </c>
      <c r="F115" s="141">
        <v>213</v>
      </c>
      <c r="G115" s="155" t="s">
        <v>152</v>
      </c>
      <c r="H115" s="204">
        <v>43860</v>
      </c>
      <c r="I115" s="143" t="str">
        <f t="shared" si="12"/>
        <v>2020</v>
      </c>
      <c r="J115" s="143" t="str">
        <f t="shared" si="13"/>
        <v>Jan</v>
      </c>
      <c r="K115" s="204">
        <v>43862</v>
      </c>
      <c r="L115" s="157" t="s">
        <v>159</v>
      </c>
      <c r="M115" s="204">
        <v>43904</v>
      </c>
      <c r="N115" s="143" t="str">
        <f t="shared" si="14"/>
        <v>2020</v>
      </c>
      <c r="O115" s="143" t="str">
        <f t="shared" si="15"/>
        <v>Mar</v>
      </c>
      <c r="P115" s="157" t="s">
        <v>162</v>
      </c>
      <c r="Q115" s="146" t="s">
        <v>17</v>
      </c>
      <c r="R115" s="157" t="s">
        <v>37</v>
      </c>
      <c r="S115" s="141" t="s">
        <v>20</v>
      </c>
      <c r="T115" s="204">
        <v>44328</v>
      </c>
      <c r="U115" s="145" t="str">
        <f t="shared" si="16"/>
        <v>2021</v>
      </c>
      <c r="V115" s="145" t="str">
        <f t="shared" si="17"/>
        <v>May</v>
      </c>
      <c r="W115" s="141">
        <f t="shared" ca="1" si="11"/>
        <v>335</v>
      </c>
      <c r="X115" s="157" t="s">
        <v>110</v>
      </c>
      <c r="Y115" s="157">
        <f t="shared" ca="1" si="18"/>
        <v>8040</v>
      </c>
      <c r="Z115" s="158">
        <v>80.400000000000006</v>
      </c>
      <c r="AA115" s="148">
        <v>12060</v>
      </c>
      <c r="AB115" s="148">
        <f t="shared" si="19"/>
        <v>150</v>
      </c>
      <c r="AC115" s="204">
        <v>43865</v>
      </c>
      <c r="AD115" s="146" t="str">
        <f t="shared" si="20"/>
        <v>2020</v>
      </c>
      <c r="AE115" s="150" t="str">
        <f t="shared" si="21"/>
        <v>Feb</v>
      </c>
    </row>
    <row r="116" spans="2:31" x14ac:dyDescent="0.25">
      <c r="B116" s="152">
        <v>1</v>
      </c>
      <c r="C116" s="153" t="s">
        <v>7</v>
      </c>
      <c r="D116" s="154" t="s">
        <v>8</v>
      </c>
      <c r="E116" s="157" t="s">
        <v>111</v>
      </c>
      <c r="F116" s="141">
        <v>214</v>
      </c>
      <c r="G116" s="155" t="s">
        <v>153</v>
      </c>
      <c r="H116" s="204">
        <v>43861</v>
      </c>
      <c r="I116" s="143" t="str">
        <f t="shared" si="12"/>
        <v>2020</v>
      </c>
      <c r="J116" s="143" t="str">
        <f t="shared" si="13"/>
        <v>Jan</v>
      </c>
      <c r="K116" s="204">
        <v>43869</v>
      </c>
      <c r="L116" s="157" t="s">
        <v>161</v>
      </c>
      <c r="M116" s="204">
        <v>43902</v>
      </c>
      <c r="N116" s="143" t="str">
        <f t="shared" si="14"/>
        <v>2020</v>
      </c>
      <c r="O116" s="143" t="str">
        <f t="shared" si="15"/>
        <v>Mar</v>
      </c>
      <c r="P116" s="157" t="s">
        <v>162</v>
      </c>
      <c r="Q116" s="146" t="s">
        <v>17</v>
      </c>
      <c r="R116" s="157" t="s">
        <v>18</v>
      </c>
      <c r="S116" s="141" t="s">
        <v>20</v>
      </c>
      <c r="T116" s="204">
        <v>44337</v>
      </c>
      <c r="U116" s="145" t="str">
        <f t="shared" si="16"/>
        <v>2021</v>
      </c>
      <c r="V116" s="145" t="str">
        <f t="shared" si="17"/>
        <v>May</v>
      </c>
      <c r="W116" s="141">
        <f t="shared" ca="1" si="11"/>
        <v>341</v>
      </c>
      <c r="X116" s="157" t="s">
        <v>89</v>
      </c>
      <c r="Y116" s="157">
        <f t="shared" ca="1" si="18"/>
        <v>8184</v>
      </c>
      <c r="Z116" s="158">
        <v>245.51999999999998</v>
      </c>
      <c r="AA116" s="148">
        <v>36828</v>
      </c>
      <c r="AB116" s="148">
        <f t="shared" si="19"/>
        <v>150</v>
      </c>
      <c r="AC116" s="204">
        <v>43872</v>
      </c>
      <c r="AD116" s="146" t="str">
        <f t="shared" si="20"/>
        <v>2020</v>
      </c>
      <c r="AE116" s="150" t="str">
        <f t="shared" si="21"/>
        <v>Feb</v>
      </c>
    </row>
    <row r="117" spans="2:31" x14ac:dyDescent="0.25">
      <c r="B117" s="152">
        <v>2</v>
      </c>
      <c r="C117" s="153" t="s">
        <v>10</v>
      </c>
      <c r="D117" s="154" t="s">
        <v>11</v>
      </c>
      <c r="E117" s="157" t="s">
        <v>112</v>
      </c>
      <c r="F117" s="141">
        <v>215</v>
      </c>
      <c r="G117" s="155" t="s">
        <v>125</v>
      </c>
      <c r="H117" s="204">
        <v>43861</v>
      </c>
      <c r="I117" s="143" t="str">
        <f t="shared" si="12"/>
        <v>2020</v>
      </c>
      <c r="J117" s="143" t="str">
        <f t="shared" si="13"/>
        <v>Jan</v>
      </c>
      <c r="K117" s="204">
        <v>43874</v>
      </c>
      <c r="L117" s="157" t="s">
        <v>158</v>
      </c>
      <c r="M117" s="204">
        <v>43905</v>
      </c>
      <c r="N117" s="143" t="str">
        <f t="shared" si="14"/>
        <v>2020</v>
      </c>
      <c r="O117" s="143" t="str">
        <f t="shared" si="15"/>
        <v>Mar</v>
      </c>
      <c r="P117" s="157" t="s">
        <v>162</v>
      </c>
      <c r="Q117" s="146" t="s">
        <v>17</v>
      </c>
      <c r="R117" s="157" t="s">
        <v>19</v>
      </c>
      <c r="S117" s="141" t="s">
        <v>20</v>
      </c>
      <c r="T117" s="204">
        <v>44021</v>
      </c>
      <c r="U117" s="145" t="str">
        <f t="shared" si="16"/>
        <v>2020</v>
      </c>
      <c r="V117" s="145" t="str">
        <f t="shared" si="17"/>
        <v>Jul</v>
      </c>
      <c r="W117" s="141">
        <f t="shared" ca="1" si="11"/>
        <v>115</v>
      </c>
      <c r="X117" s="157" t="s">
        <v>90</v>
      </c>
      <c r="Y117" s="157">
        <f t="shared" ca="1" si="18"/>
        <v>2760</v>
      </c>
      <c r="Z117" s="158">
        <v>27.6</v>
      </c>
      <c r="AA117" s="148">
        <v>4140</v>
      </c>
      <c r="AB117" s="148">
        <f t="shared" si="19"/>
        <v>150</v>
      </c>
      <c r="AC117" s="204">
        <v>43877</v>
      </c>
      <c r="AD117" s="146" t="str">
        <f t="shared" si="20"/>
        <v>2020</v>
      </c>
      <c r="AE117" s="150" t="str">
        <f t="shared" si="21"/>
        <v>Feb</v>
      </c>
    </row>
    <row r="118" spans="2:31" x14ac:dyDescent="0.25">
      <c r="B118" s="152">
        <v>3</v>
      </c>
      <c r="C118" s="157" t="s">
        <v>69</v>
      </c>
      <c r="D118" s="154" t="s">
        <v>62</v>
      </c>
      <c r="E118" s="157" t="s">
        <v>113</v>
      </c>
      <c r="F118" s="141">
        <v>216</v>
      </c>
      <c r="G118" s="155" t="s">
        <v>125</v>
      </c>
      <c r="H118" s="204">
        <v>43862</v>
      </c>
      <c r="I118" s="143" t="str">
        <f t="shared" si="12"/>
        <v>2020</v>
      </c>
      <c r="J118" s="143" t="str">
        <f t="shared" si="13"/>
        <v>Feb</v>
      </c>
      <c r="K118" s="204">
        <v>43863</v>
      </c>
      <c r="L118" s="157" t="s">
        <v>159</v>
      </c>
      <c r="M118" s="204">
        <v>43907</v>
      </c>
      <c r="N118" s="143" t="str">
        <f t="shared" si="14"/>
        <v>2020</v>
      </c>
      <c r="O118" s="143" t="str">
        <f t="shared" si="15"/>
        <v>Mar</v>
      </c>
      <c r="P118" s="157" t="s">
        <v>165</v>
      </c>
      <c r="Q118" s="146" t="s">
        <v>17</v>
      </c>
      <c r="R118" s="157" t="s">
        <v>41</v>
      </c>
      <c r="S118" s="141" t="s">
        <v>20</v>
      </c>
      <c r="T118" s="204">
        <v>44149</v>
      </c>
      <c r="U118" s="145" t="str">
        <f t="shared" si="16"/>
        <v>2020</v>
      </c>
      <c r="V118" s="145" t="str">
        <f t="shared" si="17"/>
        <v>Nov</v>
      </c>
      <c r="W118" s="141">
        <f t="shared" ca="1" si="11"/>
        <v>205</v>
      </c>
      <c r="X118" s="157" t="s">
        <v>91</v>
      </c>
      <c r="Y118" s="157">
        <f t="shared" ca="1" si="18"/>
        <v>4920</v>
      </c>
      <c r="Z118" s="158">
        <v>49.2</v>
      </c>
      <c r="AA118" s="148">
        <v>7380</v>
      </c>
      <c r="AB118" s="148">
        <f t="shared" si="19"/>
        <v>150</v>
      </c>
      <c r="AC118" s="204">
        <v>43866</v>
      </c>
      <c r="AD118" s="146" t="str">
        <f t="shared" si="20"/>
        <v>2020</v>
      </c>
      <c r="AE118" s="150" t="str">
        <f t="shared" si="21"/>
        <v>Feb</v>
      </c>
    </row>
    <row r="119" spans="2:31" x14ac:dyDescent="0.25">
      <c r="B119" s="152">
        <v>4</v>
      </c>
      <c r="C119" s="157" t="s">
        <v>70</v>
      </c>
      <c r="D119" s="154" t="s">
        <v>63</v>
      </c>
      <c r="E119" s="157" t="s">
        <v>114</v>
      </c>
      <c r="F119" s="141">
        <v>217</v>
      </c>
      <c r="G119" s="155" t="s">
        <v>154</v>
      </c>
      <c r="H119" s="204">
        <v>43866</v>
      </c>
      <c r="I119" s="143" t="str">
        <f t="shared" si="12"/>
        <v>2020</v>
      </c>
      <c r="J119" s="143" t="str">
        <f t="shared" si="13"/>
        <v>Feb</v>
      </c>
      <c r="K119" s="204">
        <v>43866</v>
      </c>
      <c r="L119" s="157" t="s">
        <v>158</v>
      </c>
      <c r="M119" s="204">
        <v>43898</v>
      </c>
      <c r="N119" s="143" t="str">
        <f t="shared" si="14"/>
        <v>2020</v>
      </c>
      <c r="O119" s="143" t="str">
        <f t="shared" si="15"/>
        <v>Mar</v>
      </c>
      <c r="P119" s="157" t="s">
        <v>164</v>
      </c>
      <c r="Q119" s="146" t="s">
        <v>266</v>
      </c>
      <c r="R119" s="157" t="s">
        <v>42</v>
      </c>
      <c r="S119" s="141" t="s">
        <v>20</v>
      </c>
      <c r="T119" s="204">
        <v>44031</v>
      </c>
      <c r="U119" s="145" t="str">
        <f t="shared" si="16"/>
        <v>2020</v>
      </c>
      <c r="V119" s="145" t="str">
        <f t="shared" si="17"/>
        <v>Jul</v>
      </c>
      <c r="W119" s="141">
        <f t="shared" ca="1" si="11"/>
        <v>118</v>
      </c>
      <c r="X119" s="157" t="s">
        <v>92</v>
      </c>
      <c r="Y119" s="157">
        <f t="shared" ca="1" si="18"/>
        <v>2832</v>
      </c>
      <c r="Z119" s="158">
        <v>56.64</v>
      </c>
      <c r="AA119" s="148">
        <v>2832</v>
      </c>
      <c r="AB119" s="148">
        <f t="shared" si="19"/>
        <v>50</v>
      </c>
      <c r="AC119" s="204">
        <v>43869</v>
      </c>
      <c r="AD119" s="146" t="str">
        <f t="shared" si="20"/>
        <v>2020</v>
      </c>
      <c r="AE119" s="150" t="str">
        <f t="shared" si="21"/>
        <v>Feb</v>
      </c>
    </row>
    <row r="120" spans="2:31" x14ac:dyDescent="0.25">
      <c r="B120" s="152">
        <v>5</v>
      </c>
      <c r="C120" s="157" t="s">
        <v>71</v>
      </c>
      <c r="D120" s="154" t="s">
        <v>64</v>
      </c>
      <c r="E120" s="157" t="s">
        <v>115</v>
      </c>
      <c r="F120" s="141">
        <v>218</v>
      </c>
      <c r="G120" s="155" t="s">
        <v>155</v>
      </c>
      <c r="H120" s="204">
        <v>43869</v>
      </c>
      <c r="I120" s="143" t="str">
        <f t="shared" si="12"/>
        <v>2020</v>
      </c>
      <c r="J120" s="143" t="str">
        <f t="shared" si="13"/>
        <v>Feb</v>
      </c>
      <c r="K120" s="204">
        <v>43873</v>
      </c>
      <c r="L120" s="157" t="s">
        <v>160</v>
      </c>
      <c r="M120" s="204">
        <v>43898</v>
      </c>
      <c r="N120" s="143" t="str">
        <f t="shared" si="14"/>
        <v>2020</v>
      </c>
      <c r="O120" s="143" t="str">
        <f t="shared" si="15"/>
        <v>Mar</v>
      </c>
      <c r="P120" s="157" t="s">
        <v>162</v>
      </c>
      <c r="Q120" s="146" t="s">
        <v>266</v>
      </c>
      <c r="R120" s="157" t="s">
        <v>43</v>
      </c>
      <c r="S120" s="141" t="s">
        <v>20</v>
      </c>
      <c r="T120" s="204">
        <v>44108</v>
      </c>
      <c r="U120" s="145" t="str">
        <f t="shared" si="16"/>
        <v>2020</v>
      </c>
      <c r="V120" s="145" t="str">
        <f t="shared" si="17"/>
        <v>Oct</v>
      </c>
      <c r="W120" s="141">
        <f t="shared" ca="1" si="11"/>
        <v>170</v>
      </c>
      <c r="X120" s="157" t="s">
        <v>93</v>
      </c>
      <c r="Y120" s="157">
        <f t="shared" ca="1" si="18"/>
        <v>4080</v>
      </c>
      <c r="Z120" s="158">
        <v>81.600000000000009</v>
      </c>
      <c r="AA120" s="148">
        <v>4080.0000000000005</v>
      </c>
      <c r="AB120" s="148">
        <f t="shared" si="19"/>
        <v>50</v>
      </c>
      <c r="AC120" s="204">
        <v>43876</v>
      </c>
      <c r="AD120" s="146" t="str">
        <f t="shared" si="20"/>
        <v>2020</v>
      </c>
      <c r="AE120" s="150" t="str">
        <f t="shared" si="21"/>
        <v>Feb</v>
      </c>
    </row>
    <row r="121" spans="2:31" x14ac:dyDescent="0.25">
      <c r="B121" s="152">
        <v>6</v>
      </c>
      <c r="C121" s="157" t="s">
        <v>72</v>
      </c>
      <c r="D121" s="154" t="s">
        <v>65</v>
      </c>
      <c r="E121" s="157" t="s">
        <v>116</v>
      </c>
      <c r="F121" s="141">
        <v>219</v>
      </c>
      <c r="G121" s="154" t="s">
        <v>119</v>
      </c>
      <c r="H121" s="204">
        <v>43876</v>
      </c>
      <c r="I121" s="143" t="str">
        <f t="shared" si="12"/>
        <v>2020</v>
      </c>
      <c r="J121" s="143" t="str">
        <f t="shared" si="13"/>
        <v>Feb</v>
      </c>
      <c r="K121" s="204">
        <v>43879</v>
      </c>
      <c r="L121" s="157" t="s">
        <v>158</v>
      </c>
      <c r="M121" s="204">
        <v>43910</v>
      </c>
      <c r="N121" s="143" t="str">
        <f t="shared" si="14"/>
        <v>2020</v>
      </c>
      <c r="O121" s="143" t="str">
        <f t="shared" si="15"/>
        <v>Mar</v>
      </c>
      <c r="P121" s="157" t="s">
        <v>164</v>
      </c>
      <c r="Q121" s="146" t="s">
        <v>17</v>
      </c>
      <c r="R121" s="157" t="s">
        <v>44</v>
      </c>
      <c r="S121" s="141" t="s">
        <v>20</v>
      </c>
      <c r="T121" s="204">
        <v>44361</v>
      </c>
      <c r="U121" s="145" t="str">
        <f t="shared" si="16"/>
        <v>2021</v>
      </c>
      <c r="V121" s="145" t="str">
        <f t="shared" si="17"/>
        <v>Jun</v>
      </c>
      <c r="W121" s="141">
        <f t="shared" ca="1" si="11"/>
        <v>346</v>
      </c>
      <c r="X121" s="157" t="s">
        <v>94</v>
      </c>
      <c r="Y121" s="157">
        <f t="shared" ca="1" si="18"/>
        <v>8304</v>
      </c>
      <c r="Z121" s="158">
        <v>166.08</v>
      </c>
      <c r="AA121" s="148">
        <v>24912.000000000004</v>
      </c>
      <c r="AB121" s="148">
        <f t="shared" si="19"/>
        <v>150</v>
      </c>
      <c r="AC121" s="204">
        <v>43882</v>
      </c>
      <c r="AD121" s="146" t="str">
        <f t="shared" si="20"/>
        <v>2020</v>
      </c>
      <c r="AE121" s="150" t="str">
        <f t="shared" si="21"/>
        <v>Feb</v>
      </c>
    </row>
    <row r="122" spans="2:31" x14ac:dyDescent="0.25">
      <c r="B122" s="152">
        <v>7</v>
      </c>
      <c r="C122" s="157" t="s">
        <v>73</v>
      </c>
      <c r="D122" s="154" t="s">
        <v>66</v>
      </c>
      <c r="E122" s="157" t="s">
        <v>117</v>
      </c>
      <c r="F122" s="141">
        <v>220</v>
      </c>
      <c r="G122" s="155" t="s">
        <v>125</v>
      </c>
      <c r="H122" s="204">
        <v>43876</v>
      </c>
      <c r="I122" s="143" t="str">
        <f t="shared" si="12"/>
        <v>2020</v>
      </c>
      <c r="J122" s="143" t="str">
        <f t="shared" si="13"/>
        <v>Feb</v>
      </c>
      <c r="K122" s="204">
        <v>43880</v>
      </c>
      <c r="L122" s="157" t="s">
        <v>159</v>
      </c>
      <c r="M122" s="204">
        <v>43922</v>
      </c>
      <c r="N122" s="143" t="str">
        <f t="shared" si="14"/>
        <v>2020</v>
      </c>
      <c r="O122" s="143" t="str">
        <f t="shared" si="15"/>
        <v>Apr</v>
      </c>
      <c r="P122" s="157" t="s">
        <v>162</v>
      </c>
      <c r="Q122" s="146" t="s">
        <v>17</v>
      </c>
      <c r="R122" s="157" t="s">
        <v>45</v>
      </c>
      <c r="S122" s="141" t="s">
        <v>20</v>
      </c>
      <c r="T122" s="204">
        <v>44051</v>
      </c>
      <c r="U122" s="145" t="str">
        <f t="shared" si="16"/>
        <v>2020</v>
      </c>
      <c r="V122" s="145" t="str">
        <f t="shared" si="17"/>
        <v>Aug</v>
      </c>
      <c r="W122" s="141">
        <f t="shared" ca="1" si="11"/>
        <v>125</v>
      </c>
      <c r="X122" s="157" t="s">
        <v>95</v>
      </c>
      <c r="Y122" s="157">
        <f t="shared" ca="1" si="18"/>
        <v>3000</v>
      </c>
      <c r="Z122" s="158">
        <v>30</v>
      </c>
      <c r="AA122" s="148">
        <v>4500</v>
      </c>
      <c r="AB122" s="148">
        <f t="shared" si="19"/>
        <v>150</v>
      </c>
      <c r="AC122" s="204">
        <v>43883</v>
      </c>
      <c r="AD122" s="146" t="str">
        <f t="shared" si="20"/>
        <v>2020</v>
      </c>
      <c r="AE122" s="150" t="str">
        <f t="shared" si="21"/>
        <v>Feb</v>
      </c>
    </row>
    <row r="123" spans="2:31" x14ac:dyDescent="0.25">
      <c r="B123" s="152">
        <v>8</v>
      </c>
      <c r="C123" s="157" t="s">
        <v>74</v>
      </c>
      <c r="D123" s="154" t="s">
        <v>67</v>
      </c>
      <c r="E123" s="157" t="s">
        <v>118</v>
      </c>
      <c r="F123" s="141">
        <v>221</v>
      </c>
      <c r="G123" s="155" t="s">
        <v>137</v>
      </c>
      <c r="H123" s="204">
        <v>43878</v>
      </c>
      <c r="I123" s="143" t="str">
        <f t="shared" si="12"/>
        <v>2020</v>
      </c>
      <c r="J123" s="143" t="str">
        <f t="shared" si="13"/>
        <v>Feb</v>
      </c>
      <c r="K123" s="204">
        <v>43886</v>
      </c>
      <c r="L123" s="157" t="s">
        <v>157</v>
      </c>
      <c r="M123" s="204">
        <v>43912</v>
      </c>
      <c r="N123" s="143" t="str">
        <f t="shared" si="14"/>
        <v>2020</v>
      </c>
      <c r="O123" s="143" t="str">
        <f t="shared" si="15"/>
        <v>Mar</v>
      </c>
      <c r="P123" s="157" t="s">
        <v>165</v>
      </c>
      <c r="Q123" s="146" t="s">
        <v>29</v>
      </c>
      <c r="R123" s="157" t="s">
        <v>46</v>
      </c>
      <c r="S123" s="141" t="s">
        <v>20</v>
      </c>
      <c r="T123" s="204">
        <v>44137</v>
      </c>
      <c r="U123" s="145" t="str">
        <f t="shared" si="16"/>
        <v>2020</v>
      </c>
      <c r="V123" s="145" t="str">
        <f t="shared" si="17"/>
        <v>Nov</v>
      </c>
      <c r="W123" s="141">
        <f t="shared" ca="1" si="11"/>
        <v>186</v>
      </c>
      <c r="X123" s="157" t="s">
        <v>96</v>
      </c>
      <c r="Y123" s="157">
        <f t="shared" ca="1" si="18"/>
        <v>4464</v>
      </c>
      <c r="Z123" s="158">
        <v>133.91999999999999</v>
      </c>
      <c r="AA123" s="148">
        <v>4017.5999999999995</v>
      </c>
      <c r="AB123" s="148">
        <f t="shared" si="19"/>
        <v>30</v>
      </c>
      <c r="AC123" s="204">
        <v>43889</v>
      </c>
      <c r="AD123" s="146" t="str">
        <f t="shared" si="20"/>
        <v>2020</v>
      </c>
      <c r="AE123" s="150" t="str">
        <f t="shared" si="21"/>
        <v>Feb</v>
      </c>
    </row>
    <row r="124" spans="2:31" x14ac:dyDescent="0.25">
      <c r="B124" s="152">
        <v>9</v>
      </c>
      <c r="C124" s="157" t="s">
        <v>75</v>
      </c>
      <c r="D124" s="154" t="s">
        <v>68</v>
      </c>
      <c r="E124" s="157" t="s">
        <v>115</v>
      </c>
      <c r="F124" s="141">
        <v>222</v>
      </c>
      <c r="G124" s="155" t="s">
        <v>138</v>
      </c>
      <c r="H124" s="204">
        <v>43878</v>
      </c>
      <c r="I124" s="143" t="str">
        <f t="shared" si="12"/>
        <v>2020</v>
      </c>
      <c r="J124" s="143" t="str">
        <f t="shared" si="13"/>
        <v>Feb</v>
      </c>
      <c r="K124" s="204">
        <v>43885</v>
      </c>
      <c r="L124" s="157" t="s">
        <v>157</v>
      </c>
      <c r="M124" s="204">
        <v>43908</v>
      </c>
      <c r="N124" s="143" t="str">
        <f t="shared" si="14"/>
        <v>2020</v>
      </c>
      <c r="O124" s="143" t="str">
        <f t="shared" si="15"/>
        <v>Mar</v>
      </c>
      <c r="P124" s="157" t="s">
        <v>162</v>
      </c>
      <c r="Q124" s="146" t="s">
        <v>270</v>
      </c>
      <c r="R124" s="157" t="s">
        <v>47</v>
      </c>
      <c r="S124" s="141" t="s">
        <v>20</v>
      </c>
      <c r="T124" s="204">
        <v>44262</v>
      </c>
      <c r="U124" s="145" t="str">
        <f t="shared" si="16"/>
        <v>2021</v>
      </c>
      <c r="V124" s="145" t="str">
        <f t="shared" si="17"/>
        <v>Mar</v>
      </c>
      <c r="W124" s="141">
        <f t="shared" ca="1" si="11"/>
        <v>275</v>
      </c>
      <c r="X124" s="157" t="s">
        <v>97</v>
      </c>
      <c r="Y124" s="157">
        <f t="shared" ca="1" si="18"/>
        <v>6600</v>
      </c>
      <c r="Z124" s="158">
        <v>198</v>
      </c>
      <c r="AA124" s="148">
        <v>5940</v>
      </c>
      <c r="AB124" s="148">
        <f t="shared" si="19"/>
        <v>30</v>
      </c>
      <c r="AC124" s="204">
        <v>43888</v>
      </c>
      <c r="AD124" s="146" t="str">
        <f t="shared" si="20"/>
        <v>2020</v>
      </c>
      <c r="AE124" s="150" t="str">
        <f t="shared" si="21"/>
        <v>Feb</v>
      </c>
    </row>
    <row r="125" spans="2:31" x14ac:dyDescent="0.25">
      <c r="B125" s="152">
        <v>10</v>
      </c>
      <c r="C125" s="157" t="s">
        <v>76</v>
      </c>
      <c r="D125" s="154" t="s">
        <v>55</v>
      </c>
      <c r="E125" s="157" t="s">
        <v>116</v>
      </c>
      <c r="F125" s="141">
        <v>223</v>
      </c>
      <c r="G125" s="155" t="s">
        <v>139</v>
      </c>
      <c r="H125" s="204">
        <v>43881</v>
      </c>
      <c r="I125" s="143" t="str">
        <f t="shared" si="12"/>
        <v>2020</v>
      </c>
      <c r="J125" s="143" t="str">
        <f t="shared" si="13"/>
        <v>Feb</v>
      </c>
      <c r="K125" s="204">
        <v>43892</v>
      </c>
      <c r="L125" s="157" t="s">
        <v>157</v>
      </c>
      <c r="M125" s="204">
        <v>43911</v>
      </c>
      <c r="N125" s="143" t="str">
        <f t="shared" si="14"/>
        <v>2020</v>
      </c>
      <c r="O125" s="143" t="str">
        <f t="shared" si="15"/>
        <v>Mar</v>
      </c>
      <c r="P125" s="157" t="s">
        <v>162</v>
      </c>
      <c r="Q125" s="146" t="s">
        <v>271</v>
      </c>
      <c r="R125" s="157" t="s">
        <v>48</v>
      </c>
      <c r="S125" s="141" t="s">
        <v>20</v>
      </c>
      <c r="T125" s="204">
        <v>44153</v>
      </c>
      <c r="U125" s="145" t="str">
        <f t="shared" si="16"/>
        <v>2020</v>
      </c>
      <c r="V125" s="145" t="str">
        <f t="shared" si="17"/>
        <v>Nov</v>
      </c>
      <c r="W125" s="141">
        <f t="shared" ca="1" si="11"/>
        <v>195</v>
      </c>
      <c r="X125" s="157" t="s">
        <v>98</v>
      </c>
      <c r="Y125" s="157">
        <f t="shared" ca="1" si="18"/>
        <v>4680</v>
      </c>
      <c r="Z125" s="158">
        <v>93.600000000000009</v>
      </c>
      <c r="AA125" s="148">
        <v>5616.0000000000009</v>
      </c>
      <c r="AB125" s="148">
        <f t="shared" si="19"/>
        <v>60.000000000000007</v>
      </c>
      <c r="AC125" s="204">
        <v>43895</v>
      </c>
      <c r="AD125" s="146" t="str">
        <f t="shared" si="20"/>
        <v>2020</v>
      </c>
      <c r="AE125" s="150" t="str">
        <f t="shared" si="21"/>
        <v>Mar</v>
      </c>
    </row>
    <row r="126" spans="2:31" x14ac:dyDescent="0.25">
      <c r="B126" s="152">
        <v>11</v>
      </c>
      <c r="C126" s="157" t="s">
        <v>77</v>
      </c>
      <c r="D126" s="154" t="s">
        <v>56</v>
      </c>
      <c r="E126" s="157" t="s">
        <v>117</v>
      </c>
      <c r="F126" s="141">
        <v>224</v>
      </c>
      <c r="G126" s="155" t="s">
        <v>140</v>
      </c>
      <c r="H126" s="204">
        <v>43890</v>
      </c>
      <c r="I126" s="143" t="str">
        <f t="shared" si="12"/>
        <v>2020</v>
      </c>
      <c r="J126" s="143" t="str">
        <f t="shared" si="13"/>
        <v>Feb</v>
      </c>
      <c r="K126" s="204">
        <v>43894</v>
      </c>
      <c r="L126" s="157" t="s">
        <v>161</v>
      </c>
      <c r="M126" s="204">
        <v>43935</v>
      </c>
      <c r="N126" s="143" t="str">
        <f t="shared" si="14"/>
        <v>2020</v>
      </c>
      <c r="O126" s="143" t="str">
        <f t="shared" si="15"/>
        <v>Apr</v>
      </c>
      <c r="P126" s="157" t="s">
        <v>165</v>
      </c>
      <c r="Q126" s="146" t="s">
        <v>266</v>
      </c>
      <c r="R126" s="157" t="s">
        <v>49</v>
      </c>
      <c r="S126" s="141" t="s">
        <v>20</v>
      </c>
      <c r="T126" s="204">
        <v>44323</v>
      </c>
      <c r="U126" s="145" t="str">
        <f t="shared" si="16"/>
        <v>2021</v>
      </c>
      <c r="V126" s="145" t="str">
        <f t="shared" si="17"/>
        <v>May</v>
      </c>
      <c r="W126" s="141">
        <f t="shared" ca="1" si="11"/>
        <v>310</v>
      </c>
      <c r="X126" s="157" t="s">
        <v>99</v>
      </c>
      <c r="Y126" s="157">
        <f t="shared" ca="1" si="18"/>
        <v>7440</v>
      </c>
      <c r="Z126" s="158">
        <v>148.80000000000001</v>
      </c>
      <c r="AA126" s="148">
        <v>7440.0000000000009</v>
      </c>
      <c r="AB126" s="148">
        <f t="shared" si="19"/>
        <v>50</v>
      </c>
      <c r="AC126" s="204">
        <v>43897</v>
      </c>
      <c r="AD126" s="146" t="str">
        <f t="shared" si="20"/>
        <v>2020</v>
      </c>
      <c r="AE126" s="150" t="str">
        <f t="shared" si="21"/>
        <v>Mar</v>
      </c>
    </row>
    <row r="127" spans="2:31" x14ac:dyDescent="0.25">
      <c r="B127" s="152">
        <v>12</v>
      </c>
      <c r="C127" s="157" t="s">
        <v>78</v>
      </c>
      <c r="D127" s="154" t="s">
        <v>57</v>
      </c>
      <c r="E127" s="157" t="s">
        <v>118</v>
      </c>
      <c r="F127" s="141">
        <v>225</v>
      </c>
      <c r="G127" s="155" t="s">
        <v>141</v>
      </c>
      <c r="H127" s="204">
        <v>43895</v>
      </c>
      <c r="I127" s="143" t="str">
        <f t="shared" si="12"/>
        <v>2020</v>
      </c>
      <c r="J127" s="143" t="str">
        <f t="shared" si="13"/>
        <v>Mar</v>
      </c>
      <c r="K127" s="204">
        <v>43904</v>
      </c>
      <c r="L127" s="157" t="s">
        <v>157</v>
      </c>
      <c r="M127" s="204">
        <v>43948</v>
      </c>
      <c r="N127" s="143" t="str">
        <f t="shared" si="14"/>
        <v>2020</v>
      </c>
      <c r="O127" s="143" t="str">
        <f t="shared" si="15"/>
        <v>Apr</v>
      </c>
      <c r="P127" s="157" t="s">
        <v>164</v>
      </c>
      <c r="Q127" s="146" t="s">
        <v>17</v>
      </c>
      <c r="R127" s="157" t="s">
        <v>50</v>
      </c>
      <c r="S127" s="141" t="s">
        <v>20</v>
      </c>
      <c r="T127" s="204">
        <v>44019</v>
      </c>
      <c r="U127" s="145" t="str">
        <f t="shared" si="16"/>
        <v>2020</v>
      </c>
      <c r="V127" s="145" t="str">
        <f t="shared" si="17"/>
        <v>Jul</v>
      </c>
      <c r="W127" s="141">
        <f t="shared" ca="1" si="11"/>
        <v>89</v>
      </c>
      <c r="X127" s="157" t="s">
        <v>100</v>
      </c>
      <c r="Y127" s="157">
        <f t="shared" ca="1" si="18"/>
        <v>2136</v>
      </c>
      <c r="Z127" s="158">
        <v>42.72</v>
      </c>
      <c r="AA127" s="148">
        <v>6408</v>
      </c>
      <c r="AB127" s="148">
        <f t="shared" si="19"/>
        <v>150</v>
      </c>
      <c r="AC127" s="204">
        <v>43907</v>
      </c>
      <c r="AD127" s="146" t="str">
        <f t="shared" si="20"/>
        <v>2020</v>
      </c>
      <c r="AE127" s="150" t="str">
        <f t="shared" si="21"/>
        <v>Mar</v>
      </c>
    </row>
    <row r="128" spans="2:31" x14ac:dyDescent="0.25">
      <c r="B128" s="152">
        <v>13</v>
      </c>
      <c r="C128" s="157" t="s">
        <v>79</v>
      </c>
      <c r="D128" s="154" t="s">
        <v>58</v>
      </c>
      <c r="E128" s="157" t="s">
        <v>111</v>
      </c>
      <c r="F128" s="141">
        <v>226</v>
      </c>
      <c r="G128" s="155" t="s">
        <v>142</v>
      </c>
      <c r="H128" s="204">
        <v>43897</v>
      </c>
      <c r="I128" s="143" t="str">
        <f t="shared" si="12"/>
        <v>2020</v>
      </c>
      <c r="J128" s="143" t="str">
        <f t="shared" si="13"/>
        <v>Mar</v>
      </c>
      <c r="K128" s="204">
        <v>43898</v>
      </c>
      <c r="L128" s="157" t="s">
        <v>160</v>
      </c>
      <c r="M128" s="204">
        <v>43930</v>
      </c>
      <c r="N128" s="143" t="str">
        <f t="shared" si="14"/>
        <v>2020</v>
      </c>
      <c r="O128" s="143" t="str">
        <f t="shared" si="15"/>
        <v>Apr</v>
      </c>
      <c r="P128" s="157" t="s">
        <v>162</v>
      </c>
      <c r="Q128" s="146" t="s">
        <v>266</v>
      </c>
      <c r="R128" s="157" t="s">
        <v>51</v>
      </c>
      <c r="S128" s="141" t="s">
        <v>20</v>
      </c>
      <c r="T128" s="204">
        <v>44374</v>
      </c>
      <c r="U128" s="145" t="str">
        <f t="shared" si="16"/>
        <v>2021</v>
      </c>
      <c r="V128" s="145" t="str">
        <f t="shared" si="17"/>
        <v>Jun</v>
      </c>
      <c r="W128" s="141">
        <f t="shared" ca="1" si="11"/>
        <v>340</v>
      </c>
      <c r="X128" s="157" t="s">
        <v>101</v>
      </c>
      <c r="Y128" s="157">
        <f t="shared" ca="1" si="18"/>
        <v>8160</v>
      </c>
      <c r="Z128" s="158">
        <v>163.20000000000002</v>
      </c>
      <c r="AA128" s="148">
        <v>8160.0000000000009</v>
      </c>
      <c r="AB128" s="148">
        <f t="shared" si="19"/>
        <v>50</v>
      </c>
      <c r="AC128" s="204">
        <v>43901</v>
      </c>
      <c r="AD128" s="146" t="str">
        <f t="shared" si="20"/>
        <v>2020</v>
      </c>
      <c r="AE128" s="150" t="str">
        <f t="shared" si="21"/>
        <v>Mar</v>
      </c>
    </row>
    <row r="129" spans="2:31" x14ac:dyDescent="0.25">
      <c r="B129" s="152">
        <v>10</v>
      </c>
      <c r="C129" s="157" t="s">
        <v>76</v>
      </c>
      <c r="D129" s="154" t="s">
        <v>55</v>
      </c>
      <c r="E129" s="157" t="s">
        <v>116</v>
      </c>
      <c r="F129" s="141">
        <v>227</v>
      </c>
      <c r="G129" s="155" t="s">
        <v>126</v>
      </c>
      <c r="H129" s="204">
        <v>43898</v>
      </c>
      <c r="I129" s="143" t="str">
        <f t="shared" si="12"/>
        <v>2020</v>
      </c>
      <c r="J129" s="143" t="str">
        <f t="shared" si="13"/>
        <v>Mar</v>
      </c>
      <c r="K129" s="204">
        <v>43900</v>
      </c>
      <c r="L129" s="157" t="s">
        <v>161</v>
      </c>
      <c r="M129" s="204">
        <v>43934</v>
      </c>
      <c r="N129" s="143" t="str">
        <f t="shared" si="14"/>
        <v>2020</v>
      </c>
      <c r="O129" s="143" t="str">
        <f t="shared" si="15"/>
        <v>Apr</v>
      </c>
      <c r="P129" s="157" t="s">
        <v>165</v>
      </c>
      <c r="Q129" s="146" t="s">
        <v>17</v>
      </c>
      <c r="R129" s="157" t="s">
        <v>48</v>
      </c>
      <c r="S129" s="141" t="s">
        <v>20</v>
      </c>
      <c r="T129" s="204">
        <v>44137</v>
      </c>
      <c r="U129" s="145" t="str">
        <f t="shared" si="16"/>
        <v>2020</v>
      </c>
      <c r="V129" s="145" t="str">
        <f t="shared" si="17"/>
        <v>Nov</v>
      </c>
      <c r="W129" s="141">
        <f t="shared" ca="1" si="11"/>
        <v>171</v>
      </c>
      <c r="X129" s="157" t="s">
        <v>98</v>
      </c>
      <c r="Y129" s="157">
        <f t="shared" ca="1" si="18"/>
        <v>4104</v>
      </c>
      <c r="Z129" s="158">
        <v>41.04</v>
      </c>
      <c r="AA129" s="148">
        <v>6156</v>
      </c>
      <c r="AB129" s="148">
        <f t="shared" si="19"/>
        <v>150</v>
      </c>
      <c r="AC129" s="204">
        <v>43903</v>
      </c>
      <c r="AD129" s="146" t="str">
        <f t="shared" si="20"/>
        <v>2020</v>
      </c>
      <c r="AE129" s="150" t="str">
        <f t="shared" si="21"/>
        <v>Mar</v>
      </c>
    </row>
    <row r="130" spans="2:31" x14ac:dyDescent="0.25">
      <c r="B130" s="152">
        <v>11</v>
      </c>
      <c r="C130" s="157" t="s">
        <v>77</v>
      </c>
      <c r="D130" s="154" t="s">
        <v>56</v>
      </c>
      <c r="E130" s="157" t="s">
        <v>117</v>
      </c>
      <c r="F130" s="141">
        <v>228</v>
      </c>
      <c r="G130" s="155" t="s">
        <v>125</v>
      </c>
      <c r="H130" s="204">
        <v>43901</v>
      </c>
      <c r="I130" s="143" t="str">
        <f t="shared" si="12"/>
        <v>2020</v>
      </c>
      <c r="J130" s="143" t="str">
        <f t="shared" si="13"/>
        <v>Mar</v>
      </c>
      <c r="K130" s="204">
        <v>43906</v>
      </c>
      <c r="L130" s="157" t="s">
        <v>159</v>
      </c>
      <c r="M130" s="204">
        <v>43951</v>
      </c>
      <c r="N130" s="143" t="str">
        <f t="shared" si="14"/>
        <v>2020</v>
      </c>
      <c r="O130" s="143" t="str">
        <f t="shared" si="15"/>
        <v>Apr</v>
      </c>
      <c r="P130" s="157" t="s">
        <v>162</v>
      </c>
      <c r="Q130" s="146" t="s">
        <v>17</v>
      </c>
      <c r="R130" s="157" t="s">
        <v>49</v>
      </c>
      <c r="S130" s="141" t="s">
        <v>20</v>
      </c>
      <c r="T130" s="204">
        <v>44407</v>
      </c>
      <c r="U130" s="145" t="str">
        <f t="shared" si="16"/>
        <v>2021</v>
      </c>
      <c r="V130" s="145" t="str">
        <f t="shared" si="17"/>
        <v>Jul</v>
      </c>
      <c r="W130" s="141">
        <f t="shared" ca="1" si="11"/>
        <v>363</v>
      </c>
      <c r="X130" s="157" t="s">
        <v>99</v>
      </c>
      <c r="Y130" s="157">
        <f t="shared" ca="1" si="18"/>
        <v>8712</v>
      </c>
      <c r="Z130" s="158">
        <v>174.24</v>
      </c>
      <c r="AA130" s="148">
        <v>26136</v>
      </c>
      <c r="AB130" s="148">
        <f t="shared" si="19"/>
        <v>150</v>
      </c>
      <c r="AC130" s="204">
        <v>43909</v>
      </c>
      <c r="AD130" s="146" t="str">
        <f t="shared" si="20"/>
        <v>2020</v>
      </c>
      <c r="AE130" s="150" t="str">
        <f t="shared" si="21"/>
        <v>Mar</v>
      </c>
    </row>
    <row r="131" spans="2:31" x14ac:dyDescent="0.25">
      <c r="B131" s="152">
        <v>12</v>
      </c>
      <c r="C131" s="157" t="s">
        <v>78</v>
      </c>
      <c r="D131" s="154" t="s">
        <v>57</v>
      </c>
      <c r="E131" s="157" t="s">
        <v>118</v>
      </c>
      <c r="F131" s="141">
        <v>229</v>
      </c>
      <c r="G131" s="155" t="s">
        <v>126</v>
      </c>
      <c r="H131" s="204">
        <v>43902</v>
      </c>
      <c r="I131" s="143" t="str">
        <f t="shared" si="12"/>
        <v>2020</v>
      </c>
      <c r="J131" s="143" t="str">
        <f t="shared" si="13"/>
        <v>Mar</v>
      </c>
      <c r="K131" s="204">
        <v>43911</v>
      </c>
      <c r="L131" s="157" t="s">
        <v>156</v>
      </c>
      <c r="M131" s="204">
        <v>43952</v>
      </c>
      <c r="N131" s="143" t="str">
        <f t="shared" si="14"/>
        <v>2020</v>
      </c>
      <c r="O131" s="143" t="str">
        <f t="shared" si="15"/>
        <v>May</v>
      </c>
      <c r="P131" s="157" t="s">
        <v>165</v>
      </c>
      <c r="Q131" s="146" t="s">
        <v>17</v>
      </c>
      <c r="R131" s="157" t="s">
        <v>50</v>
      </c>
      <c r="S131" s="141" t="s">
        <v>20</v>
      </c>
      <c r="T131" s="204">
        <v>44224</v>
      </c>
      <c r="U131" s="145" t="str">
        <f t="shared" si="16"/>
        <v>2021</v>
      </c>
      <c r="V131" s="145" t="str">
        <f t="shared" si="17"/>
        <v>Jan</v>
      </c>
      <c r="W131" s="141">
        <f t="shared" ref="W131:W194" ca="1" si="22">IF($T131="",NETWORKDAYS($H131,TODAY()),NETWORKDAYS($H131,$T131))</f>
        <v>231</v>
      </c>
      <c r="X131" s="157" t="s">
        <v>100</v>
      </c>
      <c r="Y131" s="157">
        <f t="shared" ca="1" si="18"/>
        <v>5544</v>
      </c>
      <c r="Z131" s="158">
        <v>110.88</v>
      </c>
      <c r="AA131" s="148">
        <v>16632</v>
      </c>
      <c r="AB131" s="148">
        <f t="shared" si="19"/>
        <v>150</v>
      </c>
      <c r="AC131" s="204">
        <v>43914</v>
      </c>
      <c r="AD131" s="146" t="str">
        <f t="shared" si="20"/>
        <v>2020</v>
      </c>
      <c r="AE131" s="150" t="str">
        <f t="shared" si="21"/>
        <v>Mar</v>
      </c>
    </row>
    <row r="132" spans="2:31" x14ac:dyDescent="0.25">
      <c r="B132" s="152">
        <v>13</v>
      </c>
      <c r="C132" s="157" t="s">
        <v>79</v>
      </c>
      <c r="D132" s="154" t="s">
        <v>58</v>
      </c>
      <c r="E132" s="157" t="s">
        <v>111</v>
      </c>
      <c r="F132" s="141">
        <v>230</v>
      </c>
      <c r="G132" s="155" t="s">
        <v>127</v>
      </c>
      <c r="H132" s="204">
        <v>43906</v>
      </c>
      <c r="I132" s="143" t="str">
        <f t="shared" ref="I132:I195" si="23">TEXT($H132,"YYYY")</f>
        <v>2020</v>
      </c>
      <c r="J132" s="143" t="str">
        <f t="shared" ref="J132:J195" si="24">TEXT($H132,"MMM")</f>
        <v>Mar</v>
      </c>
      <c r="K132" s="204">
        <v>43908</v>
      </c>
      <c r="L132" s="157" t="s">
        <v>159</v>
      </c>
      <c r="M132" s="204">
        <v>43948</v>
      </c>
      <c r="N132" s="143" t="str">
        <f t="shared" ref="N132:N195" si="25">TEXT($M132,"YYYY")</f>
        <v>2020</v>
      </c>
      <c r="O132" s="143" t="str">
        <f t="shared" ref="O132:O195" si="26">TEXT($M132,"MMM")</f>
        <v>Apr</v>
      </c>
      <c r="P132" s="157" t="s">
        <v>164</v>
      </c>
      <c r="Q132" s="146" t="s">
        <v>17</v>
      </c>
      <c r="R132" s="157" t="s">
        <v>51</v>
      </c>
      <c r="S132" s="141" t="s">
        <v>20</v>
      </c>
      <c r="T132" s="204">
        <v>44209</v>
      </c>
      <c r="U132" s="145" t="str">
        <f t="shared" ref="U132:U195" si="27">IF($T132="","",TEXT($T132,"YYYY"))</f>
        <v>2021</v>
      </c>
      <c r="V132" s="145" t="str">
        <f t="shared" ref="V132:V195" si="28">IF($T132="","",TEXT($T132,"MMM"))</f>
        <v>Jan</v>
      </c>
      <c r="W132" s="141">
        <f t="shared" ca="1" si="22"/>
        <v>218</v>
      </c>
      <c r="X132" s="157" t="s">
        <v>101</v>
      </c>
      <c r="Y132" s="157">
        <f t="shared" ref="Y132:Y195" ca="1" si="29">W132*24</f>
        <v>5232</v>
      </c>
      <c r="Z132" s="158">
        <v>52.32</v>
      </c>
      <c r="AA132" s="148">
        <v>7848</v>
      </c>
      <c r="AB132" s="148">
        <f t="shared" ref="AB132:AB195" si="30">AA132/Z132</f>
        <v>150</v>
      </c>
      <c r="AC132" s="204">
        <v>43911</v>
      </c>
      <c r="AD132" s="146" t="str">
        <f t="shared" ref="AD132:AD195" si="31">IF(AC132="","",TEXT(AC132,"yyyy"))</f>
        <v>2020</v>
      </c>
      <c r="AE132" s="150" t="str">
        <f t="shared" ref="AE132:AE195" si="32">IF(AC132="","",TEXT(AC132,"mmm"))</f>
        <v>Mar</v>
      </c>
    </row>
    <row r="133" spans="2:31" x14ac:dyDescent="0.25">
      <c r="B133" s="152">
        <v>14</v>
      </c>
      <c r="C133" s="157" t="s">
        <v>80</v>
      </c>
      <c r="D133" s="154" t="s">
        <v>59</v>
      </c>
      <c r="E133" s="157" t="s">
        <v>112</v>
      </c>
      <c r="F133" s="141">
        <v>231</v>
      </c>
      <c r="G133" s="155" t="s">
        <v>128</v>
      </c>
      <c r="H133" s="204">
        <v>43907</v>
      </c>
      <c r="I133" s="143" t="str">
        <f t="shared" si="23"/>
        <v>2020</v>
      </c>
      <c r="J133" s="143" t="str">
        <f t="shared" si="24"/>
        <v>Mar</v>
      </c>
      <c r="K133" s="204">
        <v>43913</v>
      </c>
      <c r="L133" s="157" t="s">
        <v>156</v>
      </c>
      <c r="M133" s="204">
        <v>43949</v>
      </c>
      <c r="N133" s="143" t="str">
        <f t="shared" si="25"/>
        <v>2020</v>
      </c>
      <c r="O133" s="143" t="str">
        <f t="shared" si="26"/>
        <v>Apr</v>
      </c>
      <c r="P133" s="157" t="s">
        <v>162</v>
      </c>
      <c r="Q133" s="146" t="s">
        <v>267</v>
      </c>
      <c r="R133" s="157" t="s">
        <v>52</v>
      </c>
      <c r="S133" s="141" t="s">
        <v>20</v>
      </c>
      <c r="T133" s="204">
        <v>44410</v>
      </c>
      <c r="U133" s="145" t="str">
        <f t="shared" si="27"/>
        <v>2021</v>
      </c>
      <c r="V133" s="145" t="str">
        <f t="shared" si="28"/>
        <v>Aug</v>
      </c>
      <c r="W133" s="141">
        <f t="shared" ca="1" si="22"/>
        <v>360</v>
      </c>
      <c r="X133" s="157" t="s">
        <v>102</v>
      </c>
      <c r="Y133" s="157">
        <f t="shared" ca="1" si="29"/>
        <v>8640</v>
      </c>
      <c r="Z133" s="158">
        <v>172.8</v>
      </c>
      <c r="AA133" s="148">
        <v>12960</v>
      </c>
      <c r="AB133" s="148">
        <f t="shared" si="30"/>
        <v>75</v>
      </c>
      <c r="AC133" s="204">
        <v>43916</v>
      </c>
      <c r="AD133" s="146" t="str">
        <f t="shared" si="31"/>
        <v>2020</v>
      </c>
      <c r="AE133" s="150" t="str">
        <f t="shared" si="32"/>
        <v>Mar</v>
      </c>
    </row>
    <row r="134" spans="2:31" x14ac:dyDescent="0.25">
      <c r="B134" s="152">
        <v>15</v>
      </c>
      <c r="C134" s="157" t="s">
        <v>81</v>
      </c>
      <c r="D134" s="154" t="s">
        <v>60</v>
      </c>
      <c r="E134" s="157" t="s">
        <v>113</v>
      </c>
      <c r="F134" s="141">
        <v>232</v>
      </c>
      <c r="G134" s="155" t="s">
        <v>129</v>
      </c>
      <c r="H134" s="204">
        <v>43909</v>
      </c>
      <c r="I134" s="143" t="str">
        <f t="shared" si="23"/>
        <v>2020</v>
      </c>
      <c r="J134" s="143" t="str">
        <f t="shared" si="24"/>
        <v>Mar</v>
      </c>
      <c r="K134" s="204">
        <v>43920</v>
      </c>
      <c r="L134" s="157" t="s">
        <v>156</v>
      </c>
      <c r="M134" s="204">
        <v>43941</v>
      </c>
      <c r="N134" s="143" t="str">
        <f t="shared" si="25"/>
        <v>2020</v>
      </c>
      <c r="O134" s="143" t="str">
        <f t="shared" si="26"/>
        <v>Apr</v>
      </c>
      <c r="P134" s="157" t="s">
        <v>162</v>
      </c>
      <c r="Q134" s="146" t="s">
        <v>17</v>
      </c>
      <c r="R134" s="157" t="s">
        <v>53</v>
      </c>
      <c r="S134" s="141" t="s">
        <v>20</v>
      </c>
      <c r="T134" s="204">
        <v>44147</v>
      </c>
      <c r="U134" s="145" t="str">
        <f t="shared" si="27"/>
        <v>2020</v>
      </c>
      <c r="V134" s="145" t="str">
        <f t="shared" si="28"/>
        <v>Nov</v>
      </c>
      <c r="W134" s="141">
        <f t="shared" ca="1" si="22"/>
        <v>171</v>
      </c>
      <c r="X134" s="157" t="s">
        <v>103</v>
      </c>
      <c r="Y134" s="157">
        <f t="shared" ca="1" si="29"/>
        <v>4104</v>
      </c>
      <c r="Z134" s="158">
        <v>123.11999999999999</v>
      </c>
      <c r="AA134" s="148">
        <v>18468</v>
      </c>
      <c r="AB134" s="148">
        <f t="shared" si="30"/>
        <v>150</v>
      </c>
      <c r="AC134" s="204">
        <v>43923</v>
      </c>
      <c r="AD134" s="146" t="str">
        <f t="shared" si="31"/>
        <v>2020</v>
      </c>
      <c r="AE134" s="150" t="str">
        <f t="shared" si="32"/>
        <v>Apr</v>
      </c>
    </row>
    <row r="135" spans="2:31" x14ac:dyDescent="0.25">
      <c r="B135" s="152">
        <v>16</v>
      </c>
      <c r="C135" s="157" t="s">
        <v>82</v>
      </c>
      <c r="D135" s="154" t="s">
        <v>61</v>
      </c>
      <c r="E135" s="157" t="s">
        <v>114</v>
      </c>
      <c r="F135" s="141">
        <v>233</v>
      </c>
      <c r="G135" s="155" t="s">
        <v>126</v>
      </c>
      <c r="H135" s="204">
        <v>43911</v>
      </c>
      <c r="I135" s="143" t="str">
        <f t="shared" si="23"/>
        <v>2020</v>
      </c>
      <c r="J135" s="143" t="str">
        <f t="shared" si="24"/>
        <v>Mar</v>
      </c>
      <c r="K135" s="204">
        <v>43920</v>
      </c>
      <c r="L135" s="157" t="s">
        <v>158</v>
      </c>
      <c r="M135" s="204">
        <v>43949</v>
      </c>
      <c r="N135" s="143" t="str">
        <f t="shared" si="25"/>
        <v>2020</v>
      </c>
      <c r="O135" s="143" t="str">
        <f t="shared" si="26"/>
        <v>Apr</v>
      </c>
      <c r="P135" s="157" t="s">
        <v>162</v>
      </c>
      <c r="Q135" s="146" t="s">
        <v>17</v>
      </c>
      <c r="R135" s="157" t="s">
        <v>54</v>
      </c>
      <c r="S135" s="141" t="s">
        <v>20</v>
      </c>
      <c r="T135" s="204">
        <v>44107</v>
      </c>
      <c r="U135" s="145" t="str">
        <f t="shared" si="27"/>
        <v>2020</v>
      </c>
      <c r="V135" s="145" t="str">
        <f t="shared" si="28"/>
        <v>Oct</v>
      </c>
      <c r="W135" s="141">
        <f t="shared" ca="1" si="22"/>
        <v>140</v>
      </c>
      <c r="X135" s="157" t="s">
        <v>104</v>
      </c>
      <c r="Y135" s="157">
        <f t="shared" ca="1" si="29"/>
        <v>3360</v>
      </c>
      <c r="Z135" s="158">
        <v>67.2</v>
      </c>
      <c r="AA135" s="148">
        <v>10080</v>
      </c>
      <c r="AB135" s="148">
        <f t="shared" si="30"/>
        <v>150</v>
      </c>
      <c r="AC135" s="204">
        <v>43923</v>
      </c>
      <c r="AD135" s="146" t="str">
        <f t="shared" si="31"/>
        <v>2020</v>
      </c>
      <c r="AE135" s="150" t="str">
        <f t="shared" si="32"/>
        <v>Apr</v>
      </c>
    </row>
    <row r="136" spans="2:31" x14ac:dyDescent="0.25">
      <c r="B136" s="152">
        <v>17</v>
      </c>
      <c r="C136" s="157" t="s">
        <v>83</v>
      </c>
      <c r="D136" s="154" t="s">
        <v>33</v>
      </c>
      <c r="E136" s="157" t="s">
        <v>115</v>
      </c>
      <c r="F136" s="141">
        <v>234</v>
      </c>
      <c r="G136" s="155" t="s">
        <v>130</v>
      </c>
      <c r="H136" s="204">
        <v>43911</v>
      </c>
      <c r="I136" s="143" t="str">
        <f t="shared" si="23"/>
        <v>2020</v>
      </c>
      <c r="J136" s="143" t="str">
        <f t="shared" si="24"/>
        <v>Mar</v>
      </c>
      <c r="K136" s="204">
        <v>43923</v>
      </c>
      <c r="L136" s="157" t="s">
        <v>161</v>
      </c>
      <c r="M136" s="204">
        <v>43958</v>
      </c>
      <c r="N136" s="143" t="str">
        <f t="shared" si="25"/>
        <v>2020</v>
      </c>
      <c r="O136" s="143" t="str">
        <f t="shared" si="26"/>
        <v>May</v>
      </c>
      <c r="P136" s="157" t="s">
        <v>162</v>
      </c>
      <c r="Q136" s="146" t="s">
        <v>17</v>
      </c>
      <c r="R136" s="157" t="s">
        <v>38</v>
      </c>
      <c r="S136" s="141" t="s">
        <v>20</v>
      </c>
      <c r="T136" s="204">
        <v>44336</v>
      </c>
      <c r="U136" s="145" t="str">
        <f t="shared" si="27"/>
        <v>2021</v>
      </c>
      <c r="V136" s="145" t="str">
        <f t="shared" si="28"/>
        <v>May</v>
      </c>
      <c r="W136" s="141">
        <f t="shared" ca="1" si="22"/>
        <v>304</v>
      </c>
      <c r="X136" s="157" t="s">
        <v>105</v>
      </c>
      <c r="Y136" s="157">
        <f t="shared" ca="1" si="29"/>
        <v>7296</v>
      </c>
      <c r="Z136" s="158">
        <v>145.92000000000002</v>
      </c>
      <c r="AA136" s="148">
        <v>21888.000000000004</v>
      </c>
      <c r="AB136" s="148">
        <f t="shared" si="30"/>
        <v>150</v>
      </c>
      <c r="AC136" s="204">
        <v>43926</v>
      </c>
      <c r="AD136" s="146" t="str">
        <f t="shared" si="31"/>
        <v>2020</v>
      </c>
      <c r="AE136" s="150" t="str">
        <f t="shared" si="32"/>
        <v>Apr</v>
      </c>
    </row>
    <row r="137" spans="2:31" x14ac:dyDescent="0.25">
      <c r="B137" s="152">
        <v>18</v>
      </c>
      <c r="C137" s="157" t="s">
        <v>84</v>
      </c>
      <c r="D137" s="154" t="s">
        <v>89</v>
      </c>
      <c r="E137" s="157" t="s">
        <v>112</v>
      </c>
      <c r="F137" s="141">
        <v>235</v>
      </c>
      <c r="G137" s="155" t="s">
        <v>131</v>
      </c>
      <c r="H137" s="204">
        <v>43912</v>
      </c>
      <c r="I137" s="143" t="str">
        <f t="shared" si="23"/>
        <v>2020</v>
      </c>
      <c r="J137" s="143" t="str">
        <f t="shared" si="24"/>
        <v>Mar</v>
      </c>
      <c r="K137" s="204">
        <v>43915</v>
      </c>
      <c r="L137" s="157" t="s">
        <v>157</v>
      </c>
      <c r="M137" s="204">
        <v>43959</v>
      </c>
      <c r="N137" s="143" t="str">
        <f t="shared" si="25"/>
        <v>2020</v>
      </c>
      <c r="O137" s="143" t="str">
        <f t="shared" si="26"/>
        <v>May</v>
      </c>
      <c r="P137" s="157" t="s">
        <v>162</v>
      </c>
      <c r="Q137" s="146" t="s">
        <v>266</v>
      </c>
      <c r="R137" s="157" t="s">
        <v>40</v>
      </c>
      <c r="S137" s="141" t="s">
        <v>20</v>
      </c>
      <c r="T137" s="204">
        <v>44188</v>
      </c>
      <c r="U137" s="145" t="str">
        <f t="shared" si="27"/>
        <v>2020</v>
      </c>
      <c r="V137" s="145" t="str">
        <f t="shared" si="28"/>
        <v>Dec</v>
      </c>
      <c r="W137" s="141">
        <f t="shared" ca="1" si="22"/>
        <v>198</v>
      </c>
      <c r="X137" s="157" t="s">
        <v>106</v>
      </c>
      <c r="Y137" s="157">
        <f t="shared" ca="1" si="29"/>
        <v>4752</v>
      </c>
      <c r="Z137" s="158">
        <v>95.04</v>
      </c>
      <c r="AA137" s="148">
        <v>4752</v>
      </c>
      <c r="AB137" s="148">
        <f t="shared" si="30"/>
        <v>50</v>
      </c>
      <c r="AC137" s="204">
        <v>43918</v>
      </c>
      <c r="AD137" s="146" t="str">
        <f t="shared" si="31"/>
        <v>2020</v>
      </c>
      <c r="AE137" s="150" t="str">
        <f t="shared" si="32"/>
        <v>Mar</v>
      </c>
    </row>
    <row r="138" spans="2:31" x14ac:dyDescent="0.25">
      <c r="B138" s="152">
        <v>19</v>
      </c>
      <c r="C138" s="157" t="s">
        <v>85</v>
      </c>
      <c r="D138" s="154" t="s">
        <v>90</v>
      </c>
      <c r="E138" s="157" t="s">
        <v>113</v>
      </c>
      <c r="F138" s="141">
        <v>236</v>
      </c>
      <c r="G138" s="155" t="s">
        <v>132</v>
      </c>
      <c r="H138" s="204">
        <v>43921</v>
      </c>
      <c r="I138" s="143" t="str">
        <f t="shared" si="23"/>
        <v>2020</v>
      </c>
      <c r="J138" s="143" t="str">
        <f t="shared" si="24"/>
        <v>Mar</v>
      </c>
      <c r="K138" s="204">
        <v>43935</v>
      </c>
      <c r="L138" s="157" t="s">
        <v>160</v>
      </c>
      <c r="M138" s="204">
        <v>43964</v>
      </c>
      <c r="N138" s="143" t="str">
        <f t="shared" si="25"/>
        <v>2020</v>
      </c>
      <c r="O138" s="143" t="str">
        <f t="shared" si="26"/>
        <v>May</v>
      </c>
      <c r="P138" s="157" t="s">
        <v>164</v>
      </c>
      <c r="Q138" s="146" t="s">
        <v>17</v>
      </c>
      <c r="R138" s="157" t="s">
        <v>34</v>
      </c>
      <c r="S138" s="141" t="s">
        <v>20</v>
      </c>
      <c r="T138" s="204">
        <v>43957</v>
      </c>
      <c r="U138" s="145" t="str">
        <f t="shared" si="27"/>
        <v>2020</v>
      </c>
      <c r="V138" s="145" t="str">
        <f t="shared" si="28"/>
        <v>May</v>
      </c>
      <c r="W138" s="141">
        <f t="shared" ca="1" si="22"/>
        <v>27</v>
      </c>
      <c r="X138" s="157" t="s">
        <v>107</v>
      </c>
      <c r="Y138" s="157">
        <f t="shared" ca="1" si="29"/>
        <v>648</v>
      </c>
      <c r="Z138" s="158">
        <v>19.439999999999998</v>
      </c>
      <c r="AA138" s="148">
        <v>2915.9999999999995</v>
      </c>
      <c r="AB138" s="148">
        <f t="shared" si="30"/>
        <v>150</v>
      </c>
      <c r="AC138" s="204">
        <v>43938</v>
      </c>
      <c r="AD138" s="146" t="str">
        <f t="shared" si="31"/>
        <v>2020</v>
      </c>
      <c r="AE138" s="150" t="str">
        <f t="shared" si="32"/>
        <v>Apr</v>
      </c>
    </row>
    <row r="139" spans="2:31" x14ac:dyDescent="0.25">
      <c r="B139" s="152">
        <v>20</v>
      </c>
      <c r="C139" s="157" t="s">
        <v>86</v>
      </c>
      <c r="D139" s="154" t="s">
        <v>91</v>
      </c>
      <c r="E139" s="157" t="s">
        <v>114</v>
      </c>
      <c r="F139" s="141">
        <v>237</v>
      </c>
      <c r="G139" s="155" t="s">
        <v>127</v>
      </c>
      <c r="H139" s="204">
        <v>43926</v>
      </c>
      <c r="I139" s="143" t="str">
        <f t="shared" si="23"/>
        <v>2020</v>
      </c>
      <c r="J139" s="143" t="str">
        <f t="shared" si="24"/>
        <v>Apr</v>
      </c>
      <c r="K139" s="204">
        <v>43937</v>
      </c>
      <c r="L139" s="157" t="s">
        <v>161</v>
      </c>
      <c r="M139" s="204">
        <v>43971</v>
      </c>
      <c r="N139" s="143" t="str">
        <f t="shared" si="25"/>
        <v>2020</v>
      </c>
      <c r="O139" s="143" t="str">
        <f t="shared" si="26"/>
        <v>May</v>
      </c>
      <c r="P139" s="157" t="s">
        <v>162</v>
      </c>
      <c r="Q139" s="146" t="s">
        <v>17</v>
      </c>
      <c r="R139" s="157" t="s">
        <v>35</v>
      </c>
      <c r="S139" s="141" t="s">
        <v>20</v>
      </c>
      <c r="T139" s="204">
        <v>44462</v>
      </c>
      <c r="U139" s="145" t="str">
        <f t="shared" si="27"/>
        <v>2021</v>
      </c>
      <c r="V139" s="145" t="str">
        <f t="shared" si="28"/>
        <v>Sep</v>
      </c>
      <c r="W139" s="141">
        <f t="shared" ca="1" si="22"/>
        <v>384</v>
      </c>
      <c r="X139" s="157" t="s">
        <v>108</v>
      </c>
      <c r="Y139" s="157">
        <f t="shared" ca="1" si="29"/>
        <v>9216</v>
      </c>
      <c r="Z139" s="158">
        <v>184.32</v>
      </c>
      <c r="AA139" s="148">
        <v>27648</v>
      </c>
      <c r="AB139" s="148">
        <f t="shared" si="30"/>
        <v>150</v>
      </c>
      <c r="AC139" s="204">
        <v>43940</v>
      </c>
      <c r="AD139" s="146" t="str">
        <f t="shared" si="31"/>
        <v>2020</v>
      </c>
      <c r="AE139" s="150" t="str">
        <f t="shared" si="32"/>
        <v>Apr</v>
      </c>
    </row>
    <row r="140" spans="2:31" x14ac:dyDescent="0.25">
      <c r="B140" s="152">
        <v>21</v>
      </c>
      <c r="C140" s="157" t="s">
        <v>87</v>
      </c>
      <c r="D140" s="154" t="s">
        <v>92</v>
      </c>
      <c r="E140" s="157" t="s">
        <v>115</v>
      </c>
      <c r="F140" s="141">
        <v>238</v>
      </c>
      <c r="G140" s="155" t="s">
        <v>133</v>
      </c>
      <c r="H140" s="204">
        <v>43933</v>
      </c>
      <c r="I140" s="143" t="str">
        <f t="shared" si="23"/>
        <v>2020</v>
      </c>
      <c r="J140" s="143" t="str">
        <f t="shared" si="24"/>
        <v>Apr</v>
      </c>
      <c r="K140" s="204">
        <v>43940</v>
      </c>
      <c r="L140" s="157" t="s">
        <v>157</v>
      </c>
      <c r="M140" s="204">
        <v>43980</v>
      </c>
      <c r="N140" s="143" t="str">
        <f t="shared" si="25"/>
        <v>2020</v>
      </c>
      <c r="O140" s="143" t="str">
        <f t="shared" si="26"/>
        <v>May</v>
      </c>
      <c r="P140" s="157" t="s">
        <v>165</v>
      </c>
      <c r="Q140" s="146" t="s">
        <v>268</v>
      </c>
      <c r="R140" s="157" t="s">
        <v>36</v>
      </c>
      <c r="S140" s="141" t="s">
        <v>20</v>
      </c>
      <c r="T140" s="204">
        <v>43964</v>
      </c>
      <c r="U140" s="145" t="str">
        <f t="shared" si="27"/>
        <v>2020</v>
      </c>
      <c r="V140" s="145" t="str">
        <f t="shared" si="28"/>
        <v>May</v>
      </c>
      <c r="W140" s="141">
        <f t="shared" ca="1" si="22"/>
        <v>23</v>
      </c>
      <c r="X140" s="157" t="s">
        <v>109</v>
      </c>
      <c r="Y140" s="157">
        <f t="shared" ca="1" si="29"/>
        <v>552</v>
      </c>
      <c r="Z140" s="158">
        <v>11.040000000000001</v>
      </c>
      <c r="AA140" s="148">
        <v>1324.8000000000002</v>
      </c>
      <c r="AB140" s="148">
        <f t="shared" si="30"/>
        <v>120</v>
      </c>
      <c r="AC140" s="204">
        <v>43943</v>
      </c>
      <c r="AD140" s="146" t="str">
        <f t="shared" si="31"/>
        <v>2020</v>
      </c>
      <c r="AE140" s="150" t="str">
        <f t="shared" si="32"/>
        <v>Apr</v>
      </c>
    </row>
    <row r="141" spans="2:31" x14ac:dyDescent="0.25">
      <c r="B141" s="152">
        <v>22</v>
      </c>
      <c r="C141" s="157" t="s">
        <v>88</v>
      </c>
      <c r="D141" s="154" t="s">
        <v>39</v>
      </c>
      <c r="E141" s="157" t="s">
        <v>116</v>
      </c>
      <c r="F141" s="141">
        <v>239</v>
      </c>
      <c r="G141" s="155" t="s">
        <v>134</v>
      </c>
      <c r="H141" s="204">
        <v>43934</v>
      </c>
      <c r="I141" s="143" t="str">
        <f t="shared" si="23"/>
        <v>2020</v>
      </c>
      <c r="J141" s="143" t="str">
        <f t="shared" si="24"/>
        <v>Apr</v>
      </c>
      <c r="K141" s="204">
        <v>43936</v>
      </c>
      <c r="L141" s="157" t="s">
        <v>158</v>
      </c>
      <c r="M141" s="204">
        <v>43981</v>
      </c>
      <c r="N141" s="143" t="str">
        <f t="shared" si="25"/>
        <v>2020</v>
      </c>
      <c r="O141" s="143" t="str">
        <f t="shared" si="26"/>
        <v>May</v>
      </c>
      <c r="P141" s="157" t="s">
        <v>164</v>
      </c>
      <c r="Q141" s="146" t="s">
        <v>17</v>
      </c>
      <c r="R141" s="157" t="s">
        <v>37</v>
      </c>
      <c r="S141" s="141" t="s">
        <v>20</v>
      </c>
      <c r="T141" s="204">
        <v>44199</v>
      </c>
      <c r="U141" s="145" t="str">
        <f t="shared" si="27"/>
        <v>2021</v>
      </c>
      <c r="V141" s="145" t="str">
        <f t="shared" si="28"/>
        <v>Jan</v>
      </c>
      <c r="W141" s="141">
        <f t="shared" ca="1" si="22"/>
        <v>190</v>
      </c>
      <c r="X141" s="157" t="s">
        <v>110</v>
      </c>
      <c r="Y141" s="157">
        <f t="shared" ca="1" si="29"/>
        <v>4560</v>
      </c>
      <c r="Z141" s="158">
        <v>136.79999999999998</v>
      </c>
      <c r="AA141" s="148">
        <v>20519.999999999996</v>
      </c>
      <c r="AB141" s="148">
        <f t="shared" si="30"/>
        <v>150</v>
      </c>
      <c r="AC141" s="204">
        <v>43939</v>
      </c>
      <c r="AD141" s="146" t="str">
        <f t="shared" si="31"/>
        <v>2020</v>
      </c>
      <c r="AE141" s="150" t="str">
        <f t="shared" si="32"/>
        <v>Apr</v>
      </c>
    </row>
    <row r="142" spans="2:31" x14ac:dyDescent="0.25">
      <c r="B142" s="152">
        <v>1</v>
      </c>
      <c r="C142" s="153" t="s">
        <v>7</v>
      </c>
      <c r="D142" s="154" t="s">
        <v>8</v>
      </c>
      <c r="E142" s="157" t="s">
        <v>111</v>
      </c>
      <c r="F142" s="141">
        <v>240</v>
      </c>
      <c r="G142" s="155" t="s">
        <v>127</v>
      </c>
      <c r="H142" s="204">
        <v>43936</v>
      </c>
      <c r="I142" s="143" t="str">
        <f t="shared" si="23"/>
        <v>2020</v>
      </c>
      <c r="J142" s="143" t="str">
        <f t="shared" si="24"/>
        <v>Apr</v>
      </c>
      <c r="K142" s="204">
        <v>43947</v>
      </c>
      <c r="L142" s="157" t="s">
        <v>160</v>
      </c>
      <c r="M142" s="204">
        <v>43976</v>
      </c>
      <c r="N142" s="143" t="str">
        <f t="shared" si="25"/>
        <v>2020</v>
      </c>
      <c r="O142" s="143" t="str">
        <f t="shared" si="26"/>
        <v>May</v>
      </c>
      <c r="P142" s="157" t="s">
        <v>162</v>
      </c>
      <c r="Q142" s="146" t="s">
        <v>17</v>
      </c>
      <c r="R142" s="157" t="s">
        <v>18</v>
      </c>
      <c r="S142" s="141" t="s">
        <v>20</v>
      </c>
      <c r="T142" s="204">
        <v>44217</v>
      </c>
      <c r="U142" s="145" t="str">
        <f t="shared" si="27"/>
        <v>2021</v>
      </c>
      <c r="V142" s="145" t="str">
        <f t="shared" si="28"/>
        <v>Jan</v>
      </c>
      <c r="W142" s="141">
        <f t="shared" ca="1" si="22"/>
        <v>202</v>
      </c>
      <c r="X142" s="157" t="s">
        <v>89</v>
      </c>
      <c r="Y142" s="157">
        <f t="shared" ca="1" si="29"/>
        <v>4848</v>
      </c>
      <c r="Z142" s="158">
        <v>48.480000000000004</v>
      </c>
      <c r="AA142" s="148">
        <v>7272.0000000000009</v>
      </c>
      <c r="AB142" s="148">
        <f t="shared" si="30"/>
        <v>150</v>
      </c>
      <c r="AC142" s="204">
        <v>43950</v>
      </c>
      <c r="AD142" s="146" t="str">
        <f t="shared" si="31"/>
        <v>2020</v>
      </c>
      <c r="AE142" s="150" t="str">
        <f t="shared" si="32"/>
        <v>Apr</v>
      </c>
    </row>
    <row r="143" spans="2:31" x14ac:dyDescent="0.25">
      <c r="B143" s="152">
        <v>2</v>
      </c>
      <c r="C143" s="153" t="s">
        <v>10</v>
      </c>
      <c r="D143" s="154" t="s">
        <v>11</v>
      </c>
      <c r="E143" s="157" t="s">
        <v>112</v>
      </c>
      <c r="F143" s="141">
        <v>241</v>
      </c>
      <c r="G143" s="155" t="s">
        <v>135</v>
      </c>
      <c r="H143" s="204">
        <v>43937</v>
      </c>
      <c r="I143" s="143" t="str">
        <f t="shared" si="23"/>
        <v>2020</v>
      </c>
      <c r="J143" s="143" t="str">
        <f t="shared" si="24"/>
        <v>Apr</v>
      </c>
      <c r="K143" s="204">
        <v>43945</v>
      </c>
      <c r="L143" s="157" t="s">
        <v>160</v>
      </c>
      <c r="M143" s="204">
        <v>43962</v>
      </c>
      <c r="N143" s="143" t="str">
        <f t="shared" si="25"/>
        <v>2020</v>
      </c>
      <c r="O143" s="143" t="str">
        <f t="shared" si="26"/>
        <v>May</v>
      </c>
      <c r="P143" s="157" t="s">
        <v>162</v>
      </c>
      <c r="Q143" s="146" t="s">
        <v>269</v>
      </c>
      <c r="R143" s="157" t="s">
        <v>19</v>
      </c>
      <c r="S143" s="141" t="s">
        <v>20</v>
      </c>
      <c r="T143" s="204">
        <v>44282</v>
      </c>
      <c r="U143" s="145" t="str">
        <f t="shared" si="27"/>
        <v>2021</v>
      </c>
      <c r="V143" s="145" t="str">
        <f t="shared" si="28"/>
        <v>Mar</v>
      </c>
      <c r="W143" s="141">
        <f t="shared" ca="1" si="22"/>
        <v>247</v>
      </c>
      <c r="X143" s="157" t="s">
        <v>90</v>
      </c>
      <c r="Y143" s="157">
        <f t="shared" ca="1" si="29"/>
        <v>5928</v>
      </c>
      <c r="Z143" s="158">
        <v>118.56</v>
      </c>
      <c r="AA143" s="148">
        <v>5928</v>
      </c>
      <c r="AB143" s="148">
        <f t="shared" si="30"/>
        <v>50</v>
      </c>
      <c r="AC143" s="204">
        <v>43948</v>
      </c>
      <c r="AD143" s="146" t="str">
        <f t="shared" si="31"/>
        <v>2020</v>
      </c>
      <c r="AE143" s="150" t="str">
        <f t="shared" si="32"/>
        <v>Apr</v>
      </c>
    </row>
    <row r="144" spans="2:31" x14ac:dyDescent="0.25">
      <c r="B144" s="152">
        <v>3</v>
      </c>
      <c r="C144" s="157" t="s">
        <v>69</v>
      </c>
      <c r="D144" s="154" t="s">
        <v>62</v>
      </c>
      <c r="E144" s="157" t="s">
        <v>113</v>
      </c>
      <c r="F144" s="141">
        <v>242</v>
      </c>
      <c r="G144" s="155" t="s">
        <v>136</v>
      </c>
      <c r="H144" s="204">
        <v>43942</v>
      </c>
      <c r="I144" s="143" t="str">
        <f t="shared" si="23"/>
        <v>2020</v>
      </c>
      <c r="J144" s="143" t="str">
        <f t="shared" si="24"/>
        <v>Apr</v>
      </c>
      <c r="K144" s="204">
        <v>43946</v>
      </c>
      <c r="L144" s="157" t="s">
        <v>161</v>
      </c>
      <c r="M144" s="204">
        <v>43986</v>
      </c>
      <c r="N144" s="143" t="str">
        <f t="shared" si="25"/>
        <v>2020</v>
      </c>
      <c r="O144" s="143" t="str">
        <f t="shared" si="26"/>
        <v>Jun</v>
      </c>
      <c r="P144" s="157" t="s">
        <v>164</v>
      </c>
      <c r="Q144" s="146" t="s">
        <v>17</v>
      </c>
      <c r="R144" s="157" t="s">
        <v>41</v>
      </c>
      <c r="S144" s="141" t="s">
        <v>20</v>
      </c>
      <c r="T144" s="204">
        <v>44322</v>
      </c>
      <c r="U144" s="145" t="str">
        <f t="shared" si="27"/>
        <v>2021</v>
      </c>
      <c r="V144" s="145" t="str">
        <f t="shared" si="28"/>
        <v>May</v>
      </c>
      <c r="W144" s="141">
        <f t="shared" ca="1" si="22"/>
        <v>273</v>
      </c>
      <c r="X144" s="157" t="s">
        <v>91</v>
      </c>
      <c r="Y144" s="157">
        <f t="shared" ca="1" si="29"/>
        <v>6552</v>
      </c>
      <c r="Z144" s="158">
        <v>196.56</v>
      </c>
      <c r="AA144" s="148">
        <v>29484</v>
      </c>
      <c r="AB144" s="148">
        <f t="shared" si="30"/>
        <v>150</v>
      </c>
      <c r="AC144" s="204">
        <v>43949</v>
      </c>
      <c r="AD144" s="146" t="str">
        <f t="shared" si="31"/>
        <v>2020</v>
      </c>
      <c r="AE144" s="150" t="str">
        <f t="shared" si="32"/>
        <v>Apr</v>
      </c>
    </row>
    <row r="145" spans="2:31" x14ac:dyDescent="0.25">
      <c r="B145" s="152">
        <v>4</v>
      </c>
      <c r="C145" s="157" t="s">
        <v>70</v>
      </c>
      <c r="D145" s="154" t="s">
        <v>63</v>
      </c>
      <c r="E145" s="157" t="s">
        <v>114</v>
      </c>
      <c r="F145" s="141">
        <v>243</v>
      </c>
      <c r="G145" s="155" t="s">
        <v>122</v>
      </c>
      <c r="H145" s="204">
        <v>43944</v>
      </c>
      <c r="I145" s="143" t="str">
        <f t="shared" si="23"/>
        <v>2020</v>
      </c>
      <c r="J145" s="143" t="str">
        <f t="shared" si="24"/>
        <v>Apr</v>
      </c>
      <c r="K145" s="204">
        <v>43958</v>
      </c>
      <c r="L145" s="157" t="s">
        <v>160</v>
      </c>
      <c r="M145" s="204">
        <v>43988</v>
      </c>
      <c r="N145" s="143" t="str">
        <f t="shared" si="25"/>
        <v>2020</v>
      </c>
      <c r="O145" s="143" t="str">
        <f t="shared" si="26"/>
        <v>Jun</v>
      </c>
      <c r="P145" s="157" t="s">
        <v>165</v>
      </c>
      <c r="Q145" s="146" t="s">
        <v>265</v>
      </c>
      <c r="R145" s="157" t="s">
        <v>42</v>
      </c>
      <c r="S145" s="141" t="s">
        <v>20</v>
      </c>
      <c r="T145" s="204">
        <v>44336</v>
      </c>
      <c r="U145" s="145" t="str">
        <f t="shared" si="27"/>
        <v>2021</v>
      </c>
      <c r="V145" s="145" t="str">
        <f t="shared" si="28"/>
        <v>May</v>
      </c>
      <c r="W145" s="141">
        <f t="shared" ca="1" si="22"/>
        <v>281</v>
      </c>
      <c r="X145" s="157" t="s">
        <v>92</v>
      </c>
      <c r="Y145" s="157">
        <f t="shared" ca="1" si="29"/>
        <v>6744</v>
      </c>
      <c r="Z145" s="158">
        <v>67.44</v>
      </c>
      <c r="AA145" s="148">
        <v>6744</v>
      </c>
      <c r="AB145" s="148">
        <f t="shared" si="30"/>
        <v>100</v>
      </c>
      <c r="AC145" s="204">
        <v>43961</v>
      </c>
      <c r="AD145" s="146" t="str">
        <f t="shared" si="31"/>
        <v>2020</v>
      </c>
      <c r="AE145" s="150" t="str">
        <f t="shared" si="32"/>
        <v>May</v>
      </c>
    </row>
    <row r="146" spans="2:31" x14ac:dyDescent="0.25">
      <c r="B146" s="152">
        <v>5</v>
      </c>
      <c r="C146" s="157" t="s">
        <v>71</v>
      </c>
      <c r="D146" s="154" t="s">
        <v>64</v>
      </c>
      <c r="E146" s="157" t="s">
        <v>115</v>
      </c>
      <c r="F146" s="141">
        <v>244</v>
      </c>
      <c r="G146" s="155" t="s">
        <v>123</v>
      </c>
      <c r="H146" s="204">
        <v>43947</v>
      </c>
      <c r="I146" s="143" t="str">
        <f t="shared" si="23"/>
        <v>2020</v>
      </c>
      <c r="J146" s="143" t="str">
        <f t="shared" si="24"/>
        <v>Apr</v>
      </c>
      <c r="K146" s="204">
        <v>43951</v>
      </c>
      <c r="L146" s="157" t="s">
        <v>161</v>
      </c>
      <c r="M146" s="204">
        <v>44001</v>
      </c>
      <c r="N146" s="143" t="str">
        <f t="shared" si="25"/>
        <v>2020</v>
      </c>
      <c r="O146" s="143" t="str">
        <f t="shared" si="26"/>
        <v>Jun</v>
      </c>
      <c r="P146" s="157" t="s">
        <v>164</v>
      </c>
      <c r="Q146" s="146" t="s">
        <v>266</v>
      </c>
      <c r="R146" s="157" t="s">
        <v>43</v>
      </c>
      <c r="S146" s="141" t="s">
        <v>20</v>
      </c>
      <c r="T146" s="204">
        <v>44264</v>
      </c>
      <c r="U146" s="145" t="str">
        <f t="shared" si="27"/>
        <v>2021</v>
      </c>
      <c r="V146" s="145" t="str">
        <f t="shared" si="28"/>
        <v>Mar</v>
      </c>
      <c r="W146" s="141">
        <f t="shared" ca="1" si="22"/>
        <v>227</v>
      </c>
      <c r="X146" s="157" t="s">
        <v>93</v>
      </c>
      <c r="Y146" s="157">
        <f t="shared" ca="1" si="29"/>
        <v>5448</v>
      </c>
      <c r="Z146" s="158">
        <v>108.96000000000001</v>
      </c>
      <c r="AA146" s="148">
        <v>5448</v>
      </c>
      <c r="AB146" s="148">
        <f t="shared" si="30"/>
        <v>49.999999999999993</v>
      </c>
      <c r="AC146" s="204">
        <v>43954</v>
      </c>
      <c r="AD146" s="146" t="str">
        <f t="shared" si="31"/>
        <v>2020</v>
      </c>
      <c r="AE146" s="150" t="str">
        <f t="shared" si="32"/>
        <v>May</v>
      </c>
    </row>
    <row r="147" spans="2:31" x14ac:dyDescent="0.25">
      <c r="B147" s="152">
        <v>6</v>
      </c>
      <c r="C147" s="157" t="s">
        <v>72</v>
      </c>
      <c r="D147" s="154" t="s">
        <v>65</v>
      </c>
      <c r="E147" s="157" t="s">
        <v>116</v>
      </c>
      <c r="F147" s="141">
        <v>245</v>
      </c>
      <c r="G147" s="155" t="s">
        <v>120</v>
      </c>
      <c r="H147" s="204">
        <v>43948</v>
      </c>
      <c r="I147" s="143" t="str">
        <f t="shared" si="23"/>
        <v>2020</v>
      </c>
      <c r="J147" s="143" t="str">
        <f t="shared" si="24"/>
        <v>Apr</v>
      </c>
      <c r="K147" s="204">
        <v>43950</v>
      </c>
      <c r="L147" s="157" t="s">
        <v>158</v>
      </c>
      <c r="M147" s="204">
        <v>43984</v>
      </c>
      <c r="N147" s="143" t="str">
        <f t="shared" si="25"/>
        <v>2020</v>
      </c>
      <c r="O147" s="143" t="str">
        <f t="shared" si="26"/>
        <v>Jun</v>
      </c>
      <c r="P147" s="157" t="s">
        <v>164</v>
      </c>
      <c r="Q147" s="146" t="s">
        <v>17</v>
      </c>
      <c r="R147" s="157" t="s">
        <v>44</v>
      </c>
      <c r="S147" s="141" t="s">
        <v>20</v>
      </c>
      <c r="T147" s="204">
        <v>44079</v>
      </c>
      <c r="U147" s="145" t="str">
        <f t="shared" si="27"/>
        <v>2020</v>
      </c>
      <c r="V147" s="145" t="str">
        <f t="shared" si="28"/>
        <v>Sep</v>
      </c>
      <c r="W147" s="141">
        <f t="shared" ca="1" si="22"/>
        <v>95</v>
      </c>
      <c r="X147" s="157" t="s">
        <v>94</v>
      </c>
      <c r="Y147" s="157">
        <f t="shared" ca="1" si="29"/>
        <v>2280</v>
      </c>
      <c r="Z147" s="158">
        <v>22.8</v>
      </c>
      <c r="AA147" s="148">
        <v>3420</v>
      </c>
      <c r="AB147" s="148">
        <f t="shared" si="30"/>
        <v>150</v>
      </c>
      <c r="AC147" s="204">
        <v>43953</v>
      </c>
      <c r="AD147" s="146" t="str">
        <f t="shared" si="31"/>
        <v>2020</v>
      </c>
      <c r="AE147" s="150" t="str">
        <f t="shared" si="32"/>
        <v>May</v>
      </c>
    </row>
    <row r="148" spans="2:31" x14ac:dyDescent="0.25">
      <c r="B148" s="152">
        <v>7</v>
      </c>
      <c r="C148" s="157" t="s">
        <v>73</v>
      </c>
      <c r="D148" s="154" t="s">
        <v>66</v>
      </c>
      <c r="E148" s="157" t="s">
        <v>117</v>
      </c>
      <c r="F148" s="141">
        <v>246</v>
      </c>
      <c r="G148" s="155" t="s">
        <v>121</v>
      </c>
      <c r="H148" s="204">
        <v>43949</v>
      </c>
      <c r="I148" s="143" t="str">
        <f t="shared" si="23"/>
        <v>2020</v>
      </c>
      <c r="J148" s="143" t="str">
        <f t="shared" si="24"/>
        <v>Apr</v>
      </c>
      <c r="K148" s="204">
        <v>43949</v>
      </c>
      <c r="L148" s="151" t="s">
        <v>159</v>
      </c>
      <c r="M148" s="204">
        <v>43996</v>
      </c>
      <c r="N148" s="143" t="str">
        <f t="shared" si="25"/>
        <v>2020</v>
      </c>
      <c r="O148" s="143" t="str">
        <f t="shared" si="26"/>
        <v>Jun</v>
      </c>
      <c r="P148" s="157" t="s">
        <v>167</v>
      </c>
      <c r="Q148" s="146" t="s">
        <v>264</v>
      </c>
      <c r="R148" s="157" t="s">
        <v>45</v>
      </c>
      <c r="S148" s="141" t="s">
        <v>167</v>
      </c>
      <c r="T148" s="204" t="s">
        <v>274</v>
      </c>
      <c r="U148" s="145" t="str">
        <f t="shared" si="27"/>
        <v/>
      </c>
      <c r="V148" s="145" t="str">
        <f t="shared" si="28"/>
        <v/>
      </c>
      <c r="W148" s="141">
        <f t="shared" ca="1" si="22"/>
        <v>1107</v>
      </c>
      <c r="X148" s="157" t="s">
        <v>95</v>
      </c>
      <c r="Y148" s="157">
        <f t="shared" ca="1" si="29"/>
        <v>26568</v>
      </c>
      <c r="Z148" s="158">
        <v>265.2</v>
      </c>
      <c r="AA148" s="148">
        <v>7956</v>
      </c>
      <c r="AB148" s="148">
        <f t="shared" si="30"/>
        <v>30</v>
      </c>
      <c r="AC148" s="204"/>
      <c r="AD148" s="157" t="str">
        <f t="shared" si="31"/>
        <v/>
      </c>
      <c r="AE148" s="150" t="str">
        <f t="shared" si="32"/>
        <v/>
      </c>
    </row>
    <row r="149" spans="2:31" x14ac:dyDescent="0.25">
      <c r="B149" s="152">
        <v>21</v>
      </c>
      <c r="C149" s="157" t="s">
        <v>87</v>
      </c>
      <c r="D149" s="154" t="s">
        <v>92</v>
      </c>
      <c r="E149" s="157" t="s">
        <v>115</v>
      </c>
      <c r="F149" s="141">
        <v>247</v>
      </c>
      <c r="G149" s="155" t="s">
        <v>122</v>
      </c>
      <c r="H149" s="204">
        <v>43956</v>
      </c>
      <c r="I149" s="143" t="str">
        <f t="shared" si="23"/>
        <v>2020</v>
      </c>
      <c r="J149" s="143" t="str">
        <f t="shared" si="24"/>
        <v>May</v>
      </c>
      <c r="K149" s="204">
        <v>43959</v>
      </c>
      <c r="L149" s="157" t="s">
        <v>159</v>
      </c>
      <c r="M149" s="204">
        <v>44005</v>
      </c>
      <c r="N149" s="143" t="str">
        <f t="shared" si="25"/>
        <v>2020</v>
      </c>
      <c r="O149" s="143" t="str">
        <f t="shared" si="26"/>
        <v>Jun</v>
      </c>
      <c r="P149" s="157" t="s">
        <v>165</v>
      </c>
      <c r="Q149" s="146" t="s">
        <v>265</v>
      </c>
      <c r="R149" s="157" t="s">
        <v>36</v>
      </c>
      <c r="S149" s="141" t="s">
        <v>20</v>
      </c>
      <c r="T149" s="204">
        <v>44004</v>
      </c>
      <c r="U149" s="145" t="str">
        <f t="shared" si="27"/>
        <v>2020</v>
      </c>
      <c r="V149" s="145" t="str">
        <f t="shared" si="28"/>
        <v>Jun</v>
      </c>
      <c r="W149" s="141">
        <f t="shared" ca="1" si="22"/>
        <v>35</v>
      </c>
      <c r="X149" s="157" t="s">
        <v>109</v>
      </c>
      <c r="Y149" s="157">
        <f t="shared" ca="1" si="29"/>
        <v>840</v>
      </c>
      <c r="Z149" s="158">
        <v>25.2</v>
      </c>
      <c r="AA149" s="148">
        <v>2520</v>
      </c>
      <c r="AB149" s="148">
        <f t="shared" si="30"/>
        <v>100</v>
      </c>
      <c r="AC149" s="204">
        <v>43962</v>
      </c>
      <c r="AD149" s="146" t="str">
        <f t="shared" si="31"/>
        <v>2020</v>
      </c>
      <c r="AE149" s="150" t="str">
        <f t="shared" si="32"/>
        <v>May</v>
      </c>
    </row>
    <row r="150" spans="2:31" x14ac:dyDescent="0.25">
      <c r="B150" s="152">
        <v>22</v>
      </c>
      <c r="C150" s="157" t="s">
        <v>88</v>
      </c>
      <c r="D150" s="154" t="s">
        <v>39</v>
      </c>
      <c r="E150" s="157" t="s">
        <v>116</v>
      </c>
      <c r="F150" s="141">
        <v>248</v>
      </c>
      <c r="G150" s="155" t="s">
        <v>123</v>
      </c>
      <c r="H150" s="204">
        <v>43964</v>
      </c>
      <c r="I150" s="143" t="str">
        <f t="shared" si="23"/>
        <v>2020</v>
      </c>
      <c r="J150" s="143" t="str">
        <f t="shared" si="24"/>
        <v>May</v>
      </c>
      <c r="K150" s="204">
        <v>43978</v>
      </c>
      <c r="L150" s="157" t="s">
        <v>159</v>
      </c>
      <c r="M150" s="204">
        <v>44013</v>
      </c>
      <c r="N150" s="143" t="str">
        <f t="shared" si="25"/>
        <v>2020</v>
      </c>
      <c r="O150" s="143" t="str">
        <f t="shared" si="26"/>
        <v>Jul</v>
      </c>
      <c r="P150" s="157" t="s">
        <v>164</v>
      </c>
      <c r="Q150" s="146" t="s">
        <v>266</v>
      </c>
      <c r="R150" s="157" t="s">
        <v>37</v>
      </c>
      <c r="S150" s="141" t="s">
        <v>20</v>
      </c>
      <c r="T150" s="204">
        <v>44357</v>
      </c>
      <c r="U150" s="145" t="str">
        <f t="shared" si="27"/>
        <v>2021</v>
      </c>
      <c r="V150" s="145" t="str">
        <f t="shared" si="28"/>
        <v>Jun</v>
      </c>
      <c r="W150" s="141">
        <f t="shared" ca="1" si="22"/>
        <v>282</v>
      </c>
      <c r="X150" s="157" t="s">
        <v>110</v>
      </c>
      <c r="Y150" s="157">
        <f t="shared" ca="1" si="29"/>
        <v>6768</v>
      </c>
      <c r="Z150" s="158">
        <v>67.680000000000007</v>
      </c>
      <c r="AA150" s="148">
        <v>3384.0000000000005</v>
      </c>
      <c r="AB150" s="148">
        <f t="shared" si="30"/>
        <v>50</v>
      </c>
      <c r="AC150" s="204">
        <v>43981</v>
      </c>
      <c r="AD150" s="146" t="str">
        <f t="shared" si="31"/>
        <v>2020</v>
      </c>
      <c r="AE150" s="150" t="str">
        <f t="shared" si="32"/>
        <v>May</v>
      </c>
    </row>
    <row r="151" spans="2:31" x14ac:dyDescent="0.25">
      <c r="B151" s="152">
        <v>1</v>
      </c>
      <c r="C151" s="153" t="s">
        <v>7</v>
      </c>
      <c r="D151" s="154" t="s">
        <v>8</v>
      </c>
      <c r="E151" s="157" t="s">
        <v>111</v>
      </c>
      <c r="F151" s="141">
        <v>249</v>
      </c>
      <c r="G151" s="155" t="s">
        <v>128</v>
      </c>
      <c r="H151" s="204">
        <v>43964</v>
      </c>
      <c r="I151" s="143" t="str">
        <f t="shared" si="23"/>
        <v>2020</v>
      </c>
      <c r="J151" s="143" t="str">
        <f t="shared" si="24"/>
        <v>May</v>
      </c>
      <c r="K151" s="204">
        <v>43964</v>
      </c>
      <c r="L151" s="157" t="s">
        <v>159</v>
      </c>
      <c r="M151" s="204">
        <v>43999</v>
      </c>
      <c r="N151" s="143" t="str">
        <f t="shared" si="25"/>
        <v>2020</v>
      </c>
      <c r="O151" s="143" t="str">
        <f t="shared" si="26"/>
        <v>Jun</v>
      </c>
      <c r="P151" s="157" t="s">
        <v>164</v>
      </c>
      <c r="Q151" s="146" t="s">
        <v>267</v>
      </c>
      <c r="R151" s="157" t="s">
        <v>18</v>
      </c>
      <c r="S151" s="141" t="s">
        <v>20</v>
      </c>
      <c r="T151" s="204">
        <v>44348</v>
      </c>
      <c r="U151" s="145" t="str">
        <f t="shared" si="27"/>
        <v>2021</v>
      </c>
      <c r="V151" s="145" t="str">
        <f t="shared" si="28"/>
        <v>Jun</v>
      </c>
      <c r="W151" s="141">
        <f t="shared" ca="1" si="22"/>
        <v>275</v>
      </c>
      <c r="X151" s="157" t="s">
        <v>89</v>
      </c>
      <c r="Y151" s="157">
        <f t="shared" ca="1" si="29"/>
        <v>6600</v>
      </c>
      <c r="Z151" s="158">
        <v>132</v>
      </c>
      <c r="AA151" s="148">
        <v>9900</v>
      </c>
      <c r="AB151" s="148">
        <f t="shared" si="30"/>
        <v>75</v>
      </c>
      <c r="AC151" s="204">
        <v>43967</v>
      </c>
      <c r="AD151" s="146" t="str">
        <f t="shared" si="31"/>
        <v>2020</v>
      </c>
      <c r="AE151" s="150" t="str">
        <f t="shared" si="32"/>
        <v>May</v>
      </c>
    </row>
    <row r="152" spans="2:31" x14ac:dyDescent="0.25">
      <c r="B152" s="152">
        <v>2</v>
      </c>
      <c r="C152" s="153" t="s">
        <v>10</v>
      </c>
      <c r="D152" s="154" t="s">
        <v>11</v>
      </c>
      <c r="E152" s="157" t="s">
        <v>112</v>
      </c>
      <c r="F152" s="141">
        <v>250</v>
      </c>
      <c r="G152" s="155" t="s">
        <v>124</v>
      </c>
      <c r="H152" s="204">
        <v>43965</v>
      </c>
      <c r="I152" s="143" t="str">
        <f t="shared" si="23"/>
        <v>2020</v>
      </c>
      <c r="J152" s="143" t="str">
        <f t="shared" si="24"/>
        <v>May</v>
      </c>
      <c r="K152" s="204">
        <v>43979</v>
      </c>
      <c r="L152" s="157" t="s">
        <v>158</v>
      </c>
      <c r="M152" s="204">
        <v>44011</v>
      </c>
      <c r="N152" s="143" t="str">
        <f t="shared" si="25"/>
        <v>2020</v>
      </c>
      <c r="O152" s="143" t="str">
        <f t="shared" si="26"/>
        <v>Jun</v>
      </c>
      <c r="P152" s="157" t="s">
        <v>165</v>
      </c>
      <c r="Q152" s="146" t="s">
        <v>17</v>
      </c>
      <c r="R152" s="157" t="s">
        <v>19</v>
      </c>
      <c r="S152" s="141" t="s">
        <v>20</v>
      </c>
      <c r="T152" s="204">
        <v>44067</v>
      </c>
      <c r="U152" s="145" t="str">
        <f t="shared" si="27"/>
        <v>2020</v>
      </c>
      <c r="V152" s="145" t="str">
        <f t="shared" si="28"/>
        <v>Aug</v>
      </c>
      <c r="W152" s="141">
        <f t="shared" ca="1" si="22"/>
        <v>73</v>
      </c>
      <c r="X152" s="157" t="s">
        <v>90</v>
      </c>
      <c r="Y152" s="157">
        <f t="shared" ca="1" si="29"/>
        <v>1752</v>
      </c>
      <c r="Z152" s="158">
        <v>35.04</v>
      </c>
      <c r="AA152" s="148">
        <v>5256</v>
      </c>
      <c r="AB152" s="148">
        <f t="shared" si="30"/>
        <v>150</v>
      </c>
      <c r="AC152" s="204">
        <v>43982</v>
      </c>
      <c r="AD152" s="146" t="str">
        <f t="shared" si="31"/>
        <v>2020</v>
      </c>
      <c r="AE152" s="150" t="str">
        <f t="shared" si="32"/>
        <v>May</v>
      </c>
    </row>
    <row r="153" spans="2:31" x14ac:dyDescent="0.25">
      <c r="B153" s="152">
        <v>3</v>
      </c>
      <c r="C153" s="157" t="s">
        <v>69</v>
      </c>
      <c r="D153" s="154" t="s">
        <v>62</v>
      </c>
      <c r="E153" s="157" t="s">
        <v>113</v>
      </c>
      <c r="F153" s="141">
        <v>251</v>
      </c>
      <c r="G153" s="155" t="s">
        <v>128</v>
      </c>
      <c r="H153" s="204">
        <v>43967</v>
      </c>
      <c r="I153" s="143" t="str">
        <f t="shared" si="23"/>
        <v>2020</v>
      </c>
      <c r="J153" s="143" t="str">
        <f t="shared" si="24"/>
        <v>May</v>
      </c>
      <c r="K153" s="204">
        <v>43974</v>
      </c>
      <c r="L153" s="157" t="s">
        <v>157</v>
      </c>
      <c r="M153" s="204">
        <v>44015</v>
      </c>
      <c r="N153" s="143" t="str">
        <f t="shared" si="25"/>
        <v>2020</v>
      </c>
      <c r="O153" s="143" t="str">
        <f t="shared" si="26"/>
        <v>Jul</v>
      </c>
      <c r="P153" s="157" t="s">
        <v>164</v>
      </c>
      <c r="Q153" s="146" t="s">
        <v>267</v>
      </c>
      <c r="R153" s="157" t="s">
        <v>41</v>
      </c>
      <c r="S153" s="141" t="s">
        <v>20</v>
      </c>
      <c r="T153" s="204">
        <v>44404</v>
      </c>
      <c r="U153" s="145" t="str">
        <f t="shared" si="27"/>
        <v>2021</v>
      </c>
      <c r="V153" s="145" t="str">
        <f t="shared" si="28"/>
        <v>Jul</v>
      </c>
      <c r="W153" s="141">
        <f t="shared" ca="1" si="22"/>
        <v>312</v>
      </c>
      <c r="X153" s="157" t="s">
        <v>91</v>
      </c>
      <c r="Y153" s="157">
        <f t="shared" ca="1" si="29"/>
        <v>7488</v>
      </c>
      <c r="Z153" s="158">
        <v>74.88</v>
      </c>
      <c r="AA153" s="148">
        <v>5616</v>
      </c>
      <c r="AB153" s="148">
        <f t="shared" si="30"/>
        <v>75</v>
      </c>
      <c r="AC153" s="204">
        <v>43977</v>
      </c>
      <c r="AD153" s="146" t="str">
        <f t="shared" si="31"/>
        <v>2020</v>
      </c>
      <c r="AE153" s="150" t="str">
        <f t="shared" si="32"/>
        <v>May</v>
      </c>
    </row>
    <row r="154" spans="2:31" x14ac:dyDescent="0.25">
      <c r="B154" s="152">
        <v>4</v>
      </c>
      <c r="C154" s="157" t="s">
        <v>70</v>
      </c>
      <c r="D154" s="154" t="s">
        <v>63</v>
      </c>
      <c r="E154" s="157" t="s">
        <v>114</v>
      </c>
      <c r="F154" s="141">
        <v>252</v>
      </c>
      <c r="G154" s="155" t="s">
        <v>125</v>
      </c>
      <c r="H154" s="204">
        <v>43977</v>
      </c>
      <c r="I154" s="143" t="str">
        <f t="shared" si="23"/>
        <v>2020</v>
      </c>
      <c r="J154" s="143" t="str">
        <f t="shared" si="24"/>
        <v>May</v>
      </c>
      <c r="K154" s="204">
        <v>43983</v>
      </c>
      <c r="L154" s="157" t="s">
        <v>161</v>
      </c>
      <c r="M154" s="204">
        <v>44009</v>
      </c>
      <c r="N154" s="143" t="str">
        <f t="shared" si="25"/>
        <v>2020</v>
      </c>
      <c r="O154" s="143" t="str">
        <f t="shared" si="26"/>
        <v>Jun</v>
      </c>
      <c r="P154" s="157" t="s">
        <v>162</v>
      </c>
      <c r="Q154" s="146" t="s">
        <v>17</v>
      </c>
      <c r="R154" s="157" t="s">
        <v>42</v>
      </c>
      <c r="S154" s="141" t="s">
        <v>20</v>
      </c>
      <c r="T154" s="204">
        <v>44305</v>
      </c>
      <c r="U154" s="145" t="str">
        <f t="shared" si="27"/>
        <v>2021</v>
      </c>
      <c r="V154" s="145" t="str">
        <f t="shared" si="28"/>
        <v>Apr</v>
      </c>
      <c r="W154" s="141">
        <f t="shared" ca="1" si="22"/>
        <v>235</v>
      </c>
      <c r="X154" s="157" t="s">
        <v>92</v>
      </c>
      <c r="Y154" s="157">
        <f t="shared" ca="1" si="29"/>
        <v>5640</v>
      </c>
      <c r="Z154" s="158">
        <v>169.2</v>
      </c>
      <c r="AA154" s="148">
        <v>25380</v>
      </c>
      <c r="AB154" s="148">
        <f t="shared" si="30"/>
        <v>150</v>
      </c>
      <c r="AC154" s="204">
        <v>43986</v>
      </c>
      <c r="AD154" s="146" t="str">
        <f t="shared" si="31"/>
        <v>2020</v>
      </c>
      <c r="AE154" s="150" t="str">
        <f t="shared" si="32"/>
        <v>Jun</v>
      </c>
    </row>
    <row r="155" spans="2:31" x14ac:dyDescent="0.25">
      <c r="B155" s="152">
        <v>5</v>
      </c>
      <c r="C155" s="157" t="s">
        <v>71</v>
      </c>
      <c r="D155" s="154" t="s">
        <v>64</v>
      </c>
      <c r="E155" s="157" t="s">
        <v>115</v>
      </c>
      <c r="F155" s="141">
        <v>253</v>
      </c>
      <c r="G155" s="155" t="s">
        <v>126</v>
      </c>
      <c r="H155" s="204">
        <v>43980</v>
      </c>
      <c r="I155" s="143" t="str">
        <f t="shared" si="23"/>
        <v>2020</v>
      </c>
      <c r="J155" s="143" t="str">
        <f t="shared" si="24"/>
        <v>May</v>
      </c>
      <c r="K155" s="204">
        <v>43981</v>
      </c>
      <c r="L155" s="157" t="s">
        <v>159</v>
      </c>
      <c r="M155" s="204">
        <v>44015</v>
      </c>
      <c r="N155" s="143" t="str">
        <f t="shared" si="25"/>
        <v>2020</v>
      </c>
      <c r="O155" s="143" t="str">
        <f t="shared" si="26"/>
        <v>Jul</v>
      </c>
      <c r="P155" s="157" t="s">
        <v>164</v>
      </c>
      <c r="Q155" s="146" t="s">
        <v>17</v>
      </c>
      <c r="R155" s="157" t="s">
        <v>43</v>
      </c>
      <c r="S155" s="141" t="s">
        <v>20</v>
      </c>
      <c r="T155" s="204">
        <v>44381</v>
      </c>
      <c r="U155" s="145" t="str">
        <f t="shared" si="27"/>
        <v>2021</v>
      </c>
      <c r="V155" s="145" t="str">
        <f t="shared" si="28"/>
        <v>Jul</v>
      </c>
      <c r="W155" s="141">
        <f t="shared" ca="1" si="22"/>
        <v>286</v>
      </c>
      <c r="X155" s="157" t="s">
        <v>93</v>
      </c>
      <c r="Y155" s="157">
        <f t="shared" ca="1" si="29"/>
        <v>6864</v>
      </c>
      <c r="Z155" s="158">
        <v>205.92</v>
      </c>
      <c r="AA155" s="148">
        <v>30887.999999999996</v>
      </c>
      <c r="AB155" s="148">
        <f t="shared" si="30"/>
        <v>150</v>
      </c>
      <c r="AC155" s="204">
        <v>43984</v>
      </c>
      <c r="AD155" s="146" t="str">
        <f t="shared" si="31"/>
        <v>2020</v>
      </c>
      <c r="AE155" s="150" t="str">
        <f t="shared" si="32"/>
        <v>Jun</v>
      </c>
    </row>
    <row r="156" spans="2:31" x14ac:dyDescent="0.25">
      <c r="B156" s="152">
        <v>6</v>
      </c>
      <c r="C156" s="157" t="s">
        <v>72</v>
      </c>
      <c r="D156" s="154" t="s">
        <v>65</v>
      </c>
      <c r="E156" s="157" t="s">
        <v>116</v>
      </c>
      <c r="F156" s="141">
        <v>254</v>
      </c>
      <c r="G156" s="155" t="s">
        <v>127</v>
      </c>
      <c r="H156" s="204">
        <v>43983</v>
      </c>
      <c r="I156" s="143" t="str">
        <f t="shared" si="23"/>
        <v>2020</v>
      </c>
      <c r="J156" s="143" t="str">
        <f t="shared" si="24"/>
        <v>Jun</v>
      </c>
      <c r="K156" s="204">
        <v>43985</v>
      </c>
      <c r="L156" s="157" t="s">
        <v>159</v>
      </c>
      <c r="M156" s="204">
        <v>44012</v>
      </c>
      <c r="N156" s="143" t="str">
        <f t="shared" si="25"/>
        <v>2020</v>
      </c>
      <c r="O156" s="143" t="str">
        <f t="shared" si="26"/>
        <v>Jun</v>
      </c>
      <c r="P156" s="157" t="s">
        <v>164</v>
      </c>
      <c r="Q156" s="146" t="s">
        <v>17</v>
      </c>
      <c r="R156" s="157" t="s">
        <v>44</v>
      </c>
      <c r="S156" s="141" t="s">
        <v>20</v>
      </c>
      <c r="T156" s="204">
        <v>44269</v>
      </c>
      <c r="U156" s="145" t="str">
        <f t="shared" si="27"/>
        <v>2021</v>
      </c>
      <c r="V156" s="145" t="str">
        <f t="shared" si="28"/>
        <v>Mar</v>
      </c>
      <c r="W156" s="141">
        <f t="shared" ca="1" si="22"/>
        <v>205</v>
      </c>
      <c r="X156" s="157" t="s">
        <v>94</v>
      </c>
      <c r="Y156" s="157">
        <f t="shared" ca="1" si="29"/>
        <v>4920</v>
      </c>
      <c r="Z156" s="158">
        <v>147.6</v>
      </c>
      <c r="AA156" s="148">
        <v>22140</v>
      </c>
      <c r="AB156" s="148">
        <f t="shared" si="30"/>
        <v>150</v>
      </c>
      <c r="AC156" s="204">
        <v>43988</v>
      </c>
      <c r="AD156" s="146" t="str">
        <f t="shared" si="31"/>
        <v>2020</v>
      </c>
      <c r="AE156" s="150" t="str">
        <f t="shared" si="32"/>
        <v>Jun</v>
      </c>
    </row>
    <row r="157" spans="2:31" x14ac:dyDescent="0.25">
      <c r="B157" s="152">
        <v>7</v>
      </c>
      <c r="C157" s="157" t="s">
        <v>73</v>
      </c>
      <c r="D157" s="154" t="s">
        <v>66</v>
      </c>
      <c r="E157" s="157" t="s">
        <v>117</v>
      </c>
      <c r="F157" s="141">
        <v>255</v>
      </c>
      <c r="G157" s="155" t="s">
        <v>128</v>
      </c>
      <c r="H157" s="204">
        <v>43985</v>
      </c>
      <c r="I157" s="143" t="str">
        <f t="shared" si="23"/>
        <v>2020</v>
      </c>
      <c r="J157" s="143" t="str">
        <f t="shared" si="24"/>
        <v>Jun</v>
      </c>
      <c r="K157" s="204">
        <v>44000</v>
      </c>
      <c r="L157" s="157" t="s">
        <v>157</v>
      </c>
      <c r="M157" s="204">
        <v>44030</v>
      </c>
      <c r="N157" s="143" t="str">
        <f t="shared" si="25"/>
        <v>2020</v>
      </c>
      <c r="O157" s="143" t="str">
        <f t="shared" si="26"/>
        <v>Jul</v>
      </c>
      <c r="P157" s="157" t="s">
        <v>165</v>
      </c>
      <c r="Q157" s="146" t="s">
        <v>267</v>
      </c>
      <c r="R157" s="157" t="s">
        <v>45</v>
      </c>
      <c r="S157" s="141" t="s">
        <v>20</v>
      </c>
      <c r="T157" s="204">
        <v>44517</v>
      </c>
      <c r="U157" s="145" t="str">
        <f t="shared" si="27"/>
        <v>2021</v>
      </c>
      <c r="V157" s="145" t="str">
        <f t="shared" si="28"/>
        <v>Nov</v>
      </c>
      <c r="W157" s="141">
        <f t="shared" ca="1" si="22"/>
        <v>381</v>
      </c>
      <c r="X157" s="157" t="s">
        <v>95</v>
      </c>
      <c r="Y157" s="157">
        <f t="shared" ca="1" si="29"/>
        <v>9144</v>
      </c>
      <c r="Z157" s="158">
        <v>182.88</v>
      </c>
      <c r="AA157" s="148">
        <v>13716</v>
      </c>
      <c r="AB157" s="148">
        <f t="shared" si="30"/>
        <v>75</v>
      </c>
      <c r="AC157" s="204">
        <v>44003</v>
      </c>
      <c r="AD157" s="146" t="str">
        <f t="shared" si="31"/>
        <v>2020</v>
      </c>
      <c r="AE157" s="150" t="str">
        <f t="shared" si="32"/>
        <v>Jun</v>
      </c>
    </row>
    <row r="158" spans="2:31" x14ac:dyDescent="0.25">
      <c r="B158" s="152">
        <v>8</v>
      </c>
      <c r="C158" s="157" t="s">
        <v>74</v>
      </c>
      <c r="D158" s="154" t="s">
        <v>67</v>
      </c>
      <c r="E158" s="157" t="s">
        <v>118</v>
      </c>
      <c r="F158" s="141">
        <v>256</v>
      </c>
      <c r="G158" s="155" t="s">
        <v>129</v>
      </c>
      <c r="H158" s="204">
        <v>43996</v>
      </c>
      <c r="I158" s="143" t="str">
        <f t="shared" si="23"/>
        <v>2020</v>
      </c>
      <c r="J158" s="143" t="str">
        <f t="shared" si="24"/>
        <v>Jun</v>
      </c>
      <c r="K158" s="204">
        <v>43998</v>
      </c>
      <c r="L158" s="157" t="s">
        <v>158</v>
      </c>
      <c r="M158" s="204">
        <v>44037</v>
      </c>
      <c r="N158" s="143" t="str">
        <f t="shared" si="25"/>
        <v>2020</v>
      </c>
      <c r="O158" s="143" t="str">
        <f t="shared" si="26"/>
        <v>Jul</v>
      </c>
      <c r="P158" s="157" t="s">
        <v>165</v>
      </c>
      <c r="Q158" s="146" t="s">
        <v>17</v>
      </c>
      <c r="R158" s="157" t="s">
        <v>46</v>
      </c>
      <c r="S158" s="141" t="s">
        <v>20</v>
      </c>
      <c r="T158" s="204">
        <v>44367</v>
      </c>
      <c r="U158" s="145" t="str">
        <f t="shared" si="27"/>
        <v>2021</v>
      </c>
      <c r="V158" s="145" t="str">
        <f t="shared" si="28"/>
        <v>Jun</v>
      </c>
      <c r="W158" s="141">
        <f t="shared" ca="1" si="22"/>
        <v>265</v>
      </c>
      <c r="X158" s="157" t="s">
        <v>96</v>
      </c>
      <c r="Y158" s="157">
        <f t="shared" ca="1" si="29"/>
        <v>6360</v>
      </c>
      <c r="Z158" s="158">
        <v>63.6</v>
      </c>
      <c r="AA158" s="148">
        <v>9540</v>
      </c>
      <c r="AB158" s="148">
        <f t="shared" si="30"/>
        <v>150</v>
      </c>
      <c r="AC158" s="204">
        <v>44001</v>
      </c>
      <c r="AD158" s="146" t="str">
        <f t="shared" si="31"/>
        <v>2020</v>
      </c>
      <c r="AE158" s="150" t="str">
        <f t="shared" si="32"/>
        <v>Jun</v>
      </c>
    </row>
    <row r="159" spans="2:31" x14ac:dyDescent="0.25">
      <c r="B159" s="152">
        <v>9</v>
      </c>
      <c r="C159" s="157" t="s">
        <v>75</v>
      </c>
      <c r="D159" s="154" t="s">
        <v>68</v>
      </c>
      <c r="E159" s="157" t="s">
        <v>115</v>
      </c>
      <c r="F159" s="141">
        <v>257</v>
      </c>
      <c r="G159" s="155" t="s">
        <v>128</v>
      </c>
      <c r="H159" s="204">
        <v>44004</v>
      </c>
      <c r="I159" s="143" t="str">
        <f t="shared" si="23"/>
        <v>2020</v>
      </c>
      <c r="J159" s="143" t="str">
        <f t="shared" si="24"/>
        <v>Jun</v>
      </c>
      <c r="K159" s="204">
        <v>44009</v>
      </c>
      <c r="L159" s="157" t="s">
        <v>161</v>
      </c>
      <c r="M159" s="204">
        <v>44036</v>
      </c>
      <c r="N159" s="143" t="str">
        <f t="shared" si="25"/>
        <v>2020</v>
      </c>
      <c r="O159" s="143" t="str">
        <f t="shared" si="26"/>
        <v>Jul</v>
      </c>
      <c r="P159" s="157" t="s">
        <v>164</v>
      </c>
      <c r="Q159" s="146" t="s">
        <v>267</v>
      </c>
      <c r="R159" s="157" t="s">
        <v>47</v>
      </c>
      <c r="S159" s="141" t="s">
        <v>20</v>
      </c>
      <c r="T159" s="204">
        <v>44150</v>
      </c>
      <c r="U159" s="145" t="str">
        <f t="shared" si="27"/>
        <v>2020</v>
      </c>
      <c r="V159" s="145" t="str">
        <f t="shared" si="28"/>
        <v>Nov</v>
      </c>
      <c r="W159" s="141">
        <f t="shared" ca="1" si="22"/>
        <v>105</v>
      </c>
      <c r="X159" s="157" t="s">
        <v>97</v>
      </c>
      <c r="Y159" s="157">
        <f t="shared" ca="1" si="29"/>
        <v>2520</v>
      </c>
      <c r="Z159" s="158">
        <v>75.599999999999994</v>
      </c>
      <c r="AA159" s="148">
        <v>5670</v>
      </c>
      <c r="AB159" s="148">
        <f t="shared" si="30"/>
        <v>75</v>
      </c>
      <c r="AC159" s="204">
        <v>44012</v>
      </c>
      <c r="AD159" s="146" t="str">
        <f t="shared" si="31"/>
        <v>2020</v>
      </c>
      <c r="AE159" s="150" t="str">
        <f t="shared" si="32"/>
        <v>Jun</v>
      </c>
    </row>
    <row r="160" spans="2:31" x14ac:dyDescent="0.25">
      <c r="B160" s="152">
        <v>10</v>
      </c>
      <c r="C160" s="157" t="s">
        <v>76</v>
      </c>
      <c r="D160" s="154" t="s">
        <v>55</v>
      </c>
      <c r="E160" s="157" t="s">
        <v>116</v>
      </c>
      <c r="F160" s="141">
        <v>258</v>
      </c>
      <c r="G160" s="155" t="s">
        <v>130</v>
      </c>
      <c r="H160" s="204">
        <v>44006</v>
      </c>
      <c r="I160" s="143" t="str">
        <f t="shared" si="23"/>
        <v>2020</v>
      </c>
      <c r="J160" s="143" t="str">
        <f t="shared" si="24"/>
        <v>Jun</v>
      </c>
      <c r="K160" s="204">
        <v>44017</v>
      </c>
      <c r="L160" s="157" t="s">
        <v>157</v>
      </c>
      <c r="M160" s="204">
        <v>44048</v>
      </c>
      <c r="N160" s="143" t="str">
        <f t="shared" si="25"/>
        <v>2020</v>
      </c>
      <c r="O160" s="143" t="str">
        <f t="shared" si="26"/>
        <v>Aug</v>
      </c>
      <c r="P160" s="157" t="s">
        <v>165</v>
      </c>
      <c r="Q160" s="146" t="s">
        <v>17</v>
      </c>
      <c r="R160" s="157" t="s">
        <v>48</v>
      </c>
      <c r="S160" s="141" t="s">
        <v>20</v>
      </c>
      <c r="T160" s="204">
        <v>44555</v>
      </c>
      <c r="U160" s="145" t="str">
        <f t="shared" si="27"/>
        <v>2021</v>
      </c>
      <c r="V160" s="145" t="str">
        <f t="shared" si="28"/>
        <v>Dec</v>
      </c>
      <c r="W160" s="141">
        <f t="shared" ca="1" si="22"/>
        <v>393</v>
      </c>
      <c r="X160" s="157" t="s">
        <v>98</v>
      </c>
      <c r="Y160" s="157">
        <f t="shared" ca="1" si="29"/>
        <v>9432</v>
      </c>
      <c r="Z160" s="158">
        <v>94.320000000000007</v>
      </c>
      <c r="AA160" s="148">
        <v>14148.000000000002</v>
      </c>
      <c r="AB160" s="148">
        <f t="shared" si="30"/>
        <v>150</v>
      </c>
      <c r="AC160" s="204">
        <v>44020</v>
      </c>
      <c r="AD160" s="146" t="str">
        <f t="shared" si="31"/>
        <v>2020</v>
      </c>
      <c r="AE160" s="150" t="str">
        <f t="shared" si="32"/>
        <v>Jul</v>
      </c>
    </row>
    <row r="161" spans="2:31" x14ac:dyDescent="0.25">
      <c r="B161" s="152">
        <v>11</v>
      </c>
      <c r="C161" s="157" t="s">
        <v>77</v>
      </c>
      <c r="D161" s="154" t="s">
        <v>56</v>
      </c>
      <c r="E161" s="157" t="s">
        <v>117</v>
      </c>
      <c r="F161" s="141">
        <v>259</v>
      </c>
      <c r="G161" s="155" t="s">
        <v>131</v>
      </c>
      <c r="H161" s="204">
        <v>44013</v>
      </c>
      <c r="I161" s="143" t="str">
        <f t="shared" si="23"/>
        <v>2020</v>
      </c>
      <c r="J161" s="143" t="str">
        <f t="shared" si="24"/>
        <v>Jul</v>
      </c>
      <c r="K161" s="204">
        <v>44015</v>
      </c>
      <c r="L161" s="157" t="s">
        <v>157</v>
      </c>
      <c r="M161" s="204">
        <v>44063</v>
      </c>
      <c r="N161" s="143" t="str">
        <f t="shared" si="25"/>
        <v>2020</v>
      </c>
      <c r="O161" s="143" t="str">
        <f t="shared" si="26"/>
        <v>Aug</v>
      </c>
      <c r="P161" s="157" t="s">
        <v>165</v>
      </c>
      <c r="Q161" s="146" t="s">
        <v>266</v>
      </c>
      <c r="R161" s="157" t="s">
        <v>49</v>
      </c>
      <c r="S161" s="141" t="s">
        <v>20</v>
      </c>
      <c r="T161" s="204">
        <v>44433</v>
      </c>
      <c r="U161" s="145" t="str">
        <f t="shared" si="27"/>
        <v>2021</v>
      </c>
      <c r="V161" s="145" t="str">
        <f t="shared" si="28"/>
        <v>Aug</v>
      </c>
      <c r="W161" s="141">
        <f t="shared" ca="1" si="22"/>
        <v>301</v>
      </c>
      <c r="X161" s="157" t="s">
        <v>99</v>
      </c>
      <c r="Y161" s="157">
        <f t="shared" ca="1" si="29"/>
        <v>7224</v>
      </c>
      <c r="Z161" s="158">
        <v>72.239999999999995</v>
      </c>
      <c r="AA161" s="148">
        <v>3611.9999999999995</v>
      </c>
      <c r="AB161" s="148">
        <f t="shared" si="30"/>
        <v>50</v>
      </c>
      <c r="AC161" s="204">
        <v>44018</v>
      </c>
      <c r="AD161" s="146" t="str">
        <f t="shared" si="31"/>
        <v>2020</v>
      </c>
      <c r="AE161" s="150" t="str">
        <f t="shared" si="32"/>
        <v>Jul</v>
      </c>
    </row>
    <row r="162" spans="2:31" x14ac:dyDescent="0.25">
      <c r="B162" s="152">
        <v>12</v>
      </c>
      <c r="C162" s="157" t="s">
        <v>78</v>
      </c>
      <c r="D162" s="154" t="s">
        <v>57</v>
      </c>
      <c r="E162" s="157" t="s">
        <v>118</v>
      </c>
      <c r="F162" s="141">
        <v>260</v>
      </c>
      <c r="G162" s="155" t="s">
        <v>132</v>
      </c>
      <c r="H162" s="204">
        <v>44016</v>
      </c>
      <c r="I162" s="143" t="str">
        <f t="shared" si="23"/>
        <v>2020</v>
      </c>
      <c r="J162" s="143" t="str">
        <f t="shared" si="24"/>
        <v>Jul</v>
      </c>
      <c r="K162" s="204">
        <v>44019</v>
      </c>
      <c r="L162" s="157" t="s">
        <v>157</v>
      </c>
      <c r="M162" s="204">
        <v>44054</v>
      </c>
      <c r="N162" s="143" t="str">
        <f t="shared" si="25"/>
        <v>2020</v>
      </c>
      <c r="O162" s="143" t="str">
        <f t="shared" si="26"/>
        <v>Aug</v>
      </c>
      <c r="P162" s="157" t="s">
        <v>162</v>
      </c>
      <c r="Q162" s="146" t="s">
        <v>17</v>
      </c>
      <c r="R162" s="157" t="s">
        <v>50</v>
      </c>
      <c r="S162" s="141" t="s">
        <v>20</v>
      </c>
      <c r="T162" s="204">
        <v>44449</v>
      </c>
      <c r="U162" s="145" t="str">
        <f t="shared" si="27"/>
        <v>2021</v>
      </c>
      <c r="V162" s="145" t="str">
        <f t="shared" si="28"/>
        <v>Sep</v>
      </c>
      <c r="W162" s="141">
        <f t="shared" ca="1" si="22"/>
        <v>310</v>
      </c>
      <c r="X162" s="157" t="s">
        <v>100</v>
      </c>
      <c r="Y162" s="157">
        <f t="shared" ca="1" si="29"/>
        <v>7440</v>
      </c>
      <c r="Z162" s="158">
        <v>148.80000000000001</v>
      </c>
      <c r="AA162" s="148">
        <v>22320</v>
      </c>
      <c r="AB162" s="148">
        <f t="shared" si="30"/>
        <v>150</v>
      </c>
      <c r="AC162" s="204">
        <v>44022</v>
      </c>
      <c r="AD162" s="146" t="str">
        <f t="shared" si="31"/>
        <v>2020</v>
      </c>
      <c r="AE162" s="150" t="str">
        <f t="shared" si="32"/>
        <v>Jul</v>
      </c>
    </row>
    <row r="163" spans="2:31" x14ac:dyDescent="0.25">
      <c r="B163" s="152">
        <v>1</v>
      </c>
      <c r="C163" s="153" t="s">
        <v>7</v>
      </c>
      <c r="D163" s="154" t="s">
        <v>8</v>
      </c>
      <c r="E163" s="157" t="s">
        <v>111</v>
      </c>
      <c r="F163" s="141">
        <v>261</v>
      </c>
      <c r="G163" s="155" t="s">
        <v>128</v>
      </c>
      <c r="H163" s="204">
        <v>44024</v>
      </c>
      <c r="I163" s="143" t="str">
        <f t="shared" si="23"/>
        <v>2020</v>
      </c>
      <c r="J163" s="143" t="str">
        <f t="shared" si="24"/>
        <v>Jul</v>
      </c>
      <c r="K163" s="204">
        <v>44028</v>
      </c>
      <c r="L163" s="157" t="s">
        <v>159</v>
      </c>
      <c r="M163" s="204">
        <v>44065</v>
      </c>
      <c r="N163" s="143" t="str">
        <f t="shared" si="25"/>
        <v>2020</v>
      </c>
      <c r="O163" s="143" t="str">
        <f t="shared" si="26"/>
        <v>Aug</v>
      </c>
      <c r="P163" s="157" t="s">
        <v>162</v>
      </c>
      <c r="Q163" s="146" t="s">
        <v>267</v>
      </c>
      <c r="R163" s="157" t="s">
        <v>18</v>
      </c>
      <c r="S163" s="141" t="s">
        <v>20</v>
      </c>
      <c r="T163" s="204">
        <v>44285</v>
      </c>
      <c r="U163" s="145" t="str">
        <f t="shared" si="27"/>
        <v>2021</v>
      </c>
      <c r="V163" s="145" t="str">
        <f t="shared" si="28"/>
        <v>Mar</v>
      </c>
      <c r="W163" s="141">
        <f t="shared" ca="1" si="22"/>
        <v>187</v>
      </c>
      <c r="X163" s="157" t="s">
        <v>89</v>
      </c>
      <c r="Y163" s="157">
        <f t="shared" ca="1" si="29"/>
        <v>4488</v>
      </c>
      <c r="Z163" s="158">
        <v>44.88</v>
      </c>
      <c r="AA163" s="148">
        <v>3366</v>
      </c>
      <c r="AB163" s="148">
        <f t="shared" si="30"/>
        <v>75</v>
      </c>
      <c r="AC163" s="204">
        <v>44031</v>
      </c>
      <c r="AD163" s="146" t="str">
        <f t="shared" si="31"/>
        <v>2020</v>
      </c>
      <c r="AE163" s="150" t="str">
        <f t="shared" si="32"/>
        <v>Jul</v>
      </c>
    </row>
    <row r="164" spans="2:31" x14ac:dyDescent="0.25">
      <c r="B164" s="152">
        <v>2</v>
      </c>
      <c r="C164" s="153" t="s">
        <v>10</v>
      </c>
      <c r="D164" s="154" t="s">
        <v>11</v>
      </c>
      <c r="E164" s="157" t="s">
        <v>112</v>
      </c>
      <c r="F164" s="141">
        <v>262</v>
      </c>
      <c r="G164" s="155" t="s">
        <v>133</v>
      </c>
      <c r="H164" s="204">
        <v>44026</v>
      </c>
      <c r="I164" s="143" t="str">
        <f t="shared" si="23"/>
        <v>2020</v>
      </c>
      <c r="J164" s="143" t="str">
        <f t="shared" si="24"/>
        <v>Jul</v>
      </c>
      <c r="K164" s="204">
        <v>44027</v>
      </c>
      <c r="L164" s="157" t="s">
        <v>158</v>
      </c>
      <c r="M164" s="204">
        <v>44084</v>
      </c>
      <c r="N164" s="143" t="str">
        <f t="shared" si="25"/>
        <v>2020</v>
      </c>
      <c r="O164" s="143" t="str">
        <f t="shared" si="26"/>
        <v>Sep</v>
      </c>
      <c r="P164" s="157" t="s">
        <v>165</v>
      </c>
      <c r="Q164" s="146" t="s">
        <v>268</v>
      </c>
      <c r="R164" s="157" t="s">
        <v>19</v>
      </c>
      <c r="S164" s="141" t="s">
        <v>20</v>
      </c>
      <c r="T164" s="204">
        <v>44298</v>
      </c>
      <c r="U164" s="145" t="str">
        <f t="shared" si="27"/>
        <v>2021</v>
      </c>
      <c r="V164" s="145" t="str">
        <f t="shared" si="28"/>
        <v>Apr</v>
      </c>
      <c r="W164" s="141">
        <f t="shared" ca="1" si="22"/>
        <v>195</v>
      </c>
      <c r="X164" s="157" t="s">
        <v>90</v>
      </c>
      <c r="Y164" s="157">
        <f t="shared" ca="1" si="29"/>
        <v>4680</v>
      </c>
      <c r="Z164" s="158">
        <v>93.600000000000009</v>
      </c>
      <c r="AA164" s="148">
        <v>11232.000000000002</v>
      </c>
      <c r="AB164" s="148">
        <f t="shared" si="30"/>
        <v>120.00000000000001</v>
      </c>
      <c r="AC164" s="204">
        <v>44030</v>
      </c>
      <c r="AD164" s="146" t="str">
        <f t="shared" si="31"/>
        <v>2020</v>
      </c>
      <c r="AE164" s="150" t="str">
        <f t="shared" si="32"/>
        <v>Jul</v>
      </c>
    </row>
    <row r="165" spans="2:31" x14ac:dyDescent="0.25">
      <c r="B165" s="152">
        <v>3</v>
      </c>
      <c r="C165" s="157" t="s">
        <v>69</v>
      </c>
      <c r="D165" s="154" t="s">
        <v>62</v>
      </c>
      <c r="E165" s="157" t="s">
        <v>113</v>
      </c>
      <c r="F165" s="141">
        <v>263</v>
      </c>
      <c r="G165" s="154" t="s">
        <v>119</v>
      </c>
      <c r="H165" s="204">
        <v>44029</v>
      </c>
      <c r="I165" s="143" t="str">
        <f t="shared" si="23"/>
        <v>2020</v>
      </c>
      <c r="J165" s="143" t="str">
        <f t="shared" si="24"/>
        <v>Jul</v>
      </c>
      <c r="K165" s="204">
        <v>44036</v>
      </c>
      <c r="L165" s="157" t="s">
        <v>161</v>
      </c>
      <c r="M165" s="204">
        <v>44079</v>
      </c>
      <c r="N165" s="143" t="str">
        <f t="shared" si="25"/>
        <v>2020</v>
      </c>
      <c r="O165" s="143" t="str">
        <f t="shared" si="26"/>
        <v>Sep</v>
      </c>
      <c r="P165" s="157" t="s">
        <v>162</v>
      </c>
      <c r="Q165" s="146" t="s">
        <v>17</v>
      </c>
      <c r="R165" s="157" t="s">
        <v>41</v>
      </c>
      <c r="S165" s="141" t="s">
        <v>20</v>
      </c>
      <c r="T165" s="204">
        <v>44377</v>
      </c>
      <c r="U165" s="145" t="str">
        <f t="shared" si="27"/>
        <v>2021</v>
      </c>
      <c r="V165" s="145" t="str">
        <f t="shared" si="28"/>
        <v>Jun</v>
      </c>
      <c r="W165" s="141">
        <f t="shared" ca="1" si="22"/>
        <v>249</v>
      </c>
      <c r="X165" s="157" t="s">
        <v>91</v>
      </c>
      <c r="Y165" s="157">
        <f t="shared" ca="1" si="29"/>
        <v>5976</v>
      </c>
      <c r="Z165" s="158">
        <v>179.28</v>
      </c>
      <c r="AA165" s="148">
        <v>26892</v>
      </c>
      <c r="AB165" s="148">
        <f t="shared" si="30"/>
        <v>150</v>
      </c>
      <c r="AC165" s="204">
        <v>44039</v>
      </c>
      <c r="AD165" s="146" t="str">
        <f t="shared" si="31"/>
        <v>2020</v>
      </c>
      <c r="AE165" s="150" t="str">
        <f t="shared" si="32"/>
        <v>Jul</v>
      </c>
    </row>
    <row r="166" spans="2:31" x14ac:dyDescent="0.25">
      <c r="B166" s="152">
        <v>4</v>
      </c>
      <c r="C166" s="157" t="s">
        <v>70</v>
      </c>
      <c r="D166" s="154" t="s">
        <v>63</v>
      </c>
      <c r="E166" s="157" t="s">
        <v>114</v>
      </c>
      <c r="F166" s="141">
        <v>264</v>
      </c>
      <c r="G166" s="155" t="s">
        <v>129</v>
      </c>
      <c r="H166" s="204">
        <v>44029</v>
      </c>
      <c r="I166" s="143" t="str">
        <f t="shared" si="23"/>
        <v>2020</v>
      </c>
      <c r="J166" s="143" t="str">
        <f t="shared" si="24"/>
        <v>Jul</v>
      </c>
      <c r="K166" s="204">
        <v>44041</v>
      </c>
      <c r="L166" s="157" t="s">
        <v>160</v>
      </c>
      <c r="M166" s="204">
        <v>44077</v>
      </c>
      <c r="N166" s="143" t="str">
        <f t="shared" si="25"/>
        <v>2020</v>
      </c>
      <c r="O166" s="143" t="str">
        <f t="shared" si="26"/>
        <v>Sep</v>
      </c>
      <c r="P166" s="157" t="s">
        <v>164</v>
      </c>
      <c r="Q166" s="146" t="s">
        <v>17</v>
      </c>
      <c r="R166" s="157" t="s">
        <v>42</v>
      </c>
      <c r="S166" s="141" t="s">
        <v>20</v>
      </c>
      <c r="T166" s="204">
        <v>44420</v>
      </c>
      <c r="U166" s="145" t="str">
        <f t="shared" si="27"/>
        <v>2021</v>
      </c>
      <c r="V166" s="145" t="str">
        <f t="shared" si="28"/>
        <v>Aug</v>
      </c>
      <c r="W166" s="141">
        <f t="shared" ca="1" si="22"/>
        <v>280</v>
      </c>
      <c r="X166" s="157" t="s">
        <v>92</v>
      </c>
      <c r="Y166" s="157">
        <f t="shared" ca="1" si="29"/>
        <v>6720</v>
      </c>
      <c r="Z166" s="158">
        <v>67.2</v>
      </c>
      <c r="AA166" s="148">
        <v>10080</v>
      </c>
      <c r="AB166" s="148">
        <f t="shared" si="30"/>
        <v>150</v>
      </c>
      <c r="AC166" s="204">
        <v>44044</v>
      </c>
      <c r="AD166" s="146" t="str">
        <f t="shared" si="31"/>
        <v>2020</v>
      </c>
      <c r="AE166" s="150" t="str">
        <f t="shared" si="32"/>
        <v>Aug</v>
      </c>
    </row>
    <row r="167" spans="2:31" x14ac:dyDescent="0.25">
      <c r="B167" s="152">
        <v>5</v>
      </c>
      <c r="C167" s="157" t="s">
        <v>71</v>
      </c>
      <c r="D167" s="154" t="s">
        <v>64</v>
      </c>
      <c r="E167" s="157" t="s">
        <v>115</v>
      </c>
      <c r="F167" s="141">
        <v>265</v>
      </c>
      <c r="G167" s="155" t="s">
        <v>129</v>
      </c>
      <c r="H167" s="204">
        <v>44030</v>
      </c>
      <c r="I167" s="143" t="str">
        <f t="shared" si="23"/>
        <v>2020</v>
      </c>
      <c r="J167" s="143" t="str">
        <f t="shared" si="24"/>
        <v>Jul</v>
      </c>
      <c r="K167" s="204">
        <v>44034</v>
      </c>
      <c r="L167" s="157" t="s">
        <v>158</v>
      </c>
      <c r="M167" s="204">
        <v>44078</v>
      </c>
      <c r="N167" s="143" t="str">
        <f t="shared" si="25"/>
        <v>2020</v>
      </c>
      <c r="O167" s="143" t="str">
        <f t="shared" si="26"/>
        <v>Sep</v>
      </c>
      <c r="P167" s="157" t="s">
        <v>162</v>
      </c>
      <c r="Q167" s="146" t="s">
        <v>17</v>
      </c>
      <c r="R167" s="157" t="s">
        <v>43</v>
      </c>
      <c r="S167" s="141" t="s">
        <v>20</v>
      </c>
      <c r="T167" s="204">
        <v>44396</v>
      </c>
      <c r="U167" s="145" t="str">
        <f t="shared" si="27"/>
        <v>2021</v>
      </c>
      <c r="V167" s="145" t="str">
        <f t="shared" si="28"/>
        <v>Jul</v>
      </c>
      <c r="W167" s="141">
        <f t="shared" ca="1" si="22"/>
        <v>261</v>
      </c>
      <c r="X167" s="157" t="s">
        <v>93</v>
      </c>
      <c r="Y167" s="157">
        <f t="shared" ca="1" si="29"/>
        <v>6264</v>
      </c>
      <c r="Z167" s="158">
        <v>187.92</v>
      </c>
      <c r="AA167" s="148">
        <v>28187.999999999996</v>
      </c>
      <c r="AB167" s="148">
        <f t="shared" si="30"/>
        <v>150</v>
      </c>
      <c r="AC167" s="204">
        <v>44037</v>
      </c>
      <c r="AD167" s="146" t="str">
        <f t="shared" si="31"/>
        <v>2020</v>
      </c>
      <c r="AE167" s="150" t="str">
        <f t="shared" si="32"/>
        <v>Jul</v>
      </c>
    </row>
    <row r="168" spans="2:31" x14ac:dyDescent="0.25">
      <c r="B168" s="152">
        <v>6</v>
      </c>
      <c r="C168" s="157" t="s">
        <v>72</v>
      </c>
      <c r="D168" s="154" t="s">
        <v>65</v>
      </c>
      <c r="E168" s="157" t="s">
        <v>116</v>
      </c>
      <c r="F168" s="141">
        <v>266</v>
      </c>
      <c r="G168" s="155" t="s">
        <v>129</v>
      </c>
      <c r="H168" s="204">
        <v>44035</v>
      </c>
      <c r="I168" s="143" t="str">
        <f t="shared" si="23"/>
        <v>2020</v>
      </c>
      <c r="J168" s="143" t="str">
        <f t="shared" si="24"/>
        <v>Jul</v>
      </c>
      <c r="K168" s="204">
        <v>44041</v>
      </c>
      <c r="L168" s="157" t="s">
        <v>159</v>
      </c>
      <c r="M168" s="204">
        <v>44070</v>
      </c>
      <c r="N168" s="143" t="str">
        <f t="shared" si="25"/>
        <v>2020</v>
      </c>
      <c r="O168" s="143" t="str">
        <f t="shared" si="26"/>
        <v>Aug</v>
      </c>
      <c r="P168" s="157" t="s">
        <v>164</v>
      </c>
      <c r="Q168" s="146" t="s">
        <v>17</v>
      </c>
      <c r="R168" s="157" t="s">
        <v>44</v>
      </c>
      <c r="S168" s="141" t="s">
        <v>20</v>
      </c>
      <c r="T168" s="204">
        <v>44160</v>
      </c>
      <c r="U168" s="145" t="str">
        <f t="shared" si="27"/>
        <v>2020</v>
      </c>
      <c r="V168" s="145" t="str">
        <f t="shared" si="28"/>
        <v>Nov</v>
      </c>
      <c r="W168" s="141">
        <f t="shared" ca="1" si="22"/>
        <v>90</v>
      </c>
      <c r="X168" s="157" t="s">
        <v>94</v>
      </c>
      <c r="Y168" s="157">
        <f t="shared" ca="1" si="29"/>
        <v>2160</v>
      </c>
      <c r="Z168" s="158">
        <v>21.6</v>
      </c>
      <c r="AA168" s="148">
        <v>3240</v>
      </c>
      <c r="AB168" s="148">
        <f t="shared" si="30"/>
        <v>150</v>
      </c>
      <c r="AC168" s="204">
        <v>44044</v>
      </c>
      <c r="AD168" s="146" t="str">
        <f t="shared" si="31"/>
        <v>2020</v>
      </c>
      <c r="AE168" s="150" t="str">
        <f t="shared" si="32"/>
        <v>Aug</v>
      </c>
    </row>
    <row r="169" spans="2:31" x14ac:dyDescent="0.25">
      <c r="B169" s="152">
        <v>7</v>
      </c>
      <c r="C169" s="157" t="s">
        <v>73</v>
      </c>
      <c r="D169" s="154" t="s">
        <v>66</v>
      </c>
      <c r="E169" s="157" t="s">
        <v>117</v>
      </c>
      <c r="F169" s="141">
        <v>267</v>
      </c>
      <c r="G169" s="155" t="s">
        <v>120</v>
      </c>
      <c r="H169" s="204">
        <v>44035</v>
      </c>
      <c r="I169" s="143" t="str">
        <f t="shared" si="23"/>
        <v>2020</v>
      </c>
      <c r="J169" s="143" t="str">
        <f t="shared" si="24"/>
        <v>Jul</v>
      </c>
      <c r="K169" s="204">
        <v>44044</v>
      </c>
      <c r="L169" s="157" t="s">
        <v>161</v>
      </c>
      <c r="M169" s="204">
        <v>44088</v>
      </c>
      <c r="N169" s="143" t="str">
        <f t="shared" si="25"/>
        <v>2020</v>
      </c>
      <c r="O169" s="143" t="str">
        <f t="shared" si="26"/>
        <v>Sep</v>
      </c>
      <c r="P169" s="157" t="s">
        <v>165</v>
      </c>
      <c r="Q169" s="146" t="s">
        <v>17</v>
      </c>
      <c r="R169" s="157" t="s">
        <v>45</v>
      </c>
      <c r="S169" s="141" t="s">
        <v>20</v>
      </c>
      <c r="T169" s="204">
        <v>44362</v>
      </c>
      <c r="U169" s="145" t="str">
        <f t="shared" si="27"/>
        <v>2021</v>
      </c>
      <c r="V169" s="145" t="str">
        <f t="shared" si="28"/>
        <v>Jun</v>
      </c>
      <c r="W169" s="141">
        <f t="shared" ca="1" si="22"/>
        <v>234</v>
      </c>
      <c r="X169" s="157" t="s">
        <v>95</v>
      </c>
      <c r="Y169" s="157">
        <f t="shared" ca="1" si="29"/>
        <v>5616</v>
      </c>
      <c r="Z169" s="158">
        <v>56.160000000000004</v>
      </c>
      <c r="AA169" s="148">
        <v>8424</v>
      </c>
      <c r="AB169" s="148">
        <f t="shared" si="30"/>
        <v>150</v>
      </c>
      <c r="AC169" s="204">
        <v>44047</v>
      </c>
      <c r="AD169" s="146" t="str">
        <f t="shared" si="31"/>
        <v>2020</v>
      </c>
      <c r="AE169" s="150" t="str">
        <f t="shared" si="32"/>
        <v>Aug</v>
      </c>
    </row>
    <row r="170" spans="2:31" x14ac:dyDescent="0.25">
      <c r="B170" s="152">
        <v>8</v>
      </c>
      <c r="C170" s="157" t="s">
        <v>74</v>
      </c>
      <c r="D170" s="154" t="s">
        <v>67</v>
      </c>
      <c r="E170" s="157" t="s">
        <v>118</v>
      </c>
      <c r="F170" s="141">
        <v>268</v>
      </c>
      <c r="G170" s="155" t="s">
        <v>121</v>
      </c>
      <c r="H170" s="204">
        <v>44042</v>
      </c>
      <c r="I170" s="143" t="str">
        <f t="shared" si="23"/>
        <v>2020</v>
      </c>
      <c r="J170" s="143" t="str">
        <f t="shared" si="24"/>
        <v>Jul</v>
      </c>
      <c r="K170" s="204">
        <v>44044</v>
      </c>
      <c r="L170" s="157" t="s">
        <v>158</v>
      </c>
      <c r="M170" s="204">
        <v>44077</v>
      </c>
      <c r="N170" s="143" t="str">
        <f t="shared" si="25"/>
        <v>2020</v>
      </c>
      <c r="O170" s="143" t="str">
        <f t="shared" si="26"/>
        <v>Sep</v>
      </c>
      <c r="P170" s="157" t="s">
        <v>165</v>
      </c>
      <c r="Q170" s="146" t="s">
        <v>264</v>
      </c>
      <c r="R170" s="157" t="s">
        <v>46</v>
      </c>
      <c r="S170" s="141" t="s">
        <v>20</v>
      </c>
      <c r="T170" s="204">
        <v>44364</v>
      </c>
      <c r="U170" s="145" t="str">
        <f t="shared" si="27"/>
        <v>2021</v>
      </c>
      <c r="V170" s="145" t="str">
        <f t="shared" si="28"/>
        <v>Jun</v>
      </c>
      <c r="W170" s="141">
        <f t="shared" ca="1" si="22"/>
        <v>231</v>
      </c>
      <c r="X170" s="157" t="s">
        <v>96</v>
      </c>
      <c r="Y170" s="157">
        <f t="shared" ca="1" si="29"/>
        <v>5544</v>
      </c>
      <c r="Z170" s="158">
        <v>55.44</v>
      </c>
      <c r="AA170" s="148">
        <v>1663.1999999999998</v>
      </c>
      <c r="AB170" s="148">
        <f t="shared" si="30"/>
        <v>29.999999999999996</v>
      </c>
      <c r="AC170" s="204">
        <v>44047</v>
      </c>
      <c r="AD170" s="146" t="str">
        <f t="shared" si="31"/>
        <v>2020</v>
      </c>
      <c r="AE170" s="150" t="str">
        <f t="shared" si="32"/>
        <v>Aug</v>
      </c>
    </row>
    <row r="171" spans="2:31" x14ac:dyDescent="0.25">
      <c r="B171" s="152">
        <v>5</v>
      </c>
      <c r="C171" s="157" t="s">
        <v>71</v>
      </c>
      <c r="D171" s="154" t="s">
        <v>64</v>
      </c>
      <c r="E171" s="157" t="s">
        <v>115</v>
      </c>
      <c r="F171" s="141">
        <v>269</v>
      </c>
      <c r="G171" s="155" t="s">
        <v>122</v>
      </c>
      <c r="H171" s="204">
        <v>44048</v>
      </c>
      <c r="I171" s="143" t="str">
        <f t="shared" si="23"/>
        <v>2020</v>
      </c>
      <c r="J171" s="143" t="str">
        <f t="shared" si="24"/>
        <v>Aug</v>
      </c>
      <c r="K171" s="204">
        <v>44049</v>
      </c>
      <c r="L171" s="157" t="s">
        <v>160</v>
      </c>
      <c r="M171" s="204">
        <v>44098</v>
      </c>
      <c r="N171" s="143" t="str">
        <f t="shared" si="25"/>
        <v>2020</v>
      </c>
      <c r="O171" s="143" t="str">
        <f t="shared" si="26"/>
        <v>Sep</v>
      </c>
      <c r="P171" s="157" t="s">
        <v>162</v>
      </c>
      <c r="Q171" s="146" t="s">
        <v>265</v>
      </c>
      <c r="R171" s="157" t="s">
        <v>43</v>
      </c>
      <c r="S171" s="141" t="s">
        <v>20</v>
      </c>
      <c r="T171" s="204">
        <v>44313</v>
      </c>
      <c r="U171" s="145" t="str">
        <f t="shared" si="27"/>
        <v>2021</v>
      </c>
      <c r="V171" s="145" t="str">
        <f t="shared" si="28"/>
        <v>Apr</v>
      </c>
      <c r="W171" s="141">
        <f t="shared" ca="1" si="22"/>
        <v>190</v>
      </c>
      <c r="X171" s="157" t="s">
        <v>93</v>
      </c>
      <c r="Y171" s="157">
        <f t="shared" ca="1" si="29"/>
        <v>4560</v>
      </c>
      <c r="Z171" s="158">
        <v>136.79999999999998</v>
      </c>
      <c r="AA171" s="148">
        <v>13679.999999999998</v>
      </c>
      <c r="AB171" s="148">
        <f t="shared" si="30"/>
        <v>100</v>
      </c>
      <c r="AC171" s="204">
        <v>44052</v>
      </c>
      <c r="AD171" s="146" t="str">
        <f t="shared" si="31"/>
        <v>2020</v>
      </c>
      <c r="AE171" s="150" t="str">
        <f t="shared" si="32"/>
        <v>Aug</v>
      </c>
    </row>
    <row r="172" spans="2:31" x14ac:dyDescent="0.25">
      <c r="B172" s="152">
        <v>6</v>
      </c>
      <c r="C172" s="157" t="s">
        <v>72</v>
      </c>
      <c r="D172" s="154" t="s">
        <v>65</v>
      </c>
      <c r="E172" s="157" t="s">
        <v>116</v>
      </c>
      <c r="F172" s="141">
        <v>270</v>
      </c>
      <c r="G172" s="155" t="s">
        <v>123</v>
      </c>
      <c r="H172" s="204">
        <v>44050</v>
      </c>
      <c r="I172" s="143" t="str">
        <f t="shared" si="23"/>
        <v>2020</v>
      </c>
      <c r="J172" s="143" t="str">
        <f t="shared" si="24"/>
        <v>Aug</v>
      </c>
      <c r="K172" s="204">
        <v>44050</v>
      </c>
      <c r="L172" s="157" t="s">
        <v>160</v>
      </c>
      <c r="M172" s="204">
        <v>44101</v>
      </c>
      <c r="N172" s="143" t="str">
        <f t="shared" si="25"/>
        <v>2020</v>
      </c>
      <c r="O172" s="143" t="str">
        <f t="shared" si="26"/>
        <v>Sep</v>
      </c>
      <c r="P172" s="157" t="s">
        <v>165</v>
      </c>
      <c r="Q172" s="146" t="s">
        <v>266</v>
      </c>
      <c r="R172" s="157" t="s">
        <v>44</v>
      </c>
      <c r="S172" s="141" t="s">
        <v>20</v>
      </c>
      <c r="T172" s="204">
        <v>44463</v>
      </c>
      <c r="U172" s="145" t="str">
        <f t="shared" si="27"/>
        <v>2021</v>
      </c>
      <c r="V172" s="145" t="str">
        <f t="shared" si="28"/>
        <v>Sep</v>
      </c>
      <c r="W172" s="141">
        <f t="shared" ca="1" si="22"/>
        <v>296</v>
      </c>
      <c r="X172" s="157" t="s">
        <v>94</v>
      </c>
      <c r="Y172" s="157">
        <f t="shared" ca="1" si="29"/>
        <v>7104</v>
      </c>
      <c r="Z172" s="158">
        <v>142.08000000000001</v>
      </c>
      <c r="AA172" s="148">
        <v>7104.0000000000009</v>
      </c>
      <c r="AB172" s="148">
        <f t="shared" si="30"/>
        <v>50</v>
      </c>
      <c r="AC172" s="204">
        <v>44053</v>
      </c>
      <c r="AD172" s="146" t="str">
        <f t="shared" si="31"/>
        <v>2020</v>
      </c>
      <c r="AE172" s="150" t="str">
        <f t="shared" si="32"/>
        <v>Aug</v>
      </c>
    </row>
    <row r="173" spans="2:31" x14ac:dyDescent="0.25">
      <c r="B173" s="152">
        <v>7</v>
      </c>
      <c r="C173" s="157" t="s">
        <v>73</v>
      </c>
      <c r="D173" s="154" t="s">
        <v>66</v>
      </c>
      <c r="E173" s="157" t="s">
        <v>117</v>
      </c>
      <c r="F173" s="141">
        <v>271</v>
      </c>
      <c r="G173" s="155" t="s">
        <v>153</v>
      </c>
      <c r="H173" s="204">
        <v>44052</v>
      </c>
      <c r="I173" s="143" t="str">
        <f t="shared" si="23"/>
        <v>2020</v>
      </c>
      <c r="J173" s="143" t="str">
        <f t="shared" si="24"/>
        <v>Aug</v>
      </c>
      <c r="K173" s="204">
        <v>44065</v>
      </c>
      <c r="L173" s="157" t="s">
        <v>158</v>
      </c>
      <c r="M173" s="204">
        <v>44095</v>
      </c>
      <c r="N173" s="143" t="str">
        <f t="shared" si="25"/>
        <v>2020</v>
      </c>
      <c r="O173" s="143" t="str">
        <f t="shared" si="26"/>
        <v>Sep</v>
      </c>
      <c r="P173" s="157" t="s">
        <v>164</v>
      </c>
      <c r="Q173" s="146" t="s">
        <v>17</v>
      </c>
      <c r="R173" s="157" t="s">
        <v>45</v>
      </c>
      <c r="S173" s="141" t="s">
        <v>20</v>
      </c>
      <c r="T173" s="204">
        <v>44135</v>
      </c>
      <c r="U173" s="145" t="str">
        <f t="shared" si="27"/>
        <v>2020</v>
      </c>
      <c r="V173" s="145" t="str">
        <f t="shared" si="28"/>
        <v>Oct</v>
      </c>
      <c r="W173" s="141">
        <f t="shared" ca="1" si="22"/>
        <v>60</v>
      </c>
      <c r="X173" s="157" t="s">
        <v>95</v>
      </c>
      <c r="Y173" s="157">
        <f t="shared" ca="1" si="29"/>
        <v>1440</v>
      </c>
      <c r="Z173" s="158">
        <v>43.199999999999996</v>
      </c>
      <c r="AA173" s="148">
        <v>6479.9999999999991</v>
      </c>
      <c r="AB173" s="148">
        <f t="shared" si="30"/>
        <v>150</v>
      </c>
      <c r="AC173" s="204">
        <v>44068</v>
      </c>
      <c r="AD173" s="146" t="str">
        <f t="shared" si="31"/>
        <v>2020</v>
      </c>
      <c r="AE173" s="150" t="str">
        <f t="shared" si="32"/>
        <v>Aug</v>
      </c>
    </row>
    <row r="174" spans="2:31" x14ac:dyDescent="0.25">
      <c r="B174" s="152">
        <v>8</v>
      </c>
      <c r="C174" s="157" t="s">
        <v>74</v>
      </c>
      <c r="D174" s="154" t="s">
        <v>67</v>
      </c>
      <c r="E174" s="157" t="s">
        <v>118</v>
      </c>
      <c r="F174" s="141">
        <v>272</v>
      </c>
      <c r="G174" s="155" t="s">
        <v>124</v>
      </c>
      <c r="H174" s="204">
        <v>44052</v>
      </c>
      <c r="I174" s="143" t="str">
        <f t="shared" si="23"/>
        <v>2020</v>
      </c>
      <c r="J174" s="143" t="str">
        <f t="shared" si="24"/>
        <v>Aug</v>
      </c>
      <c r="K174" s="204">
        <v>44057</v>
      </c>
      <c r="L174" s="157" t="s">
        <v>158</v>
      </c>
      <c r="M174" s="204">
        <v>44097</v>
      </c>
      <c r="N174" s="143" t="str">
        <f t="shared" si="25"/>
        <v>2020</v>
      </c>
      <c r="O174" s="143" t="str">
        <f t="shared" si="26"/>
        <v>Sep</v>
      </c>
      <c r="P174" s="157" t="s">
        <v>162</v>
      </c>
      <c r="Q174" s="146" t="s">
        <v>17</v>
      </c>
      <c r="R174" s="157" t="s">
        <v>46</v>
      </c>
      <c r="S174" s="141" t="s">
        <v>20</v>
      </c>
      <c r="T174" s="204">
        <v>44420</v>
      </c>
      <c r="U174" s="145" t="str">
        <f t="shared" si="27"/>
        <v>2021</v>
      </c>
      <c r="V174" s="145" t="str">
        <f t="shared" si="28"/>
        <v>Aug</v>
      </c>
      <c r="W174" s="141">
        <f t="shared" ca="1" si="22"/>
        <v>264</v>
      </c>
      <c r="X174" s="157" t="s">
        <v>96</v>
      </c>
      <c r="Y174" s="157">
        <f t="shared" ca="1" si="29"/>
        <v>6336</v>
      </c>
      <c r="Z174" s="158">
        <v>126.72</v>
      </c>
      <c r="AA174" s="148">
        <v>19008</v>
      </c>
      <c r="AB174" s="148">
        <f t="shared" si="30"/>
        <v>150</v>
      </c>
      <c r="AC174" s="204">
        <v>44060</v>
      </c>
      <c r="AD174" s="146" t="str">
        <f t="shared" si="31"/>
        <v>2020</v>
      </c>
      <c r="AE174" s="150" t="str">
        <f t="shared" si="32"/>
        <v>Aug</v>
      </c>
    </row>
    <row r="175" spans="2:31" x14ac:dyDescent="0.25">
      <c r="B175" s="152">
        <v>9</v>
      </c>
      <c r="C175" s="157" t="s">
        <v>75</v>
      </c>
      <c r="D175" s="154" t="s">
        <v>68</v>
      </c>
      <c r="E175" s="157" t="s">
        <v>115</v>
      </c>
      <c r="F175" s="141">
        <v>273</v>
      </c>
      <c r="G175" s="155" t="s">
        <v>130</v>
      </c>
      <c r="H175" s="204">
        <v>44053</v>
      </c>
      <c r="I175" s="143" t="str">
        <f t="shared" si="23"/>
        <v>2020</v>
      </c>
      <c r="J175" s="143" t="str">
        <f t="shared" si="24"/>
        <v>Aug</v>
      </c>
      <c r="K175" s="204">
        <v>44055</v>
      </c>
      <c r="L175" s="157" t="s">
        <v>157</v>
      </c>
      <c r="M175" s="204">
        <v>44098</v>
      </c>
      <c r="N175" s="143" t="str">
        <f t="shared" si="25"/>
        <v>2020</v>
      </c>
      <c r="O175" s="143" t="str">
        <f t="shared" si="26"/>
        <v>Sep</v>
      </c>
      <c r="P175" s="157" t="s">
        <v>165</v>
      </c>
      <c r="Q175" s="146" t="s">
        <v>17</v>
      </c>
      <c r="R175" s="157" t="s">
        <v>47</v>
      </c>
      <c r="S175" s="141" t="s">
        <v>20</v>
      </c>
      <c r="T175" s="204">
        <v>44313</v>
      </c>
      <c r="U175" s="145" t="str">
        <f t="shared" si="27"/>
        <v>2021</v>
      </c>
      <c r="V175" s="145" t="str">
        <f t="shared" si="28"/>
        <v>Apr</v>
      </c>
      <c r="W175" s="141">
        <f t="shared" ca="1" si="22"/>
        <v>187</v>
      </c>
      <c r="X175" s="157" t="s">
        <v>97</v>
      </c>
      <c r="Y175" s="157">
        <f t="shared" ca="1" si="29"/>
        <v>4488</v>
      </c>
      <c r="Z175" s="158">
        <v>89.76</v>
      </c>
      <c r="AA175" s="148">
        <v>13464</v>
      </c>
      <c r="AB175" s="148">
        <f t="shared" si="30"/>
        <v>150</v>
      </c>
      <c r="AC175" s="204">
        <v>44058</v>
      </c>
      <c r="AD175" s="146" t="str">
        <f t="shared" si="31"/>
        <v>2020</v>
      </c>
      <c r="AE175" s="150" t="str">
        <f t="shared" si="32"/>
        <v>Aug</v>
      </c>
    </row>
    <row r="176" spans="2:31" x14ac:dyDescent="0.25">
      <c r="B176" s="152">
        <v>10</v>
      </c>
      <c r="C176" s="157" t="s">
        <v>76</v>
      </c>
      <c r="D176" s="154" t="s">
        <v>55</v>
      </c>
      <c r="E176" s="157" t="s">
        <v>116</v>
      </c>
      <c r="F176" s="141">
        <v>274</v>
      </c>
      <c r="G176" s="155" t="s">
        <v>125</v>
      </c>
      <c r="H176" s="204">
        <v>44056</v>
      </c>
      <c r="I176" s="143" t="str">
        <f t="shared" si="23"/>
        <v>2020</v>
      </c>
      <c r="J176" s="143" t="str">
        <f t="shared" si="24"/>
        <v>Aug</v>
      </c>
      <c r="K176" s="204">
        <v>44056</v>
      </c>
      <c r="L176" s="157" t="s">
        <v>160</v>
      </c>
      <c r="M176" s="204">
        <v>44115</v>
      </c>
      <c r="N176" s="143" t="str">
        <f t="shared" si="25"/>
        <v>2020</v>
      </c>
      <c r="O176" s="143" t="str">
        <f t="shared" si="26"/>
        <v>Oct</v>
      </c>
      <c r="P176" s="157" t="s">
        <v>165</v>
      </c>
      <c r="Q176" s="146" t="s">
        <v>17</v>
      </c>
      <c r="R176" s="157" t="s">
        <v>48</v>
      </c>
      <c r="S176" s="141" t="s">
        <v>20</v>
      </c>
      <c r="T176" s="204">
        <v>44402</v>
      </c>
      <c r="U176" s="145" t="str">
        <f t="shared" si="27"/>
        <v>2021</v>
      </c>
      <c r="V176" s="145" t="str">
        <f t="shared" si="28"/>
        <v>Jul</v>
      </c>
      <c r="W176" s="141">
        <f t="shared" ca="1" si="22"/>
        <v>247</v>
      </c>
      <c r="X176" s="157" t="s">
        <v>98</v>
      </c>
      <c r="Y176" s="157">
        <f t="shared" ca="1" si="29"/>
        <v>5928</v>
      </c>
      <c r="Z176" s="158">
        <v>177.84</v>
      </c>
      <c r="AA176" s="148">
        <v>26676</v>
      </c>
      <c r="AB176" s="148">
        <f t="shared" si="30"/>
        <v>150</v>
      </c>
      <c r="AC176" s="204">
        <v>44059</v>
      </c>
      <c r="AD176" s="146" t="str">
        <f t="shared" si="31"/>
        <v>2020</v>
      </c>
      <c r="AE176" s="150" t="str">
        <f t="shared" si="32"/>
        <v>Aug</v>
      </c>
    </row>
    <row r="177" spans="2:31" x14ac:dyDescent="0.25">
      <c r="B177" s="152">
        <v>11</v>
      </c>
      <c r="C177" s="157" t="s">
        <v>77</v>
      </c>
      <c r="D177" s="154" t="s">
        <v>56</v>
      </c>
      <c r="E177" s="157" t="s">
        <v>117</v>
      </c>
      <c r="F177" s="141">
        <v>275</v>
      </c>
      <c r="G177" s="155" t="s">
        <v>126</v>
      </c>
      <c r="H177" s="204">
        <v>44061</v>
      </c>
      <c r="I177" s="143" t="str">
        <f t="shared" si="23"/>
        <v>2020</v>
      </c>
      <c r="J177" s="143" t="str">
        <f t="shared" si="24"/>
        <v>Aug</v>
      </c>
      <c r="K177" s="204">
        <v>44074</v>
      </c>
      <c r="L177" s="157" t="s">
        <v>159</v>
      </c>
      <c r="M177" s="204">
        <v>44106</v>
      </c>
      <c r="N177" s="143" t="str">
        <f t="shared" si="25"/>
        <v>2020</v>
      </c>
      <c r="O177" s="143" t="str">
        <f t="shared" si="26"/>
        <v>Oct</v>
      </c>
      <c r="P177" s="157" t="s">
        <v>164</v>
      </c>
      <c r="Q177" s="146" t="s">
        <v>17</v>
      </c>
      <c r="R177" s="157" t="s">
        <v>49</v>
      </c>
      <c r="S177" s="141" t="s">
        <v>20</v>
      </c>
      <c r="T177" s="204">
        <v>44247</v>
      </c>
      <c r="U177" s="145" t="str">
        <f t="shared" si="27"/>
        <v>2021</v>
      </c>
      <c r="V177" s="145" t="str">
        <f t="shared" si="28"/>
        <v>Feb</v>
      </c>
      <c r="W177" s="141">
        <f t="shared" ca="1" si="22"/>
        <v>134</v>
      </c>
      <c r="X177" s="157" t="s">
        <v>99</v>
      </c>
      <c r="Y177" s="157">
        <f t="shared" ca="1" si="29"/>
        <v>3216</v>
      </c>
      <c r="Z177" s="158">
        <v>64.320000000000007</v>
      </c>
      <c r="AA177" s="148">
        <v>9648.0000000000018</v>
      </c>
      <c r="AB177" s="148">
        <f t="shared" si="30"/>
        <v>150</v>
      </c>
      <c r="AC177" s="204">
        <v>44077</v>
      </c>
      <c r="AD177" s="146" t="str">
        <f t="shared" si="31"/>
        <v>2020</v>
      </c>
      <c r="AE177" s="150" t="str">
        <f t="shared" si="32"/>
        <v>Sep</v>
      </c>
    </row>
    <row r="178" spans="2:31" x14ac:dyDescent="0.25">
      <c r="B178" s="152">
        <v>12</v>
      </c>
      <c r="C178" s="157" t="s">
        <v>78</v>
      </c>
      <c r="D178" s="154" t="s">
        <v>57</v>
      </c>
      <c r="E178" s="157" t="s">
        <v>118</v>
      </c>
      <c r="F178" s="141">
        <v>276</v>
      </c>
      <c r="G178" s="155" t="s">
        <v>127</v>
      </c>
      <c r="H178" s="204">
        <v>44070</v>
      </c>
      <c r="I178" s="143" t="str">
        <f t="shared" si="23"/>
        <v>2020</v>
      </c>
      <c r="J178" s="143" t="str">
        <f t="shared" si="24"/>
        <v>Aug</v>
      </c>
      <c r="K178" s="204">
        <v>44071</v>
      </c>
      <c r="L178" s="157" t="s">
        <v>160</v>
      </c>
      <c r="M178" s="204">
        <v>44126</v>
      </c>
      <c r="N178" s="143" t="str">
        <f t="shared" si="25"/>
        <v>2020</v>
      </c>
      <c r="O178" s="143" t="str">
        <f t="shared" si="26"/>
        <v>Oct</v>
      </c>
      <c r="P178" s="157" t="s">
        <v>165</v>
      </c>
      <c r="Q178" s="146" t="s">
        <v>17</v>
      </c>
      <c r="R178" s="157" t="s">
        <v>50</v>
      </c>
      <c r="S178" s="141" t="s">
        <v>20</v>
      </c>
      <c r="T178" s="204">
        <v>44508</v>
      </c>
      <c r="U178" s="145" t="str">
        <f t="shared" si="27"/>
        <v>2021</v>
      </c>
      <c r="V178" s="145" t="str">
        <f t="shared" si="28"/>
        <v>Nov</v>
      </c>
      <c r="W178" s="141">
        <f t="shared" ca="1" si="22"/>
        <v>313</v>
      </c>
      <c r="X178" s="157" t="s">
        <v>100</v>
      </c>
      <c r="Y178" s="157">
        <f t="shared" ca="1" si="29"/>
        <v>7512</v>
      </c>
      <c r="Z178" s="158">
        <v>225.35999999999999</v>
      </c>
      <c r="AA178" s="148">
        <v>33804</v>
      </c>
      <c r="AB178" s="148">
        <f t="shared" si="30"/>
        <v>150</v>
      </c>
      <c r="AC178" s="204">
        <v>44074</v>
      </c>
      <c r="AD178" s="146" t="str">
        <f t="shared" si="31"/>
        <v>2020</v>
      </c>
      <c r="AE178" s="150" t="str">
        <f t="shared" si="32"/>
        <v>Aug</v>
      </c>
    </row>
    <row r="179" spans="2:31" x14ac:dyDescent="0.25">
      <c r="B179" s="152">
        <v>13</v>
      </c>
      <c r="C179" s="157" t="s">
        <v>79</v>
      </c>
      <c r="D179" s="154" t="s">
        <v>58</v>
      </c>
      <c r="E179" s="157" t="s">
        <v>111</v>
      </c>
      <c r="F179" s="141">
        <v>277</v>
      </c>
      <c r="G179" s="155" t="s">
        <v>128</v>
      </c>
      <c r="H179" s="204">
        <v>44072</v>
      </c>
      <c r="I179" s="143" t="str">
        <f t="shared" si="23"/>
        <v>2020</v>
      </c>
      <c r="J179" s="143" t="str">
        <f t="shared" si="24"/>
        <v>Aug</v>
      </c>
      <c r="K179" s="204">
        <v>44076</v>
      </c>
      <c r="L179" s="157" t="s">
        <v>158</v>
      </c>
      <c r="M179" s="204">
        <v>44126</v>
      </c>
      <c r="N179" s="143" t="str">
        <f t="shared" si="25"/>
        <v>2020</v>
      </c>
      <c r="O179" s="143" t="str">
        <f t="shared" si="26"/>
        <v>Oct</v>
      </c>
      <c r="P179" s="157" t="s">
        <v>162</v>
      </c>
      <c r="Q179" s="146" t="s">
        <v>267</v>
      </c>
      <c r="R179" s="157" t="s">
        <v>51</v>
      </c>
      <c r="S179" s="141" t="s">
        <v>20</v>
      </c>
      <c r="T179" s="204">
        <v>44278</v>
      </c>
      <c r="U179" s="145" t="str">
        <f t="shared" si="27"/>
        <v>2021</v>
      </c>
      <c r="V179" s="145" t="str">
        <f t="shared" si="28"/>
        <v>Mar</v>
      </c>
      <c r="W179" s="141">
        <f t="shared" ca="1" si="22"/>
        <v>147</v>
      </c>
      <c r="X179" s="157" t="s">
        <v>101</v>
      </c>
      <c r="Y179" s="157">
        <f t="shared" ca="1" si="29"/>
        <v>3528</v>
      </c>
      <c r="Z179" s="158">
        <v>70.56</v>
      </c>
      <c r="AA179" s="148">
        <v>5292</v>
      </c>
      <c r="AB179" s="148">
        <f t="shared" si="30"/>
        <v>75</v>
      </c>
      <c r="AC179" s="204">
        <v>44079</v>
      </c>
      <c r="AD179" s="146" t="str">
        <f t="shared" si="31"/>
        <v>2020</v>
      </c>
      <c r="AE179" s="150" t="str">
        <f t="shared" si="32"/>
        <v>Sep</v>
      </c>
    </row>
    <row r="180" spans="2:31" x14ac:dyDescent="0.25">
      <c r="B180" s="152">
        <v>14</v>
      </c>
      <c r="C180" s="157" t="s">
        <v>80</v>
      </c>
      <c r="D180" s="154" t="s">
        <v>59</v>
      </c>
      <c r="E180" s="157" t="s">
        <v>112</v>
      </c>
      <c r="F180" s="141">
        <v>278</v>
      </c>
      <c r="G180" s="155" t="s">
        <v>129</v>
      </c>
      <c r="H180" s="204">
        <v>44076</v>
      </c>
      <c r="I180" s="143" t="str">
        <f t="shared" si="23"/>
        <v>2020</v>
      </c>
      <c r="J180" s="143" t="str">
        <f t="shared" si="24"/>
        <v>Sep</v>
      </c>
      <c r="K180" s="204">
        <v>44087</v>
      </c>
      <c r="L180" s="157" t="s">
        <v>161</v>
      </c>
      <c r="M180" s="204">
        <v>44108</v>
      </c>
      <c r="N180" s="143" t="str">
        <f t="shared" si="25"/>
        <v>2020</v>
      </c>
      <c r="O180" s="143" t="str">
        <f t="shared" si="26"/>
        <v>Oct</v>
      </c>
      <c r="P180" s="157" t="s">
        <v>165</v>
      </c>
      <c r="Q180" s="146" t="s">
        <v>17</v>
      </c>
      <c r="R180" s="157" t="s">
        <v>52</v>
      </c>
      <c r="S180" s="141" t="s">
        <v>20</v>
      </c>
      <c r="T180" s="204">
        <v>44185</v>
      </c>
      <c r="U180" s="145" t="str">
        <f t="shared" si="27"/>
        <v>2020</v>
      </c>
      <c r="V180" s="145" t="str">
        <f t="shared" si="28"/>
        <v>Dec</v>
      </c>
      <c r="W180" s="141">
        <f t="shared" ca="1" si="22"/>
        <v>78</v>
      </c>
      <c r="X180" s="157" t="s">
        <v>102</v>
      </c>
      <c r="Y180" s="157">
        <f t="shared" ca="1" si="29"/>
        <v>1872</v>
      </c>
      <c r="Z180" s="158">
        <v>18.72</v>
      </c>
      <c r="AA180" s="148">
        <v>2808</v>
      </c>
      <c r="AB180" s="148">
        <f t="shared" si="30"/>
        <v>150</v>
      </c>
      <c r="AC180" s="204">
        <v>44090</v>
      </c>
      <c r="AD180" s="146" t="str">
        <f t="shared" si="31"/>
        <v>2020</v>
      </c>
      <c r="AE180" s="150" t="str">
        <f t="shared" si="32"/>
        <v>Sep</v>
      </c>
    </row>
    <row r="181" spans="2:31" x14ac:dyDescent="0.25">
      <c r="B181" s="152">
        <v>15</v>
      </c>
      <c r="C181" s="157" t="s">
        <v>81</v>
      </c>
      <c r="D181" s="154" t="s">
        <v>60</v>
      </c>
      <c r="E181" s="157" t="s">
        <v>113</v>
      </c>
      <c r="F181" s="141">
        <v>279</v>
      </c>
      <c r="G181" s="155" t="s">
        <v>130</v>
      </c>
      <c r="H181" s="204">
        <v>44077</v>
      </c>
      <c r="I181" s="143" t="str">
        <f t="shared" si="23"/>
        <v>2020</v>
      </c>
      <c r="J181" s="143" t="str">
        <f t="shared" si="24"/>
        <v>Sep</v>
      </c>
      <c r="K181" s="204">
        <v>44086</v>
      </c>
      <c r="L181" s="157" t="s">
        <v>160</v>
      </c>
      <c r="M181" s="204">
        <v>44118</v>
      </c>
      <c r="N181" s="143" t="str">
        <f t="shared" si="25"/>
        <v>2020</v>
      </c>
      <c r="O181" s="143" t="str">
        <f t="shared" si="26"/>
        <v>Oct</v>
      </c>
      <c r="P181" s="157" t="s">
        <v>165</v>
      </c>
      <c r="Q181" s="146" t="s">
        <v>17</v>
      </c>
      <c r="R181" s="157" t="s">
        <v>53</v>
      </c>
      <c r="S181" s="141" t="s">
        <v>20</v>
      </c>
      <c r="T181" s="204">
        <v>44556</v>
      </c>
      <c r="U181" s="145" t="str">
        <f t="shared" si="27"/>
        <v>2021</v>
      </c>
      <c r="V181" s="145" t="str">
        <f t="shared" si="28"/>
        <v>Dec</v>
      </c>
      <c r="W181" s="141">
        <f t="shared" ca="1" si="22"/>
        <v>342</v>
      </c>
      <c r="X181" s="157" t="s">
        <v>103</v>
      </c>
      <c r="Y181" s="157">
        <f t="shared" ca="1" si="29"/>
        <v>8208</v>
      </c>
      <c r="Z181" s="158">
        <v>82.08</v>
      </c>
      <c r="AA181" s="148">
        <v>12312</v>
      </c>
      <c r="AB181" s="148">
        <f t="shared" si="30"/>
        <v>150</v>
      </c>
      <c r="AC181" s="204">
        <v>44089</v>
      </c>
      <c r="AD181" s="146" t="str">
        <f t="shared" si="31"/>
        <v>2020</v>
      </c>
      <c r="AE181" s="150" t="str">
        <f t="shared" si="32"/>
        <v>Sep</v>
      </c>
    </row>
    <row r="182" spans="2:31" x14ac:dyDescent="0.25">
      <c r="B182" s="152">
        <v>16</v>
      </c>
      <c r="C182" s="157" t="s">
        <v>82</v>
      </c>
      <c r="D182" s="154" t="s">
        <v>61</v>
      </c>
      <c r="E182" s="157" t="s">
        <v>114</v>
      </c>
      <c r="F182" s="141">
        <v>280</v>
      </c>
      <c r="G182" s="155" t="s">
        <v>130</v>
      </c>
      <c r="H182" s="204">
        <v>44078</v>
      </c>
      <c r="I182" s="143" t="str">
        <f t="shared" si="23"/>
        <v>2020</v>
      </c>
      <c r="J182" s="143" t="str">
        <f t="shared" si="24"/>
        <v>Sep</v>
      </c>
      <c r="K182" s="204">
        <v>44090</v>
      </c>
      <c r="L182" s="157" t="s">
        <v>156</v>
      </c>
      <c r="M182" s="204">
        <v>44123</v>
      </c>
      <c r="N182" s="143" t="str">
        <f t="shared" si="25"/>
        <v>2020</v>
      </c>
      <c r="O182" s="143" t="str">
        <f t="shared" si="26"/>
        <v>Oct</v>
      </c>
      <c r="P182" s="157" t="s">
        <v>164</v>
      </c>
      <c r="Q182" s="146" t="s">
        <v>17</v>
      </c>
      <c r="R182" s="157" t="s">
        <v>54</v>
      </c>
      <c r="S182" s="141" t="s">
        <v>20</v>
      </c>
      <c r="T182" s="204">
        <v>44290</v>
      </c>
      <c r="U182" s="145" t="str">
        <f t="shared" si="27"/>
        <v>2021</v>
      </c>
      <c r="V182" s="145" t="str">
        <f t="shared" si="28"/>
        <v>Apr</v>
      </c>
      <c r="W182" s="141">
        <f t="shared" ca="1" si="22"/>
        <v>151</v>
      </c>
      <c r="X182" s="157" t="s">
        <v>104</v>
      </c>
      <c r="Y182" s="157">
        <f t="shared" ca="1" si="29"/>
        <v>3624</v>
      </c>
      <c r="Z182" s="158">
        <v>72.48</v>
      </c>
      <c r="AA182" s="148">
        <v>10872</v>
      </c>
      <c r="AB182" s="148">
        <f t="shared" si="30"/>
        <v>150</v>
      </c>
      <c r="AC182" s="204">
        <v>44093</v>
      </c>
      <c r="AD182" s="146" t="str">
        <f t="shared" si="31"/>
        <v>2020</v>
      </c>
      <c r="AE182" s="150" t="str">
        <f t="shared" si="32"/>
        <v>Sep</v>
      </c>
    </row>
    <row r="183" spans="2:31" x14ac:dyDescent="0.25">
      <c r="B183" s="152">
        <v>17</v>
      </c>
      <c r="C183" s="157" t="s">
        <v>83</v>
      </c>
      <c r="D183" s="154" t="s">
        <v>33</v>
      </c>
      <c r="E183" s="157" t="s">
        <v>115</v>
      </c>
      <c r="F183" s="141">
        <v>281</v>
      </c>
      <c r="G183" s="155" t="s">
        <v>131</v>
      </c>
      <c r="H183" s="204">
        <v>44079</v>
      </c>
      <c r="I183" s="143" t="str">
        <f t="shared" si="23"/>
        <v>2020</v>
      </c>
      <c r="J183" s="143" t="str">
        <f t="shared" si="24"/>
        <v>Sep</v>
      </c>
      <c r="K183" s="204">
        <v>44079</v>
      </c>
      <c r="L183" s="157" t="s">
        <v>161</v>
      </c>
      <c r="M183" s="204">
        <v>44118</v>
      </c>
      <c r="N183" s="143" t="str">
        <f t="shared" si="25"/>
        <v>2020</v>
      </c>
      <c r="O183" s="143" t="str">
        <f t="shared" si="26"/>
        <v>Oct</v>
      </c>
      <c r="P183" s="157" t="s">
        <v>165</v>
      </c>
      <c r="Q183" s="146" t="s">
        <v>266</v>
      </c>
      <c r="R183" s="157" t="s">
        <v>38</v>
      </c>
      <c r="S183" s="141" t="s">
        <v>20</v>
      </c>
      <c r="T183" s="204">
        <v>44269</v>
      </c>
      <c r="U183" s="145" t="str">
        <f t="shared" si="27"/>
        <v>2021</v>
      </c>
      <c r="V183" s="145" t="str">
        <f t="shared" si="28"/>
        <v>Mar</v>
      </c>
      <c r="W183" s="141">
        <f t="shared" ca="1" si="22"/>
        <v>135</v>
      </c>
      <c r="X183" s="157" t="s">
        <v>105</v>
      </c>
      <c r="Y183" s="157">
        <f t="shared" ca="1" si="29"/>
        <v>3240</v>
      </c>
      <c r="Z183" s="158">
        <v>64.8</v>
      </c>
      <c r="AA183" s="148">
        <v>3240</v>
      </c>
      <c r="AB183" s="148">
        <f t="shared" si="30"/>
        <v>50</v>
      </c>
      <c r="AC183" s="204">
        <v>44082</v>
      </c>
      <c r="AD183" s="146" t="str">
        <f t="shared" si="31"/>
        <v>2020</v>
      </c>
      <c r="AE183" s="150" t="str">
        <f t="shared" si="32"/>
        <v>Sep</v>
      </c>
    </row>
    <row r="184" spans="2:31" x14ac:dyDescent="0.25">
      <c r="B184" s="152">
        <v>18</v>
      </c>
      <c r="C184" s="157" t="s">
        <v>84</v>
      </c>
      <c r="D184" s="154" t="s">
        <v>89</v>
      </c>
      <c r="E184" s="157" t="s">
        <v>112</v>
      </c>
      <c r="F184" s="141">
        <v>282</v>
      </c>
      <c r="G184" s="155" t="s">
        <v>132</v>
      </c>
      <c r="H184" s="204">
        <v>44080</v>
      </c>
      <c r="I184" s="143" t="str">
        <f t="shared" si="23"/>
        <v>2020</v>
      </c>
      <c r="J184" s="143" t="str">
        <f t="shared" si="24"/>
        <v>Sep</v>
      </c>
      <c r="K184" s="204">
        <v>44086</v>
      </c>
      <c r="L184" s="157" t="s">
        <v>157</v>
      </c>
      <c r="M184" s="204">
        <v>44122</v>
      </c>
      <c r="N184" s="143" t="str">
        <f t="shared" si="25"/>
        <v>2020</v>
      </c>
      <c r="O184" s="143" t="str">
        <f t="shared" si="26"/>
        <v>Oct</v>
      </c>
      <c r="P184" s="157" t="s">
        <v>164</v>
      </c>
      <c r="Q184" s="146" t="s">
        <v>17</v>
      </c>
      <c r="R184" s="157" t="s">
        <v>40</v>
      </c>
      <c r="S184" s="141" t="s">
        <v>20</v>
      </c>
      <c r="T184" s="204">
        <v>44569</v>
      </c>
      <c r="U184" s="145" t="str">
        <f t="shared" si="27"/>
        <v>2022</v>
      </c>
      <c r="V184" s="145" t="str">
        <f t="shared" si="28"/>
        <v>Jan</v>
      </c>
      <c r="W184" s="141">
        <f t="shared" ca="1" si="22"/>
        <v>350</v>
      </c>
      <c r="X184" s="157" t="s">
        <v>106</v>
      </c>
      <c r="Y184" s="157">
        <f t="shared" ca="1" si="29"/>
        <v>8400</v>
      </c>
      <c r="Z184" s="158">
        <v>168</v>
      </c>
      <c r="AA184" s="148">
        <v>25200</v>
      </c>
      <c r="AB184" s="148">
        <f t="shared" si="30"/>
        <v>150</v>
      </c>
      <c r="AC184" s="204">
        <v>44089</v>
      </c>
      <c r="AD184" s="146" t="str">
        <f t="shared" si="31"/>
        <v>2020</v>
      </c>
      <c r="AE184" s="150" t="str">
        <f t="shared" si="32"/>
        <v>Sep</v>
      </c>
    </row>
    <row r="185" spans="2:31" x14ac:dyDescent="0.25">
      <c r="B185" s="152">
        <v>1</v>
      </c>
      <c r="C185" s="153" t="s">
        <v>7</v>
      </c>
      <c r="D185" s="154" t="s">
        <v>8</v>
      </c>
      <c r="E185" s="157" t="s">
        <v>111</v>
      </c>
      <c r="F185" s="141">
        <v>283</v>
      </c>
      <c r="G185" s="155" t="s">
        <v>130</v>
      </c>
      <c r="H185" s="204">
        <v>44081</v>
      </c>
      <c r="I185" s="143" t="str">
        <f t="shared" si="23"/>
        <v>2020</v>
      </c>
      <c r="J185" s="143" t="str">
        <f t="shared" si="24"/>
        <v>Sep</v>
      </c>
      <c r="K185" s="204">
        <v>44088</v>
      </c>
      <c r="L185" s="157" t="s">
        <v>159</v>
      </c>
      <c r="M185" s="204">
        <v>44121</v>
      </c>
      <c r="N185" s="143" t="str">
        <f t="shared" si="25"/>
        <v>2020</v>
      </c>
      <c r="O185" s="143" t="str">
        <f t="shared" si="26"/>
        <v>Oct</v>
      </c>
      <c r="P185" s="157" t="s">
        <v>165</v>
      </c>
      <c r="Q185" s="146" t="s">
        <v>17</v>
      </c>
      <c r="R185" s="157" t="s">
        <v>18</v>
      </c>
      <c r="S185" s="141" t="s">
        <v>20</v>
      </c>
      <c r="T185" s="204">
        <v>44367</v>
      </c>
      <c r="U185" s="145" t="str">
        <f t="shared" si="27"/>
        <v>2021</v>
      </c>
      <c r="V185" s="145" t="str">
        <f t="shared" si="28"/>
        <v>Jun</v>
      </c>
      <c r="W185" s="141">
        <f t="shared" ca="1" si="22"/>
        <v>205</v>
      </c>
      <c r="X185" s="157" t="s">
        <v>89</v>
      </c>
      <c r="Y185" s="157">
        <f t="shared" ca="1" si="29"/>
        <v>4920</v>
      </c>
      <c r="Z185" s="158">
        <v>147.6</v>
      </c>
      <c r="AA185" s="148">
        <v>22140</v>
      </c>
      <c r="AB185" s="148">
        <f t="shared" si="30"/>
        <v>150</v>
      </c>
      <c r="AC185" s="204">
        <v>44091</v>
      </c>
      <c r="AD185" s="146" t="str">
        <f t="shared" si="31"/>
        <v>2020</v>
      </c>
      <c r="AE185" s="150" t="str">
        <f t="shared" si="32"/>
        <v>Sep</v>
      </c>
    </row>
    <row r="186" spans="2:31" x14ac:dyDescent="0.25">
      <c r="B186" s="152">
        <v>2</v>
      </c>
      <c r="C186" s="153" t="s">
        <v>10</v>
      </c>
      <c r="D186" s="154" t="s">
        <v>11</v>
      </c>
      <c r="E186" s="157" t="s">
        <v>112</v>
      </c>
      <c r="F186" s="141">
        <v>284</v>
      </c>
      <c r="G186" s="155" t="s">
        <v>133</v>
      </c>
      <c r="H186" s="204">
        <v>44084</v>
      </c>
      <c r="I186" s="143" t="str">
        <f t="shared" si="23"/>
        <v>2020</v>
      </c>
      <c r="J186" s="143" t="str">
        <f t="shared" si="24"/>
        <v>Sep</v>
      </c>
      <c r="K186" s="204">
        <v>44086</v>
      </c>
      <c r="L186" s="157" t="s">
        <v>157</v>
      </c>
      <c r="M186" s="204">
        <v>44113</v>
      </c>
      <c r="N186" s="143" t="str">
        <f t="shared" si="25"/>
        <v>2020</v>
      </c>
      <c r="O186" s="143" t="str">
        <f t="shared" si="26"/>
        <v>Oct</v>
      </c>
      <c r="P186" s="157" t="s">
        <v>165</v>
      </c>
      <c r="Q186" s="146" t="s">
        <v>268</v>
      </c>
      <c r="R186" s="157" t="s">
        <v>19</v>
      </c>
      <c r="S186" s="141" t="s">
        <v>20</v>
      </c>
      <c r="T186" s="204">
        <v>44118</v>
      </c>
      <c r="U186" s="145" t="str">
        <f t="shared" si="27"/>
        <v>2020</v>
      </c>
      <c r="V186" s="145" t="str">
        <f t="shared" si="28"/>
        <v>Oct</v>
      </c>
      <c r="W186" s="141">
        <f t="shared" ca="1" si="22"/>
        <v>25</v>
      </c>
      <c r="X186" s="157" t="s">
        <v>90</v>
      </c>
      <c r="Y186" s="157">
        <f t="shared" ca="1" si="29"/>
        <v>600</v>
      </c>
      <c r="Z186" s="158">
        <v>12</v>
      </c>
      <c r="AA186" s="148">
        <v>1440</v>
      </c>
      <c r="AB186" s="148">
        <f t="shared" si="30"/>
        <v>120</v>
      </c>
      <c r="AC186" s="204">
        <v>44089</v>
      </c>
      <c r="AD186" s="146" t="str">
        <f t="shared" si="31"/>
        <v>2020</v>
      </c>
      <c r="AE186" s="150" t="str">
        <f t="shared" si="32"/>
        <v>Sep</v>
      </c>
    </row>
    <row r="187" spans="2:31" x14ac:dyDescent="0.25">
      <c r="B187" s="152">
        <v>3</v>
      </c>
      <c r="C187" s="157" t="s">
        <v>69</v>
      </c>
      <c r="D187" s="154" t="s">
        <v>62</v>
      </c>
      <c r="E187" s="157" t="s">
        <v>113</v>
      </c>
      <c r="F187" s="141">
        <v>285</v>
      </c>
      <c r="G187" s="155" t="s">
        <v>134</v>
      </c>
      <c r="H187" s="204">
        <v>44084</v>
      </c>
      <c r="I187" s="143" t="str">
        <f t="shared" si="23"/>
        <v>2020</v>
      </c>
      <c r="J187" s="143" t="str">
        <f t="shared" si="24"/>
        <v>Sep</v>
      </c>
      <c r="K187" s="204">
        <v>44086</v>
      </c>
      <c r="L187" s="157" t="s">
        <v>159</v>
      </c>
      <c r="M187" s="204">
        <v>44133</v>
      </c>
      <c r="N187" s="143" t="str">
        <f t="shared" si="25"/>
        <v>2020</v>
      </c>
      <c r="O187" s="143" t="str">
        <f t="shared" si="26"/>
        <v>Oct</v>
      </c>
      <c r="P187" s="157" t="s">
        <v>162</v>
      </c>
      <c r="Q187" s="146" t="s">
        <v>17</v>
      </c>
      <c r="R187" s="157" t="s">
        <v>41</v>
      </c>
      <c r="S187" s="141" t="s">
        <v>20</v>
      </c>
      <c r="T187" s="204">
        <v>44465</v>
      </c>
      <c r="U187" s="145" t="str">
        <f t="shared" si="27"/>
        <v>2021</v>
      </c>
      <c r="V187" s="145" t="str">
        <f t="shared" si="28"/>
        <v>Sep</v>
      </c>
      <c r="W187" s="141">
        <f t="shared" ca="1" si="22"/>
        <v>272</v>
      </c>
      <c r="X187" s="157" t="s">
        <v>91</v>
      </c>
      <c r="Y187" s="157">
        <f t="shared" ca="1" si="29"/>
        <v>6528</v>
      </c>
      <c r="Z187" s="158">
        <v>130.56</v>
      </c>
      <c r="AA187" s="148">
        <v>19584</v>
      </c>
      <c r="AB187" s="148">
        <f t="shared" si="30"/>
        <v>150</v>
      </c>
      <c r="AC187" s="204">
        <v>44089</v>
      </c>
      <c r="AD187" s="146" t="str">
        <f t="shared" si="31"/>
        <v>2020</v>
      </c>
      <c r="AE187" s="150" t="str">
        <f t="shared" si="32"/>
        <v>Sep</v>
      </c>
    </row>
    <row r="188" spans="2:31" x14ac:dyDescent="0.25">
      <c r="B188" s="152">
        <v>4</v>
      </c>
      <c r="C188" s="157" t="s">
        <v>70</v>
      </c>
      <c r="D188" s="154" t="s">
        <v>63</v>
      </c>
      <c r="E188" s="157" t="s">
        <v>114</v>
      </c>
      <c r="F188" s="141">
        <v>286</v>
      </c>
      <c r="G188" s="155" t="s">
        <v>130</v>
      </c>
      <c r="H188" s="204">
        <v>44094</v>
      </c>
      <c r="I188" s="143" t="str">
        <f t="shared" si="23"/>
        <v>2020</v>
      </c>
      <c r="J188" s="143" t="str">
        <f t="shared" si="24"/>
        <v>Sep</v>
      </c>
      <c r="K188" s="204">
        <v>44097</v>
      </c>
      <c r="L188" s="157" t="s">
        <v>159</v>
      </c>
      <c r="M188" s="204">
        <v>44120</v>
      </c>
      <c r="N188" s="143" t="str">
        <f t="shared" si="25"/>
        <v>2020</v>
      </c>
      <c r="O188" s="143" t="str">
        <f t="shared" si="26"/>
        <v>Oct</v>
      </c>
      <c r="P188" s="157" t="s">
        <v>164</v>
      </c>
      <c r="Q188" s="146" t="s">
        <v>17</v>
      </c>
      <c r="R188" s="157" t="s">
        <v>42</v>
      </c>
      <c r="S188" s="141" t="s">
        <v>20</v>
      </c>
      <c r="T188" s="204">
        <v>44255</v>
      </c>
      <c r="U188" s="145" t="str">
        <f t="shared" si="27"/>
        <v>2021</v>
      </c>
      <c r="V188" s="145" t="str">
        <f t="shared" si="28"/>
        <v>Feb</v>
      </c>
      <c r="W188" s="141">
        <f t="shared" ca="1" si="22"/>
        <v>115</v>
      </c>
      <c r="X188" s="157" t="s">
        <v>92</v>
      </c>
      <c r="Y188" s="157">
        <f t="shared" ca="1" si="29"/>
        <v>2760</v>
      </c>
      <c r="Z188" s="158">
        <v>55.2</v>
      </c>
      <c r="AA188" s="148">
        <v>8280</v>
      </c>
      <c r="AB188" s="148">
        <f t="shared" si="30"/>
        <v>150</v>
      </c>
      <c r="AC188" s="204">
        <v>44100</v>
      </c>
      <c r="AD188" s="146" t="str">
        <f t="shared" si="31"/>
        <v>2020</v>
      </c>
      <c r="AE188" s="150" t="str">
        <f t="shared" si="32"/>
        <v>Sep</v>
      </c>
    </row>
    <row r="189" spans="2:31" x14ac:dyDescent="0.25">
      <c r="B189" s="152">
        <v>5</v>
      </c>
      <c r="C189" s="157" t="s">
        <v>71</v>
      </c>
      <c r="D189" s="154" t="s">
        <v>64</v>
      </c>
      <c r="E189" s="157" t="s">
        <v>115</v>
      </c>
      <c r="F189" s="141">
        <v>287</v>
      </c>
      <c r="G189" s="155" t="s">
        <v>135</v>
      </c>
      <c r="H189" s="204">
        <v>44098</v>
      </c>
      <c r="I189" s="143" t="str">
        <f t="shared" si="23"/>
        <v>2020</v>
      </c>
      <c r="J189" s="143" t="str">
        <f t="shared" si="24"/>
        <v>Sep</v>
      </c>
      <c r="K189" s="204">
        <v>44102</v>
      </c>
      <c r="L189" s="157" t="s">
        <v>160</v>
      </c>
      <c r="M189" s="204">
        <v>44131</v>
      </c>
      <c r="N189" s="143" t="str">
        <f t="shared" si="25"/>
        <v>2020</v>
      </c>
      <c r="O189" s="143" t="str">
        <f t="shared" si="26"/>
        <v>Oct</v>
      </c>
      <c r="P189" s="157" t="s">
        <v>162</v>
      </c>
      <c r="Q189" s="146" t="s">
        <v>269</v>
      </c>
      <c r="R189" s="157" t="s">
        <v>43</v>
      </c>
      <c r="S189" s="141" t="s">
        <v>20</v>
      </c>
      <c r="T189" s="204">
        <v>44139</v>
      </c>
      <c r="U189" s="145" t="str">
        <f t="shared" si="27"/>
        <v>2020</v>
      </c>
      <c r="V189" s="145" t="str">
        <f t="shared" si="28"/>
        <v>Nov</v>
      </c>
      <c r="W189" s="141">
        <f t="shared" ca="1" si="22"/>
        <v>30</v>
      </c>
      <c r="X189" s="157" t="s">
        <v>93</v>
      </c>
      <c r="Y189" s="157">
        <f t="shared" ca="1" si="29"/>
        <v>720</v>
      </c>
      <c r="Z189" s="158">
        <v>21.599999999999998</v>
      </c>
      <c r="AA189" s="148">
        <v>1080</v>
      </c>
      <c r="AB189" s="148">
        <f t="shared" si="30"/>
        <v>50.000000000000007</v>
      </c>
      <c r="AC189" s="204">
        <v>44105</v>
      </c>
      <c r="AD189" s="146" t="str">
        <f t="shared" si="31"/>
        <v>2020</v>
      </c>
      <c r="AE189" s="150" t="str">
        <f t="shared" si="32"/>
        <v>Oct</v>
      </c>
    </row>
    <row r="190" spans="2:31" x14ac:dyDescent="0.25">
      <c r="B190" s="152">
        <v>6</v>
      </c>
      <c r="C190" s="157" t="s">
        <v>72</v>
      </c>
      <c r="D190" s="154" t="s">
        <v>65</v>
      </c>
      <c r="E190" s="157" t="s">
        <v>116</v>
      </c>
      <c r="F190" s="141">
        <v>288</v>
      </c>
      <c r="G190" s="155" t="s">
        <v>136</v>
      </c>
      <c r="H190" s="204">
        <v>44098</v>
      </c>
      <c r="I190" s="143" t="str">
        <f t="shared" si="23"/>
        <v>2020</v>
      </c>
      <c r="J190" s="143" t="str">
        <f t="shared" si="24"/>
        <v>Sep</v>
      </c>
      <c r="K190" s="204">
        <v>44104</v>
      </c>
      <c r="L190" s="157" t="s">
        <v>158</v>
      </c>
      <c r="M190" s="204">
        <v>44135</v>
      </c>
      <c r="N190" s="143" t="str">
        <f t="shared" si="25"/>
        <v>2020</v>
      </c>
      <c r="O190" s="143" t="str">
        <f t="shared" si="26"/>
        <v>Oct</v>
      </c>
      <c r="P190" s="157" t="s">
        <v>164</v>
      </c>
      <c r="Q190" s="146" t="s">
        <v>17</v>
      </c>
      <c r="R190" s="157" t="s">
        <v>44</v>
      </c>
      <c r="S190" s="141" t="s">
        <v>20</v>
      </c>
      <c r="T190" s="204">
        <v>44400</v>
      </c>
      <c r="U190" s="145" t="str">
        <f t="shared" si="27"/>
        <v>2021</v>
      </c>
      <c r="V190" s="145" t="str">
        <f t="shared" si="28"/>
        <v>Jul</v>
      </c>
      <c r="W190" s="141">
        <f t="shared" ca="1" si="22"/>
        <v>217</v>
      </c>
      <c r="X190" s="157" t="s">
        <v>94</v>
      </c>
      <c r="Y190" s="157">
        <f t="shared" ca="1" si="29"/>
        <v>5208</v>
      </c>
      <c r="Z190" s="158">
        <v>52.08</v>
      </c>
      <c r="AA190" s="148">
        <v>7812</v>
      </c>
      <c r="AB190" s="148">
        <f t="shared" si="30"/>
        <v>150</v>
      </c>
      <c r="AC190" s="204">
        <v>44107</v>
      </c>
      <c r="AD190" s="146" t="str">
        <f t="shared" si="31"/>
        <v>2020</v>
      </c>
      <c r="AE190" s="150" t="str">
        <f t="shared" si="32"/>
        <v>Oct</v>
      </c>
    </row>
    <row r="191" spans="2:31" x14ac:dyDescent="0.25">
      <c r="B191" s="152">
        <v>7</v>
      </c>
      <c r="C191" s="157" t="s">
        <v>73</v>
      </c>
      <c r="D191" s="154" t="s">
        <v>66</v>
      </c>
      <c r="E191" s="157" t="s">
        <v>117</v>
      </c>
      <c r="F191" s="141">
        <v>289</v>
      </c>
      <c r="G191" s="155" t="s">
        <v>137</v>
      </c>
      <c r="H191" s="204">
        <v>44110</v>
      </c>
      <c r="I191" s="143" t="str">
        <f t="shared" si="23"/>
        <v>2020</v>
      </c>
      <c r="J191" s="143" t="str">
        <f t="shared" si="24"/>
        <v>Oct</v>
      </c>
      <c r="K191" s="204">
        <v>44121</v>
      </c>
      <c r="L191" s="157" t="s">
        <v>158</v>
      </c>
      <c r="M191" s="204">
        <v>44162</v>
      </c>
      <c r="N191" s="143" t="str">
        <f t="shared" si="25"/>
        <v>2020</v>
      </c>
      <c r="O191" s="143" t="str">
        <f t="shared" si="26"/>
        <v>Nov</v>
      </c>
      <c r="P191" s="157" t="s">
        <v>162</v>
      </c>
      <c r="Q191" s="146" t="s">
        <v>29</v>
      </c>
      <c r="R191" s="157" t="s">
        <v>45</v>
      </c>
      <c r="S191" s="141" t="s">
        <v>20</v>
      </c>
      <c r="T191" s="204">
        <v>44370</v>
      </c>
      <c r="U191" s="145" t="str">
        <f t="shared" si="27"/>
        <v>2021</v>
      </c>
      <c r="V191" s="145" t="str">
        <f t="shared" si="28"/>
        <v>Jun</v>
      </c>
      <c r="W191" s="141">
        <f t="shared" ca="1" si="22"/>
        <v>187</v>
      </c>
      <c r="X191" s="157" t="s">
        <v>95</v>
      </c>
      <c r="Y191" s="157">
        <f t="shared" ca="1" si="29"/>
        <v>4488</v>
      </c>
      <c r="Z191" s="158">
        <v>134.63999999999999</v>
      </c>
      <c r="AA191" s="148">
        <v>4039.2</v>
      </c>
      <c r="AB191" s="148">
        <f t="shared" si="30"/>
        <v>30</v>
      </c>
      <c r="AC191" s="204">
        <v>44124</v>
      </c>
      <c r="AD191" s="146" t="str">
        <f t="shared" si="31"/>
        <v>2020</v>
      </c>
      <c r="AE191" s="150" t="str">
        <f t="shared" si="32"/>
        <v>Oct</v>
      </c>
    </row>
    <row r="192" spans="2:31" x14ac:dyDescent="0.25">
      <c r="B192" s="152">
        <v>8</v>
      </c>
      <c r="C192" s="157" t="s">
        <v>74</v>
      </c>
      <c r="D192" s="154" t="s">
        <v>67</v>
      </c>
      <c r="E192" s="157" t="s">
        <v>118</v>
      </c>
      <c r="F192" s="141">
        <v>290</v>
      </c>
      <c r="G192" s="155" t="s">
        <v>138</v>
      </c>
      <c r="H192" s="204">
        <v>44111</v>
      </c>
      <c r="I192" s="143" t="str">
        <f t="shared" si="23"/>
        <v>2020</v>
      </c>
      <c r="J192" s="143" t="str">
        <f t="shared" si="24"/>
        <v>Oct</v>
      </c>
      <c r="K192" s="204">
        <v>44113</v>
      </c>
      <c r="L192" s="157" t="s">
        <v>156</v>
      </c>
      <c r="M192" s="204">
        <v>44136</v>
      </c>
      <c r="N192" s="143" t="str">
        <f t="shared" si="25"/>
        <v>2020</v>
      </c>
      <c r="O192" s="143" t="str">
        <f t="shared" si="26"/>
        <v>Nov</v>
      </c>
      <c r="P192" s="157" t="s">
        <v>165</v>
      </c>
      <c r="Q192" s="146" t="s">
        <v>270</v>
      </c>
      <c r="R192" s="157" t="s">
        <v>46</v>
      </c>
      <c r="S192" s="141" t="s">
        <v>20</v>
      </c>
      <c r="T192" s="204">
        <v>44222</v>
      </c>
      <c r="U192" s="145" t="str">
        <f t="shared" si="27"/>
        <v>2021</v>
      </c>
      <c r="V192" s="145" t="str">
        <f t="shared" si="28"/>
        <v>Jan</v>
      </c>
      <c r="W192" s="141">
        <f t="shared" ca="1" si="22"/>
        <v>80</v>
      </c>
      <c r="X192" s="157" t="s">
        <v>96</v>
      </c>
      <c r="Y192" s="157">
        <f t="shared" ca="1" si="29"/>
        <v>1920</v>
      </c>
      <c r="Z192" s="158">
        <v>38.4</v>
      </c>
      <c r="AA192" s="148">
        <v>1152</v>
      </c>
      <c r="AB192" s="148">
        <f t="shared" si="30"/>
        <v>30</v>
      </c>
      <c r="AC192" s="204">
        <v>44116</v>
      </c>
      <c r="AD192" s="146" t="str">
        <f t="shared" si="31"/>
        <v>2020</v>
      </c>
      <c r="AE192" s="150" t="str">
        <f t="shared" si="32"/>
        <v>Oct</v>
      </c>
    </row>
    <row r="193" spans="2:31" x14ac:dyDescent="0.25">
      <c r="B193" s="152">
        <v>9</v>
      </c>
      <c r="C193" s="157" t="s">
        <v>75</v>
      </c>
      <c r="D193" s="154" t="s">
        <v>68</v>
      </c>
      <c r="E193" s="157" t="s">
        <v>115</v>
      </c>
      <c r="F193" s="141">
        <v>291</v>
      </c>
      <c r="G193" s="155" t="s">
        <v>139</v>
      </c>
      <c r="H193" s="204">
        <v>44115</v>
      </c>
      <c r="I193" s="143" t="str">
        <f t="shared" si="23"/>
        <v>2020</v>
      </c>
      <c r="J193" s="143" t="str">
        <f t="shared" si="24"/>
        <v>Oct</v>
      </c>
      <c r="K193" s="204">
        <v>44116</v>
      </c>
      <c r="L193" s="157" t="s">
        <v>160</v>
      </c>
      <c r="M193" s="204">
        <v>44147</v>
      </c>
      <c r="N193" s="143" t="str">
        <f t="shared" si="25"/>
        <v>2020</v>
      </c>
      <c r="O193" s="143" t="str">
        <f t="shared" si="26"/>
        <v>Nov</v>
      </c>
      <c r="P193" s="157" t="s">
        <v>165</v>
      </c>
      <c r="Q193" s="146" t="s">
        <v>271</v>
      </c>
      <c r="R193" s="157" t="s">
        <v>47</v>
      </c>
      <c r="S193" s="141" t="s">
        <v>20</v>
      </c>
      <c r="T193" s="204">
        <v>44631</v>
      </c>
      <c r="U193" s="145" t="str">
        <f t="shared" si="27"/>
        <v>2022</v>
      </c>
      <c r="V193" s="145" t="str">
        <f t="shared" si="28"/>
        <v>Mar</v>
      </c>
      <c r="W193" s="141">
        <f t="shared" ca="1" si="22"/>
        <v>370</v>
      </c>
      <c r="X193" s="157" t="s">
        <v>97</v>
      </c>
      <c r="Y193" s="157">
        <f t="shared" ca="1" si="29"/>
        <v>8880</v>
      </c>
      <c r="Z193" s="158">
        <v>177.6</v>
      </c>
      <c r="AA193" s="148">
        <v>10656</v>
      </c>
      <c r="AB193" s="148">
        <f t="shared" si="30"/>
        <v>60</v>
      </c>
      <c r="AC193" s="204">
        <v>44119</v>
      </c>
      <c r="AD193" s="146" t="str">
        <f t="shared" si="31"/>
        <v>2020</v>
      </c>
      <c r="AE193" s="150" t="str">
        <f t="shared" si="32"/>
        <v>Oct</v>
      </c>
    </row>
    <row r="194" spans="2:31" x14ac:dyDescent="0.25">
      <c r="B194" s="152">
        <v>10</v>
      </c>
      <c r="C194" s="157" t="s">
        <v>76</v>
      </c>
      <c r="D194" s="154" t="s">
        <v>55</v>
      </c>
      <c r="E194" s="157" t="s">
        <v>116</v>
      </c>
      <c r="F194" s="141">
        <v>292</v>
      </c>
      <c r="G194" s="155" t="s">
        <v>140</v>
      </c>
      <c r="H194" s="204">
        <v>44115</v>
      </c>
      <c r="I194" s="143" t="str">
        <f t="shared" si="23"/>
        <v>2020</v>
      </c>
      <c r="J194" s="143" t="str">
        <f t="shared" si="24"/>
        <v>Oct</v>
      </c>
      <c r="K194" s="204">
        <v>44125</v>
      </c>
      <c r="L194" s="157" t="s">
        <v>160</v>
      </c>
      <c r="M194" s="204">
        <v>44145</v>
      </c>
      <c r="N194" s="143" t="str">
        <f t="shared" si="25"/>
        <v>2020</v>
      </c>
      <c r="O194" s="143" t="str">
        <f t="shared" si="26"/>
        <v>Nov</v>
      </c>
      <c r="P194" s="157" t="s">
        <v>162</v>
      </c>
      <c r="Q194" s="146" t="s">
        <v>266</v>
      </c>
      <c r="R194" s="157" t="s">
        <v>48</v>
      </c>
      <c r="S194" s="141" t="s">
        <v>20</v>
      </c>
      <c r="T194" s="204">
        <v>44525</v>
      </c>
      <c r="U194" s="145" t="str">
        <f t="shared" si="27"/>
        <v>2021</v>
      </c>
      <c r="V194" s="145" t="str">
        <f t="shared" si="28"/>
        <v>Nov</v>
      </c>
      <c r="W194" s="141">
        <f t="shared" ca="1" si="22"/>
        <v>294</v>
      </c>
      <c r="X194" s="157" t="s">
        <v>98</v>
      </c>
      <c r="Y194" s="157">
        <f t="shared" ca="1" si="29"/>
        <v>7056</v>
      </c>
      <c r="Z194" s="158">
        <v>141.12</v>
      </c>
      <c r="AA194" s="148">
        <v>7056</v>
      </c>
      <c r="AB194" s="148">
        <f t="shared" si="30"/>
        <v>50</v>
      </c>
      <c r="AC194" s="204">
        <v>44128</v>
      </c>
      <c r="AD194" s="146" t="str">
        <f t="shared" si="31"/>
        <v>2020</v>
      </c>
      <c r="AE194" s="150" t="str">
        <f t="shared" si="32"/>
        <v>Oct</v>
      </c>
    </row>
    <row r="195" spans="2:31" x14ac:dyDescent="0.25">
      <c r="B195" s="152">
        <v>11</v>
      </c>
      <c r="C195" s="157" t="s">
        <v>77</v>
      </c>
      <c r="D195" s="154" t="s">
        <v>56</v>
      </c>
      <c r="E195" s="157" t="s">
        <v>117</v>
      </c>
      <c r="F195" s="141">
        <v>293</v>
      </c>
      <c r="G195" s="155" t="s">
        <v>141</v>
      </c>
      <c r="H195" s="204">
        <v>44119</v>
      </c>
      <c r="I195" s="143" t="str">
        <f t="shared" si="23"/>
        <v>2020</v>
      </c>
      <c r="J195" s="143" t="str">
        <f t="shared" si="24"/>
        <v>Oct</v>
      </c>
      <c r="K195" s="204">
        <v>44134</v>
      </c>
      <c r="L195" s="151" t="s">
        <v>160</v>
      </c>
      <c r="M195" s="204">
        <v>44165</v>
      </c>
      <c r="N195" s="143" t="str">
        <f t="shared" si="25"/>
        <v>2020</v>
      </c>
      <c r="O195" s="143" t="str">
        <f t="shared" si="26"/>
        <v>Nov</v>
      </c>
      <c r="P195" s="157" t="s">
        <v>167</v>
      </c>
      <c r="Q195" s="146" t="s">
        <v>17</v>
      </c>
      <c r="R195" s="157" t="s">
        <v>49</v>
      </c>
      <c r="S195" s="141" t="s">
        <v>167</v>
      </c>
      <c r="T195" s="204" t="s">
        <v>274</v>
      </c>
      <c r="U195" s="145" t="str">
        <f t="shared" si="27"/>
        <v/>
      </c>
      <c r="V195" s="145" t="str">
        <f t="shared" si="28"/>
        <v/>
      </c>
      <c r="W195" s="141">
        <f t="shared" ref="W195:W258" ca="1" si="33">IF($T195="",NETWORKDAYS($H195,TODAY()),NETWORKDAYS($H195,$T195))</f>
        <v>985</v>
      </c>
      <c r="X195" s="157" t="s">
        <v>99</v>
      </c>
      <c r="Y195" s="157">
        <f t="shared" ca="1" si="29"/>
        <v>23640</v>
      </c>
      <c r="Z195" s="158">
        <v>707.76</v>
      </c>
      <c r="AA195" s="148">
        <v>106164</v>
      </c>
      <c r="AB195" s="148">
        <f t="shared" si="30"/>
        <v>150</v>
      </c>
      <c r="AC195" s="204"/>
      <c r="AD195" s="157" t="str">
        <f t="shared" si="31"/>
        <v/>
      </c>
      <c r="AE195" s="150" t="str">
        <f t="shared" si="32"/>
        <v/>
      </c>
    </row>
    <row r="196" spans="2:31" x14ac:dyDescent="0.25">
      <c r="B196" s="152">
        <v>12</v>
      </c>
      <c r="C196" s="157" t="s">
        <v>78</v>
      </c>
      <c r="D196" s="154" t="s">
        <v>57</v>
      </c>
      <c r="E196" s="157" t="s">
        <v>118</v>
      </c>
      <c r="F196" s="141">
        <v>294</v>
      </c>
      <c r="G196" s="155" t="s">
        <v>142</v>
      </c>
      <c r="H196" s="204">
        <v>44125</v>
      </c>
      <c r="I196" s="143" t="str">
        <f t="shared" ref="I196:I259" si="34">TEXT($H196,"YYYY")</f>
        <v>2020</v>
      </c>
      <c r="J196" s="143" t="str">
        <f t="shared" ref="J196:J259" si="35">TEXT($H196,"MMM")</f>
        <v>Oct</v>
      </c>
      <c r="K196" s="204">
        <v>44139</v>
      </c>
      <c r="L196" s="157" t="s">
        <v>161</v>
      </c>
      <c r="M196" s="204">
        <v>44163</v>
      </c>
      <c r="N196" s="143" t="str">
        <f t="shared" ref="N196:N259" si="36">TEXT($M196,"YYYY")</f>
        <v>2020</v>
      </c>
      <c r="O196" s="143" t="str">
        <f t="shared" ref="O196:O259" si="37">TEXT($M196,"MMM")</f>
        <v>Nov</v>
      </c>
      <c r="P196" s="157" t="s">
        <v>167</v>
      </c>
      <c r="Q196" s="146" t="s">
        <v>266</v>
      </c>
      <c r="R196" s="157" t="s">
        <v>50</v>
      </c>
      <c r="S196" s="141" t="s">
        <v>167</v>
      </c>
      <c r="T196" s="204" t="s">
        <v>274</v>
      </c>
      <c r="U196" s="145" t="str">
        <f t="shared" ref="U196:U259" si="38">IF($T196="","",TEXT($T196,"YYYY"))</f>
        <v/>
      </c>
      <c r="V196" s="145" t="str">
        <f t="shared" ref="V196:V259" si="39">IF($T196="","",TEXT($T196,"MMM"))</f>
        <v/>
      </c>
      <c r="W196" s="141">
        <f t="shared" ca="1" si="33"/>
        <v>981</v>
      </c>
      <c r="X196" s="157" t="s">
        <v>100</v>
      </c>
      <c r="Y196" s="157">
        <f t="shared" ref="Y196:Y259" ca="1" si="40">W196*24</f>
        <v>23544</v>
      </c>
      <c r="Z196" s="158">
        <v>469.92</v>
      </c>
      <c r="AA196" s="148">
        <v>23496</v>
      </c>
      <c r="AB196" s="148">
        <f t="shared" ref="AB196:AB259" si="41">AA196/Z196</f>
        <v>50</v>
      </c>
      <c r="AC196" s="204"/>
      <c r="AD196" s="157" t="str">
        <f t="shared" ref="AD196:AD259" si="42">IF(AC196="","",TEXT(AC196,"yyyy"))</f>
        <v/>
      </c>
      <c r="AE196" s="150" t="str">
        <f t="shared" ref="AE196:AE259" si="43">IF(AC196="","",TEXT(AC196,"mmm"))</f>
        <v/>
      </c>
    </row>
    <row r="197" spans="2:31" x14ac:dyDescent="0.25">
      <c r="B197" s="152">
        <v>13</v>
      </c>
      <c r="C197" s="157" t="s">
        <v>79</v>
      </c>
      <c r="D197" s="154" t="s">
        <v>58</v>
      </c>
      <c r="E197" s="157" t="s">
        <v>111</v>
      </c>
      <c r="F197" s="141">
        <v>295</v>
      </c>
      <c r="G197" s="155" t="s">
        <v>143</v>
      </c>
      <c r="H197" s="204">
        <v>44126</v>
      </c>
      <c r="I197" s="143" t="str">
        <f t="shared" si="34"/>
        <v>2020</v>
      </c>
      <c r="J197" s="143" t="str">
        <f t="shared" si="35"/>
        <v>Oct</v>
      </c>
      <c r="K197" s="204">
        <v>44141</v>
      </c>
      <c r="L197" s="157" t="s">
        <v>158</v>
      </c>
      <c r="M197" s="204">
        <v>44150</v>
      </c>
      <c r="N197" s="143" t="str">
        <f t="shared" si="36"/>
        <v>2020</v>
      </c>
      <c r="O197" s="143" t="str">
        <f t="shared" si="37"/>
        <v>Nov</v>
      </c>
      <c r="P197" s="157" t="s">
        <v>164</v>
      </c>
      <c r="Q197" s="146" t="s">
        <v>266</v>
      </c>
      <c r="R197" s="157" t="s">
        <v>51</v>
      </c>
      <c r="S197" s="141" t="s">
        <v>20</v>
      </c>
      <c r="T197" s="204">
        <v>44576</v>
      </c>
      <c r="U197" s="145" t="str">
        <f t="shared" si="38"/>
        <v>2022</v>
      </c>
      <c r="V197" s="145" t="str">
        <f t="shared" si="39"/>
        <v>Jan</v>
      </c>
      <c r="W197" s="141">
        <f t="shared" ca="1" si="33"/>
        <v>322</v>
      </c>
      <c r="X197" s="157" t="s">
        <v>101</v>
      </c>
      <c r="Y197" s="157">
        <f t="shared" ca="1" si="40"/>
        <v>7728</v>
      </c>
      <c r="Z197" s="158">
        <v>154.56</v>
      </c>
      <c r="AA197" s="148">
        <v>7728</v>
      </c>
      <c r="AB197" s="148">
        <f t="shared" si="41"/>
        <v>50</v>
      </c>
      <c r="AC197" s="204">
        <v>44144</v>
      </c>
      <c r="AD197" s="146" t="str">
        <f t="shared" si="42"/>
        <v>2020</v>
      </c>
      <c r="AE197" s="150" t="str">
        <f t="shared" si="43"/>
        <v>Nov</v>
      </c>
    </row>
    <row r="198" spans="2:31" x14ac:dyDescent="0.25">
      <c r="B198" s="152">
        <v>14</v>
      </c>
      <c r="C198" s="157" t="s">
        <v>80</v>
      </c>
      <c r="D198" s="154" t="s">
        <v>59</v>
      </c>
      <c r="E198" s="157" t="s">
        <v>112</v>
      </c>
      <c r="F198" s="141">
        <v>296</v>
      </c>
      <c r="G198" s="155" t="s">
        <v>144</v>
      </c>
      <c r="H198" s="204">
        <v>44127</v>
      </c>
      <c r="I198" s="143" t="str">
        <f t="shared" si="34"/>
        <v>2020</v>
      </c>
      <c r="J198" s="143" t="str">
        <f t="shared" si="35"/>
        <v>Oct</v>
      </c>
      <c r="K198" s="204">
        <v>44136</v>
      </c>
      <c r="L198" s="157" t="s">
        <v>161</v>
      </c>
      <c r="M198" s="204">
        <v>44177</v>
      </c>
      <c r="N198" s="143" t="str">
        <f t="shared" si="36"/>
        <v>2020</v>
      </c>
      <c r="O198" s="143" t="str">
        <f t="shared" si="37"/>
        <v>Dec</v>
      </c>
      <c r="P198" s="157" t="s">
        <v>162</v>
      </c>
      <c r="Q198" s="146" t="s">
        <v>17</v>
      </c>
      <c r="R198" s="157" t="s">
        <v>52</v>
      </c>
      <c r="S198" s="141" t="s">
        <v>20</v>
      </c>
      <c r="T198" s="204">
        <v>44293</v>
      </c>
      <c r="U198" s="145" t="str">
        <f t="shared" si="38"/>
        <v>2021</v>
      </c>
      <c r="V198" s="145" t="str">
        <f t="shared" si="39"/>
        <v>Apr</v>
      </c>
      <c r="W198" s="141">
        <f t="shared" ca="1" si="33"/>
        <v>119</v>
      </c>
      <c r="X198" s="157" t="s">
        <v>102</v>
      </c>
      <c r="Y198" s="157">
        <f t="shared" ca="1" si="40"/>
        <v>2856</v>
      </c>
      <c r="Z198" s="158">
        <v>28.560000000000002</v>
      </c>
      <c r="AA198" s="148">
        <v>4284</v>
      </c>
      <c r="AB198" s="148">
        <f t="shared" si="41"/>
        <v>150</v>
      </c>
      <c r="AC198" s="204">
        <v>44139</v>
      </c>
      <c r="AD198" s="146" t="str">
        <f t="shared" si="42"/>
        <v>2020</v>
      </c>
      <c r="AE198" s="150" t="str">
        <f t="shared" si="43"/>
        <v>Nov</v>
      </c>
    </row>
    <row r="199" spans="2:31" x14ac:dyDescent="0.25">
      <c r="B199" s="152">
        <v>15</v>
      </c>
      <c r="C199" s="157" t="s">
        <v>81</v>
      </c>
      <c r="D199" s="154" t="s">
        <v>60</v>
      </c>
      <c r="E199" s="157" t="s">
        <v>113</v>
      </c>
      <c r="F199" s="141">
        <v>297</v>
      </c>
      <c r="G199" s="155" t="s">
        <v>145</v>
      </c>
      <c r="H199" s="204">
        <v>44131</v>
      </c>
      <c r="I199" s="143" t="str">
        <f t="shared" si="34"/>
        <v>2020</v>
      </c>
      <c r="J199" s="143" t="str">
        <f t="shared" si="35"/>
        <v>Oct</v>
      </c>
      <c r="K199" s="204">
        <v>44146</v>
      </c>
      <c r="L199" s="157" t="s">
        <v>158</v>
      </c>
      <c r="M199" s="204">
        <v>44169</v>
      </c>
      <c r="N199" s="143" t="str">
        <f t="shared" si="36"/>
        <v>2020</v>
      </c>
      <c r="O199" s="143" t="str">
        <f t="shared" si="37"/>
        <v>Dec</v>
      </c>
      <c r="P199" s="157" t="s">
        <v>162</v>
      </c>
      <c r="Q199" s="146" t="s">
        <v>266</v>
      </c>
      <c r="R199" s="157" t="s">
        <v>53</v>
      </c>
      <c r="S199" s="141" t="s">
        <v>20</v>
      </c>
      <c r="T199" s="204">
        <v>44165</v>
      </c>
      <c r="U199" s="145" t="str">
        <f t="shared" si="38"/>
        <v>2020</v>
      </c>
      <c r="V199" s="145" t="str">
        <f t="shared" si="39"/>
        <v>Nov</v>
      </c>
      <c r="W199" s="141">
        <f t="shared" ca="1" si="33"/>
        <v>25</v>
      </c>
      <c r="X199" s="157" t="s">
        <v>103</v>
      </c>
      <c r="Y199" s="157">
        <f t="shared" ca="1" si="40"/>
        <v>600</v>
      </c>
      <c r="Z199" s="158">
        <v>18</v>
      </c>
      <c r="AA199" s="148">
        <v>900</v>
      </c>
      <c r="AB199" s="148">
        <f t="shared" si="41"/>
        <v>50</v>
      </c>
      <c r="AC199" s="204">
        <v>44149</v>
      </c>
      <c r="AD199" s="146" t="str">
        <f t="shared" si="42"/>
        <v>2020</v>
      </c>
      <c r="AE199" s="150" t="str">
        <f t="shared" si="43"/>
        <v>Nov</v>
      </c>
    </row>
    <row r="200" spans="2:31" x14ac:dyDescent="0.25">
      <c r="B200" s="152">
        <v>16</v>
      </c>
      <c r="C200" s="157" t="s">
        <v>82</v>
      </c>
      <c r="D200" s="154" t="s">
        <v>61</v>
      </c>
      <c r="E200" s="157" t="s">
        <v>114</v>
      </c>
      <c r="F200" s="141">
        <v>298</v>
      </c>
      <c r="G200" s="155" t="s">
        <v>146</v>
      </c>
      <c r="H200" s="204">
        <v>44131</v>
      </c>
      <c r="I200" s="143" t="str">
        <f t="shared" si="34"/>
        <v>2020</v>
      </c>
      <c r="J200" s="143" t="str">
        <f t="shared" si="35"/>
        <v>Oct</v>
      </c>
      <c r="K200" s="204">
        <v>44132</v>
      </c>
      <c r="L200" s="157" t="s">
        <v>156</v>
      </c>
      <c r="M200" s="204">
        <v>44165</v>
      </c>
      <c r="N200" s="143" t="str">
        <f t="shared" si="36"/>
        <v>2020</v>
      </c>
      <c r="O200" s="143" t="str">
        <f t="shared" si="37"/>
        <v>Nov</v>
      </c>
      <c r="P200" s="157" t="s">
        <v>165</v>
      </c>
      <c r="Q200" s="146" t="s">
        <v>17</v>
      </c>
      <c r="R200" s="157" t="s">
        <v>54</v>
      </c>
      <c r="S200" s="141" t="s">
        <v>20</v>
      </c>
      <c r="T200" s="204">
        <v>44519</v>
      </c>
      <c r="U200" s="145" t="str">
        <f t="shared" si="38"/>
        <v>2021</v>
      </c>
      <c r="V200" s="145" t="str">
        <f t="shared" si="39"/>
        <v>Nov</v>
      </c>
      <c r="W200" s="141">
        <f t="shared" ca="1" si="33"/>
        <v>279</v>
      </c>
      <c r="X200" s="157" t="s">
        <v>104</v>
      </c>
      <c r="Y200" s="157">
        <f t="shared" ca="1" si="40"/>
        <v>6696</v>
      </c>
      <c r="Z200" s="158">
        <v>133.92000000000002</v>
      </c>
      <c r="AA200" s="148">
        <v>20088.000000000004</v>
      </c>
      <c r="AB200" s="148">
        <f t="shared" si="41"/>
        <v>150</v>
      </c>
      <c r="AC200" s="204">
        <v>44135</v>
      </c>
      <c r="AD200" s="146" t="str">
        <f t="shared" si="42"/>
        <v>2020</v>
      </c>
      <c r="AE200" s="150" t="str">
        <f t="shared" si="43"/>
        <v>Oct</v>
      </c>
    </row>
    <row r="201" spans="2:31" x14ac:dyDescent="0.25">
      <c r="B201" s="152">
        <v>17</v>
      </c>
      <c r="C201" s="157" t="s">
        <v>83</v>
      </c>
      <c r="D201" s="154" t="s">
        <v>33</v>
      </c>
      <c r="E201" s="157" t="s">
        <v>115</v>
      </c>
      <c r="F201" s="141">
        <v>299</v>
      </c>
      <c r="G201" s="155" t="s">
        <v>131</v>
      </c>
      <c r="H201" s="204">
        <v>44132</v>
      </c>
      <c r="I201" s="143" t="str">
        <f t="shared" si="34"/>
        <v>2020</v>
      </c>
      <c r="J201" s="143" t="str">
        <f t="shared" si="35"/>
        <v>Oct</v>
      </c>
      <c r="K201" s="204">
        <v>44140</v>
      </c>
      <c r="L201" s="157" t="s">
        <v>160</v>
      </c>
      <c r="M201" s="204">
        <v>44179</v>
      </c>
      <c r="N201" s="143" t="str">
        <f t="shared" si="36"/>
        <v>2020</v>
      </c>
      <c r="O201" s="143" t="str">
        <f t="shared" si="37"/>
        <v>Dec</v>
      </c>
      <c r="P201" s="157" t="s">
        <v>162</v>
      </c>
      <c r="Q201" s="146" t="s">
        <v>266</v>
      </c>
      <c r="R201" s="157" t="s">
        <v>38</v>
      </c>
      <c r="S201" s="141" t="s">
        <v>20</v>
      </c>
      <c r="T201" s="204">
        <v>44612</v>
      </c>
      <c r="U201" s="145" t="str">
        <f t="shared" si="38"/>
        <v>2022</v>
      </c>
      <c r="V201" s="145" t="str">
        <f t="shared" si="39"/>
        <v>Feb</v>
      </c>
      <c r="W201" s="141">
        <f t="shared" ca="1" si="33"/>
        <v>343</v>
      </c>
      <c r="X201" s="157" t="s">
        <v>105</v>
      </c>
      <c r="Y201" s="157">
        <f t="shared" ca="1" si="40"/>
        <v>8232</v>
      </c>
      <c r="Z201" s="158">
        <v>164.64000000000001</v>
      </c>
      <c r="AA201" s="148">
        <v>8232</v>
      </c>
      <c r="AB201" s="148">
        <f t="shared" si="41"/>
        <v>49.999999999999993</v>
      </c>
      <c r="AC201" s="204">
        <v>44143</v>
      </c>
      <c r="AD201" s="146" t="str">
        <f t="shared" si="42"/>
        <v>2020</v>
      </c>
      <c r="AE201" s="150" t="str">
        <f t="shared" si="43"/>
        <v>Nov</v>
      </c>
    </row>
    <row r="202" spans="2:31" x14ac:dyDescent="0.25">
      <c r="B202" s="152">
        <v>18</v>
      </c>
      <c r="C202" s="157" t="s">
        <v>84</v>
      </c>
      <c r="D202" s="154" t="s">
        <v>89</v>
      </c>
      <c r="E202" s="157" t="s">
        <v>112</v>
      </c>
      <c r="F202" s="141">
        <v>300</v>
      </c>
      <c r="G202" s="155" t="s">
        <v>147</v>
      </c>
      <c r="H202" s="204">
        <v>44135</v>
      </c>
      <c r="I202" s="143" t="str">
        <f t="shared" si="34"/>
        <v>2020</v>
      </c>
      <c r="J202" s="143" t="str">
        <f t="shared" si="35"/>
        <v>Oct</v>
      </c>
      <c r="K202" s="204">
        <v>44137</v>
      </c>
      <c r="L202" s="157" t="s">
        <v>158</v>
      </c>
      <c r="M202" s="204">
        <v>44192</v>
      </c>
      <c r="N202" s="143" t="str">
        <f t="shared" si="36"/>
        <v>2020</v>
      </c>
      <c r="O202" s="143" t="str">
        <f t="shared" si="37"/>
        <v>Dec</v>
      </c>
      <c r="P202" s="157" t="s">
        <v>164</v>
      </c>
      <c r="Q202" s="146" t="s">
        <v>272</v>
      </c>
      <c r="R202" s="157" t="s">
        <v>40</v>
      </c>
      <c r="S202" s="141" t="s">
        <v>20</v>
      </c>
      <c r="T202" s="204">
        <v>44267</v>
      </c>
      <c r="U202" s="145" t="str">
        <f t="shared" si="38"/>
        <v>2021</v>
      </c>
      <c r="V202" s="145" t="str">
        <f t="shared" si="39"/>
        <v>Mar</v>
      </c>
      <c r="W202" s="141">
        <f t="shared" ca="1" si="33"/>
        <v>95</v>
      </c>
      <c r="X202" s="157" t="s">
        <v>106</v>
      </c>
      <c r="Y202" s="157">
        <f t="shared" ca="1" si="40"/>
        <v>2280</v>
      </c>
      <c r="Z202" s="158">
        <v>68.399999999999991</v>
      </c>
      <c r="AA202" s="148">
        <v>5471.9999999999991</v>
      </c>
      <c r="AB202" s="148">
        <f t="shared" si="41"/>
        <v>80</v>
      </c>
      <c r="AC202" s="204">
        <v>44140</v>
      </c>
      <c r="AD202" s="146" t="str">
        <f t="shared" si="42"/>
        <v>2020</v>
      </c>
      <c r="AE202" s="150" t="str">
        <f t="shared" si="43"/>
        <v>Nov</v>
      </c>
    </row>
    <row r="203" spans="2:31" x14ac:dyDescent="0.25">
      <c r="B203" s="152">
        <v>19</v>
      </c>
      <c r="C203" s="157" t="s">
        <v>85</v>
      </c>
      <c r="D203" s="154" t="s">
        <v>90</v>
      </c>
      <c r="E203" s="157" t="s">
        <v>113</v>
      </c>
      <c r="F203" s="141">
        <v>301</v>
      </c>
      <c r="G203" s="155" t="s">
        <v>148</v>
      </c>
      <c r="H203" s="204">
        <v>44139</v>
      </c>
      <c r="I203" s="143" t="str">
        <f t="shared" si="34"/>
        <v>2020</v>
      </c>
      <c r="J203" s="143" t="str">
        <f t="shared" si="35"/>
        <v>Nov</v>
      </c>
      <c r="K203" s="204">
        <v>44147</v>
      </c>
      <c r="L203" s="157" t="s">
        <v>161</v>
      </c>
      <c r="M203" s="204">
        <v>44180</v>
      </c>
      <c r="N203" s="143" t="str">
        <f t="shared" si="36"/>
        <v>2020</v>
      </c>
      <c r="O203" s="143" t="str">
        <f t="shared" si="37"/>
        <v>Dec</v>
      </c>
      <c r="P203" s="157" t="s">
        <v>165</v>
      </c>
      <c r="Q203" s="146" t="s">
        <v>17</v>
      </c>
      <c r="R203" s="157" t="s">
        <v>34</v>
      </c>
      <c r="S203" s="141" t="s">
        <v>20</v>
      </c>
      <c r="T203" s="204">
        <v>44483</v>
      </c>
      <c r="U203" s="145" t="str">
        <f t="shared" si="38"/>
        <v>2021</v>
      </c>
      <c r="V203" s="145" t="str">
        <f t="shared" si="39"/>
        <v>Oct</v>
      </c>
      <c r="W203" s="141">
        <f t="shared" ca="1" si="33"/>
        <v>247</v>
      </c>
      <c r="X203" s="157" t="s">
        <v>107</v>
      </c>
      <c r="Y203" s="157">
        <f t="shared" ca="1" si="40"/>
        <v>5928</v>
      </c>
      <c r="Z203" s="158">
        <v>59.28</v>
      </c>
      <c r="AA203" s="148">
        <v>8892</v>
      </c>
      <c r="AB203" s="148">
        <f t="shared" si="41"/>
        <v>150</v>
      </c>
      <c r="AC203" s="204">
        <v>44150</v>
      </c>
      <c r="AD203" s="146" t="str">
        <f t="shared" si="42"/>
        <v>2020</v>
      </c>
      <c r="AE203" s="150" t="str">
        <f t="shared" si="43"/>
        <v>Nov</v>
      </c>
    </row>
    <row r="204" spans="2:31" x14ac:dyDescent="0.25">
      <c r="B204" s="152">
        <v>20</v>
      </c>
      <c r="C204" s="157" t="s">
        <v>86</v>
      </c>
      <c r="D204" s="154" t="s">
        <v>91</v>
      </c>
      <c r="E204" s="157" t="s">
        <v>114</v>
      </c>
      <c r="F204" s="141">
        <v>302</v>
      </c>
      <c r="G204" s="155" t="s">
        <v>149</v>
      </c>
      <c r="H204" s="204">
        <v>44142</v>
      </c>
      <c r="I204" s="143" t="str">
        <f t="shared" si="34"/>
        <v>2020</v>
      </c>
      <c r="J204" s="143" t="str">
        <f t="shared" si="35"/>
        <v>Nov</v>
      </c>
      <c r="K204" s="204">
        <v>44143</v>
      </c>
      <c r="L204" s="157" t="s">
        <v>160</v>
      </c>
      <c r="M204" s="204">
        <v>44186</v>
      </c>
      <c r="N204" s="143" t="str">
        <f t="shared" si="36"/>
        <v>2020</v>
      </c>
      <c r="O204" s="143" t="str">
        <f t="shared" si="37"/>
        <v>Dec</v>
      </c>
      <c r="P204" s="157" t="s">
        <v>165</v>
      </c>
      <c r="Q204" s="146" t="s">
        <v>17</v>
      </c>
      <c r="R204" s="157" t="s">
        <v>35</v>
      </c>
      <c r="S204" s="141" t="s">
        <v>20</v>
      </c>
      <c r="T204" s="204">
        <v>44488</v>
      </c>
      <c r="U204" s="145" t="str">
        <f t="shared" si="38"/>
        <v>2021</v>
      </c>
      <c r="V204" s="145" t="str">
        <f t="shared" si="39"/>
        <v>Oct</v>
      </c>
      <c r="W204" s="141">
        <f t="shared" ca="1" si="33"/>
        <v>247</v>
      </c>
      <c r="X204" s="157" t="s">
        <v>108</v>
      </c>
      <c r="Y204" s="157">
        <f t="shared" ca="1" si="40"/>
        <v>5928</v>
      </c>
      <c r="Z204" s="158">
        <v>177.84</v>
      </c>
      <c r="AA204" s="148">
        <v>26676</v>
      </c>
      <c r="AB204" s="148">
        <f t="shared" si="41"/>
        <v>150</v>
      </c>
      <c r="AC204" s="204">
        <v>44146</v>
      </c>
      <c r="AD204" s="146" t="str">
        <f t="shared" si="42"/>
        <v>2020</v>
      </c>
      <c r="AE204" s="150" t="str">
        <f t="shared" si="43"/>
        <v>Nov</v>
      </c>
    </row>
    <row r="205" spans="2:31" x14ac:dyDescent="0.25">
      <c r="B205" s="152">
        <v>21</v>
      </c>
      <c r="C205" s="157" t="s">
        <v>87</v>
      </c>
      <c r="D205" s="154" t="s">
        <v>92</v>
      </c>
      <c r="E205" s="157" t="s">
        <v>115</v>
      </c>
      <c r="F205" s="141">
        <v>303</v>
      </c>
      <c r="G205" s="155" t="s">
        <v>131</v>
      </c>
      <c r="H205" s="204">
        <v>44144</v>
      </c>
      <c r="I205" s="143" t="str">
        <f t="shared" si="34"/>
        <v>2020</v>
      </c>
      <c r="J205" s="143" t="str">
        <f t="shared" si="35"/>
        <v>Nov</v>
      </c>
      <c r="K205" s="204">
        <v>44150</v>
      </c>
      <c r="L205" s="157" t="s">
        <v>160</v>
      </c>
      <c r="M205" s="204">
        <v>44183</v>
      </c>
      <c r="N205" s="143" t="str">
        <f t="shared" si="36"/>
        <v>2020</v>
      </c>
      <c r="O205" s="143" t="str">
        <f t="shared" si="37"/>
        <v>Dec</v>
      </c>
      <c r="P205" s="157" t="s">
        <v>165</v>
      </c>
      <c r="Q205" s="146" t="s">
        <v>266</v>
      </c>
      <c r="R205" s="157" t="s">
        <v>36</v>
      </c>
      <c r="S205" s="141" t="s">
        <v>20</v>
      </c>
      <c r="T205" s="204">
        <v>44569</v>
      </c>
      <c r="U205" s="145" t="str">
        <f t="shared" si="38"/>
        <v>2022</v>
      </c>
      <c r="V205" s="145" t="str">
        <f t="shared" si="39"/>
        <v>Jan</v>
      </c>
      <c r="W205" s="141">
        <f t="shared" ca="1" si="33"/>
        <v>305</v>
      </c>
      <c r="X205" s="157" t="s">
        <v>109</v>
      </c>
      <c r="Y205" s="157">
        <f t="shared" ca="1" si="40"/>
        <v>7320</v>
      </c>
      <c r="Z205" s="158">
        <v>219.6</v>
      </c>
      <c r="AA205" s="148">
        <v>10980</v>
      </c>
      <c r="AB205" s="148">
        <f t="shared" si="41"/>
        <v>50</v>
      </c>
      <c r="AC205" s="204">
        <v>44153</v>
      </c>
      <c r="AD205" s="146" t="str">
        <f t="shared" si="42"/>
        <v>2020</v>
      </c>
      <c r="AE205" s="150" t="str">
        <f t="shared" si="43"/>
        <v>Nov</v>
      </c>
    </row>
    <row r="206" spans="2:31" x14ac:dyDescent="0.25">
      <c r="B206" s="152">
        <v>22</v>
      </c>
      <c r="C206" s="157" t="s">
        <v>88</v>
      </c>
      <c r="D206" s="154" t="s">
        <v>39</v>
      </c>
      <c r="E206" s="157" t="s">
        <v>116</v>
      </c>
      <c r="F206" s="141">
        <v>304</v>
      </c>
      <c r="G206" s="155" t="s">
        <v>150</v>
      </c>
      <c r="H206" s="204">
        <v>44145</v>
      </c>
      <c r="I206" s="143" t="str">
        <f t="shared" si="34"/>
        <v>2020</v>
      </c>
      <c r="J206" s="143" t="str">
        <f t="shared" si="35"/>
        <v>Nov</v>
      </c>
      <c r="K206" s="204">
        <v>44153</v>
      </c>
      <c r="L206" s="157" t="s">
        <v>161</v>
      </c>
      <c r="M206" s="204">
        <v>44184</v>
      </c>
      <c r="N206" s="143" t="str">
        <f t="shared" si="36"/>
        <v>2020</v>
      </c>
      <c r="O206" s="143" t="str">
        <f t="shared" si="37"/>
        <v>Dec</v>
      </c>
      <c r="P206" s="157" t="s">
        <v>164</v>
      </c>
      <c r="Q206" s="146" t="s">
        <v>29</v>
      </c>
      <c r="R206" s="157" t="s">
        <v>37</v>
      </c>
      <c r="S206" s="141" t="s">
        <v>20</v>
      </c>
      <c r="T206" s="204">
        <v>44472</v>
      </c>
      <c r="U206" s="145" t="str">
        <f t="shared" si="38"/>
        <v>2021</v>
      </c>
      <c r="V206" s="145" t="str">
        <f t="shared" si="39"/>
        <v>Oct</v>
      </c>
      <c r="W206" s="141">
        <f t="shared" ca="1" si="33"/>
        <v>234</v>
      </c>
      <c r="X206" s="157" t="s">
        <v>110</v>
      </c>
      <c r="Y206" s="157">
        <f t="shared" ca="1" si="40"/>
        <v>5616</v>
      </c>
      <c r="Z206" s="158">
        <v>56.160000000000004</v>
      </c>
      <c r="AA206" s="148">
        <v>1684.8000000000002</v>
      </c>
      <c r="AB206" s="148">
        <f t="shared" si="41"/>
        <v>30</v>
      </c>
      <c r="AC206" s="204">
        <v>44156</v>
      </c>
      <c r="AD206" s="146" t="str">
        <f t="shared" si="42"/>
        <v>2020</v>
      </c>
      <c r="AE206" s="150" t="str">
        <f t="shared" si="43"/>
        <v>Nov</v>
      </c>
    </row>
    <row r="207" spans="2:31" x14ac:dyDescent="0.25">
      <c r="B207" s="152">
        <v>1</v>
      </c>
      <c r="C207" s="153" t="s">
        <v>7</v>
      </c>
      <c r="D207" s="154" t="s">
        <v>8</v>
      </c>
      <c r="E207" s="157" t="s">
        <v>111</v>
      </c>
      <c r="F207" s="141">
        <v>305</v>
      </c>
      <c r="G207" s="155" t="s">
        <v>151</v>
      </c>
      <c r="H207" s="204">
        <v>44149</v>
      </c>
      <c r="I207" s="143" t="str">
        <f t="shared" si="34"/>
        <v>2020</v>
      </c>
      <c r="J207" s="143" t="str">
        <f t="shared" si="35"/>
        <v>Nov</v>
      </c>
      <c r="K207" s="204">
        <v>44162</v>
      </c>
      <c r="L207" s="157" t="s">
        <v>159</v>
      </c>
      <c r="M207" s="204">
        <v>44194</v>
      </c>
      <c r="N207" s="143" t="str">
        <f t="shared" si="36"/>
        <v>2020</v>
      </c>
      <c r="O207" s="143" t="str">
        <f t="shared" si="37"/>
        <v>Dec</v>
      </c>
      <c r="P207" s="157" t="s">
        <v>164</v>
      </c>
      <c r="Q207" s="146" t="s">
        <v>17</v>
      </c>
      <c r="R207" s="157" t="s">
        <v>18</v>
      </c>
      <c r="S207" s="141" t="s">
        <v>20</v>
      </c>
      <c r="T207" s="204">
        <v>44528</v>
      </c>
      <c r="U207" s="145" t="str">
        <f t="shared" si="38"/>
        <v>2021</v>
      </c>
      <c r="V207" s="145" t="str">
        <f t="shared" si="39"/>
        <v>Nov</v>
      </c>
      <c r="W207" s="141">
        <f t="shared" ca="1" si="33"/>
        <v>270</v>
      </c>
      <c r="X207" s="157" t="s">
        <v>89</v>
      </c>
      <c r="Y207" s="157">
        <f t="shared" ca="1" si="40"/>
        <v>6480</v>
      </c>
      <c r="Z207" s="158">
        <v>194.4</v>
      </c>
      <c r="AA207" s="148">
        <v>29160</v>
      </c>
      <c r="AB207" s="148">
        <f t="shared" si="41"/>
        <v>150</v>
      </c>
      <c r="AC207" s="204">
        <v>44165</v>
      </c>
      <c r="AD207" s="146" t="str">
        <f t="shared" si="42"/>
        <v>2020</v>
      </c>
      <c r="AE207" s="150" t="str">
        <f t="shared" si="43"/>
        <v>Nov</v>
      </c>
    </row>
    <row r="208" spans="2:31" x14ac:dyDescent="0.25">
      <c r="B208" s="152">
        <v>2</v>
      </c>
      <c r="C208" s="153" t="s">
        <v>10</v>
      </c>
      <c r="D208" s="154" t="s">
        <v>11</v>
      </c>
      <c r="E208" s="157" t="s">
        <v>112</v>
      </c>
      <c r="F208" s="141">
        <v>306</v>
      </c>
      <c r="G208" s="155" t="s">
        <v>152</v>
      </c>
      <c r="H208" s="204">
        <v>44160</v>
      </c>
      <c r="I208" s="143" t="str">
        <f t="shared" si="34"/>
        <v>2020</v>
      </c>
      <c r="J208" s="143" t="str">
        <f t="shared" si="35"/>
        <v>Nov</v>
      </c>
      <c r="K208" s="204">
        <v>44175</v>
      </c>
      <c r="L208" s="157" t="s">
        <v>157</v>
      </c>
      <c r="M208" s="204">
        <v>44192</v>
      </c>
      <c r="N208" s="143" t="str">
        <f t="shared" si="36"/>
        <v>2020</v>
      </c>
      <c r="O208" s="143" t="str">
        <f t="shared" si="37"/>
        <v>Dec</v>
      </c>
      <c r="P208" s="157" t="s">
        <v>162</v>
      </c>
      <c r="Q208" s="146" t="s">
        <v>17</v>
      </c>
      <c r="R208" s="157" t="s">
        <v>19</v>
      </c>
      <c r="S208" s="141" t="s">
        <v>20</v>
      </c>
      <c r="T208" s="204">
        <v>44424</v>
      </c>
      <c r="U208" s="145" t="str">
        <f t="shared" si="38"/>
        <v>2021</v>
      </c>
      <c r="V208" s="145" t="str">
        <f t="shared" si="39"/>
        <v>Aug</v>
      </c>
      <c r="W208" s="141">
        <f t="shared" ca="1" si="33"/>
        <v>189</v>
      </c>
      <c r="X208" s="157" t="s">
        <v>90</v>
      </c>
      <c r="Y208" s="157">
        <f t="shared" ca="1" si="40"/>
        <v>4536</v>
      </c>
      <c r="Z208" s="158">
        <v>90.72</v>
      </c>
      <c r="AA208" s="148">
        <v>13608</v>
      </c>
      <c r="AB208" s="148">
        <f t="shared" si="41"/>
        <v>150</v>
      </c>
      <c r="AC208" s="204">
        <v>44178</v>
      </c>
      <c r="AD208" s="146" t="str">
        <f t="shared" si="42"/>
        <v>2020</v>
      </c>
      <c r="AE208" s="150" t="str">
        <f t="shared" si="43"/>
        <v>Dec</v>
      </c>
    </row>
    <row r="209" spans="2:31" x14ac:dyDescent="0.25">
      <c r="B209" s="152">
        <v>3</v>
      </c>
      <c r="C209" s="157" t="s">
        <v>69</v>
      </c>
      <c r="D209" s="154" t="s">
        <v>62</v>
      </c>
      <c r="E209" s="157" t="s">
        <v>113</v>
      </c>
      <c r="F209" s="141">
        <v>307</v>
      </c>
      <c r="G209" s="155" t="s">
        <v>153</v>
      </c>
      <c r="H209" s="204">
        <v>44167</v>
      </c>
      <c r="I209" s="143" t="str">
        <f t="shared" si="34"/>
        <v>2020</v>
      </c>
      <c r="J209" s="143" t="str">
        <f t="shared" si="35"/>
        <v>Dec</v>
      </c>
      <c r="K209" s="204">
        <v>44169</v>
      </c>
      <c r="L209" s="157" t="s">
        <v>157</v>
      </c>
      <c r="M209" s="204">
        <v>44211</v>
      </c>
      <c r="N209" s="143" t="str">
        <f t="shared" si="36"/>
        <v>2021</v>
      </c>
      <c r="O209" s="143" t="str">
        <f t="shared" si="37"/>
        <v>Jan</v>
      </c>
      <c r="P209" s="157" t="s">
        <v>162</v>
      </c>
      <c r="Q209" s="146" t="s">
        <v>17</v>
      </c>
      <c r="R209" s="157" t="s">
        <v>41</v>
      </c>
      <c r="S209" s="141" t="s">
        <v>20</v>
      </c>
      <c r="T209" s="204">
        <v>44689</v>
      </c>
      <c r="U209" s="145" t="str">
        <f t="shared" si="38"/>
        <v>2022</v>
      </c>
      <c r="V209" s="145" t="str">
        <f t="shared" si="39"/>
        <v>May</v>
      </c>
      <c r="W209" s="141">
        <f t="shared" ca="1" si="33"/>
        <v>373</v>
      </c>
      <c r="X209" s="157" t="s">
        <v>91</v>
      </c>
      <c r="Y209" s="157">
        <f t="shared" ca="1" si="40"/>
        <v>8952</v>
      </c>
      <c r="Z209" s="158">
        <v>89.52</v>
      </c>
      <c r="AA209" s="148">
        <v>13428</v>
      </c>
      <c r="AB209" s="148">
        <f t="shared" si="41"/>
        <v>150</v>
      </c>
      <c r="AC209" s="204">
        <v>44172</v>
      </c>
      <c r="AD209" s="146" t="str">
        <f t="shared" si="42"/>
        <v>2020</v>
      </c>
      <c r="AE209" s="150" t="str">
        <f t="shared" si="43"/>
        <v>Dec</v>
      </c>
    </row>
    <row r="210" spans="2:31" x14ac:dyDescent="0.25">
      <c r="B210" s="152">
        <v>4</v>
      </c>
      <c r="C210" s="157" t="s">
        <v>70</v>
      </c>
      <c r="D210" s="154" t="s">
        <v>63</v>
      </c>
      <c r="E210" s="157" t="s">
        <v>114</v>
      </c>
      <c r="F210" s="141">
        <v>308</v>
      </c>
      <c r="G210" s="155" t="s">
        <v>131</v>
      </c>
      <c r="H210" s="204">
        <v>44168</v>
      </c>
      <c r="I210" s="143" t="str">
        <f t="shared" si="34"/>
        <v>2020</v>
      </c>
      <c r="J210" s="143" t="str">
        <f t="shared" si="35"/>
        <v>Dec</v>
      </c>
      <c r="K210" s="204">
        <v>44180</v>
      </c>
      <c r="L210" s="157" t="s">
        <v>160</v>
      </c>
      <c r="M210" s="204">
        <v>44208</v>
      </c>
      <c r="N210" s="143" t="str">
        <f t="shared" si="36"/>
        <v>2021</v>
      </c>
      <c r="O210" s="143" t="str">
        <f t="shared" si="37"/>
        <v>Jan</v>
      </c>
      <c r="P210" s="157" t="s">
        <v>165</v>
      </c>
      <c r="Q210" s="146" t="s">
        <v>266</v>
      </c>
      <c r="R210" s="157" t="s">
        <v>42</v>
      </c>
      <c r="S210" s="141" t="s">
        <v>20</v>
      </c>
      <c r="T210" s="204">
        <v>44210</v>
      </c>
      <c r="U210" s="145" t="str">
        <f t="shared" si="38"/>
        <v>2021</v>
      </c>
      <c r="V210" s="145" t="str">
        <f t="shared" si="39"/>
        <v>Jan</v>
      </c>
      <c r="W210" s="141">
        <f t="shared" ca="1" si="33"/>
        <v>31</v>
      </c>
      <c r="X210" s="157" t="s">
        <v>92</v>
      </c>
      <c r="Y210" s="157">
        <f t="shared" ca="1" si="40"/>
        <v>744</v>
      </c>
      <c r="Z210" s="158">
        <v>22.32</v>
      </c>
      <c r="AA210" s="148">
        <v>1116</v>
      </c>
      <c r="AB210" s="148">
        <f t="shared" si="41"/>
        <v>50</v>
      </c>
      <c r="AC210" s="204">
        <v>44183</v>
      </c>
      <c r="AD210" s="146" t="str">
        <f t="shared" si="42"/>
        <v>2020</v>
      </c>
      <c r="AE210" s="150" t="str">
        <f t="shared" si="43"/>
        <v>Dec</v>
      </c>
    </row>
    <row r="211" spans="2:31" x14ac:dyDescent="0.25">
      <c r="B211" s="152">
        <v>5</v>
      </c>
      <c r="C211" s="157" t="s">
        <v>71</v>
      </c>
      <c r="D211" s="154" t="s">
        <v>64</v>
      </c>
      <c r="E211" s="157" t="s">
        <v>115</v>
      </c>
      <c r="F211" s="141">
        <v>309</v>
      </c>
      <c r="G211" s="155" t="s">
        <v>131</v>
      </c>
      <c r="H211" s="204">
        <v>44173</v>
      </c>
      <c r="I211" s="143" t="str">
        <f t="shared" si="34"/>
        <v>2020</v>
      </c>
      <c r="J211" s="143" t="str">
        <f t="shared" si="35"/>
        <v>Dec</v>
      </c>
      <c r="K211" s="204">
        <v>44187</v>
      </c>
      <c r="L211" s="157" t="s">
        <v>161</v>
      </c>
      <c r="M211" s="204">
        <v>44210</v>
      </c>
      <c r="N211" s="143" t="str">
        <f t="shared" si="36"/>
        <v>2021</v>
      </c>
      <c r="O211" s="143" t="str">
        <f t="shared" si="37"/>
        <v>Jan</v>
      </c>
      <c r="P211" s="157" t="s">
        <v>162</v>
      </c>
      <c r="Q211" s="146" t="s">
        <v>266</v>
      </c>
      <c r="R211" s="157" t="s">
        <v>43</v>
      </c>
      <c r="S211" s="141" t="s">
        <v>20</v>
      </c>
      <c r="T211" s="204">
        <v>44475</v>
      </c>
      <c r="U211" s="145" t="str">
        <f t="shared" si="38"/>
        <v>2021</v>
      </c>
      <c r="V211" s="145" t="str">
        <f t="shared" si="39"/>
        <v>Oct</v>
      </c>
      <c r="W211" s="141">
        <f t="shared" ca="1" si="33"/>
        <v>217</v>
      </c>
      <c r="X211" s="157" t="s">
        <v>93</v>
      </c>
      <c r="Y211" s="157">
        <f t="shared" ca="1" si="40"/>
        <v>5208</v>
      </c>
      <c r="Z211" s="158">
        <v>52.08</v>
      </c>
      <c r="AA211" s="148">
        <v>2604</v>
      </c>
      <c r="AB211" s="148">
        <f t="shared" si="41"/>
        <v>50</v>
      </c>
      <c r="AC211" s="204">
        <v>44190</v>
      </c>
      <c r="AD211" s="146" t="str">
        <f t="shared" si="42"/>
        <v>2020</v>
      </c>
      <c r="AE211" s="150" t="str">
        <f t="shared" si="43"/>
        <v>Dec</v>
      </c>
    </row>
    <row r="212" spans="2:31" x14ac:dyDescent="0.25">
      <c r="B212" s="152">
        <v>6</v>
      </c>
      <c r="C212" s="157" t="s">
        <v>72</v>
      </c>
      <c r="D212" s="154" t="s">
        <v>65</v>
      </c>
      <c r="E212" s="157" t="s">
        <v>116</v>
      </c>
      <c r="F212" s="141">
        <v>310</v>
      </c>
      <c r="G212" s="155" t="s">
        <v>154</v>
      </c>
      <c r="H212" s="204">
        <v>44184</v>
      </c>
      <c r="I212" s="143" t="str">
        <f t="shared" si="34"/>
        <v>2020</v>
      </c>
      <c r="J212" s="143" t="str">
        <f t="shared" si="35"/>
        <v>Dec</v>
      </c>
      <c r="K212" s="204">
        <v>44189</v>
      </c>
      <c r="L212" s="157" t="s">
        <v>159</v>
      </c>
      <c r="M212" s="204">
        <v>44228</v>
      </c>
      <c r="N212" s="143" t="str">
        <f t="shared" si="36"/>
        <v>2021</v>
      </c>
      <c r="O212" s="143" t="str">
        <f t="shared" si="37"/>
        <v>Feb</v>
      </c>
      <c r="P212" s="157" t="s">
        <v>164</v>
      </c>
      <c r="Q212" s="146" t="s">
        <v>266</v>
      </c>
      <c r="R212" s="157" t="s">
        <v>44</v>
      </c>
      <c r="S212" s="141" t="s">
        <v>20</v>
      </c>
      <c r="T212" s="204">
        <v>44487</v>
      </c>
      <c r="U212" s="145" t="str">
        <f t="shared" si="38"/>
        <v>2021</v>
      </c>
      <c r="V212" s="145" t="str">
        <f t="shared" si="39"/>
        <v>Oct</v>
      </c>
      <c r="W212" s="141">
        <f t="shared" ca="1" si="33"/>
        <v>216</v>
      </c>
      <c r="X212" s="157" t="s">
        <v>94</v>
      </c>
      <c r="Y212" s="157">
        <f t="shared" ca="1" si="40"/>
        <v>5184</v>
      </c>
      <c r="Z212" s="158">
        <v>51.84</v>
      </c>
      <c r="AA212" s="148">
        <v>2592</v>
      </c>
      <c r="AB212" s="148">
        <f t="shared" si="41"/>
        <v>50</v>
      </c>
      <c r="AC212" s="204">
        <v>44192</v>
      </c>
      <c r="AD212" s="146" t="str">
        <f t="shared" si="42"/>
        <v>2020</v>
      </c>
      <c r="AE212" s="150" t="str">
        <f t="shared" si="43"/>
        <v>Dec</v>
      </c>
    </row>
    <row r="213" spans="2:31" x14ac:dyDescent="0.25">
      <c r="B213" s="152">
        <v>7</v>
      </c>
      <c r="C213" s="157" t="s">
        <v>73</v>
      </c>
      <c r="D213" s="154" t="s">
        <v>66</v>
      </c>
      <c r="E213" s="157" t="s">
        <v>117</v>
      </c>
      <c r="F213" s="141">
        <v>311</v>
      </c>
      <c r="G213" s="155" t="s">
        <v>155</v>
      </c>
      <c r="H213" s="204">
        <v>44184</v>
      </c>
      <c r="I213" s="143" t="str">
        <f t="shared" si="34"/>
        <v>2020</v>
      </c>
      <c r="J213" s="143" t="str">
        <f t="shared" si="35"/>
        <v>Dec</v>
      </c>
      <c r="K213" s="204">
        <v>44186</v>
      </c>
      <c r="L213" s="157" t="s">
        <v>156</v>
      </c>
      <c r="M213" s="204">
        <v>44219</v>
      </c>
      <c r="N213" s="143" t="str">
        <f t="shared" si="36"/>
        <v>2021</v>
      </c>
      <c r="O213" s="143" t="str">
        <f t="shared" si="37"/>
        <v>Jan</v>
      </c>
      <c r="P213" s="157" t="s">
        <v>164</v>
      </c>
      <c r="Q213" s="146" t="s">
        <v>266</v>
      </c>
      <c r="R213" s="157" t="s">
        <v>45</v>
      </c>
      <c r="S213" s="141" t="s">
        <v>20</v>
      </c>
      <c r="T213" s="204">
        <v>44650</v>
      </c>
      <c r="U213" s="145" t="str">
        <f t="shared" si="38"/>
        <v>2022</v>
      </c>
      <c r="V213" s="145" t="str">
        <f t="shared" si="39"/>
        <v>Mar</v>
      </c>
      <c r="W213" s="141">
        <f t="shared" ca="1" si="33"/>
        <v>333</v>
      </c>
      <c r="X213" s="157" t="s">
        <v>95</v>
      </c>
      <c r="Y213" s="157">
        <f t="shared" ca="1" si="40"/>
        <v>7992</v>
      </c>
      <c r="Z213" s="158">
        <v>79.92</v>
      </c>
      <c r="AA213" s="148">
        <v>3996</v>
      </c>
      <c r="AB213" s="148">
        <f t="shared" si="41"/>
        <v>50</v>
      </c>
      <c r="AC213" s="204">
        <v>44189</v>
      </c>
      <c r="AD213" s="146" t="str">
        <f t="shared" si="42"/>
        <v>2020</v>
      </c>
      <c r="AE213" s="150" t="str">
        <f t="shared" si="43"/>
        <v>Dec</v>
      </c>
    </row>
    <row r="214" spans="2:31" x14ac:dyDescent="0.25">
      <c r="B214" s="152">
        <v>8</v>
      </c>
      <c r="C214" s="157" t="s">
        <v>74</v>
      </c>
      <c r="D214" s="154" t="s">
        <v>67</v>
      </c>
      <c r="E214" s="157" t="s">
        <v>118</v>
      </c>
      <c r="F214" s="141">
        <v>312</v>
      </c>
      <c r="G214" s="154" t="s">
        <v>119</v>
      </c>
      <c r="H214" s="204">
        <v>44186</v>
      </c>
      <c r="I214" s="143" t="str">
        <f t="shared" si="34"/>
        <v>2020</v>
      </c>
      <c r="J214" s="143" t="str">
        <f t="shared" si="35"/>
        <v>Dec</v>
      </c>
      <c r="K214" s="204">
        <v>44187</v>
      </c>
      <c r="L214" s="157" t="s">
        <v>157</v>
      </c>
      <c r="M214" s="204">
        <v>44227</v>
      </c>
      <c r="N214" s="143" t="str">
        <f t="shared" si="36"/>
        <v>2021</v>
      </c>
      <c r="O214" s="143" t="str">
        <f t="shared" si="37"/>
        <v>Jan</v>
      </c>
      <c r="P214" s="157" t="s">
        <v>165</v>
      </c>
      <c r="Q214" s="146" t="s">
        <v>17</v>
      </c>
      <c r="R214" s="157" t="s">
        <v>46</v>
      </c>
      <c r="S214" s="141" t="s">
        <v>20</v>
      </c>
      <c r="T214" s="204">
        <v>44402</v>
      </c>
      <c r="U214" s="145" t="str">
        <f t="shared" si="38"/>
        <v>2021</v>
      </c>
      <c r="V214" s="145" t="str">
        <f t="shared" si="39"/>
        <v>Jul</v>
      </c>
      <c r="W214" s="141">
        <f t="shared" ca="1" si="33"/>
        <v>155</v>
      </c>
      <c r="X214" s="157" t="s">
        <v>96</v>
      </c>
      <c r="Y214" s="157">
        <f t="shared" ca="1" si="40"/>
        <v>3720</v>
      </c>
      <c r="Z214" s="158">
        <v>74.400000000000006</v>
      </c>
      <c r="AA214" s="148">
        <v>11160</v>
      </c>
      <c r="AB214" s="148">
        <f t="shared" si="41"/>
        <v>150</v>
      </c>
      <c r="AC214" s="204">
        <v>44190</v>
      </c>
      <c r="AD214" s="146" t="str">
        <f t="shared" si="42"/>
        <v>2020</v>
      </c>
      <c r="AE214" s="150" t="str">
        <f t="shared" si="43"/>
        <v>Dec</v>
      </c>
    </row>
    <row r="215" spans="2:31" x14ac:dyDescent="0.25">
      <c r="B215" s="152">
        <v>9</v>
      </c>
      <c r="C215" s="157" t="s">
        <v>75</v>
      </c>
      <c r="D215" s="154" t="s">
        <v>68</v>
      </c>
      <c r="E215" s="157" t="s">
        <v>115</v>
      </c>
      <c r="F215" s="141">
        <v>313</v>
      </c>
      <c r="G215" s="155" t="s">
        <v>131</v>
      </c>
      <c r="H215" s="204">
        <v>44189</v>
      </c>
      <c r="I215" s="143" t="str">
        <f t="shared" si="34"/>
        <v>2020</v>
      </c>
      <c r="J215" s="143" t="str">
        <f t="shared" si="35"/>
        <v>Dec</v>
      </c>
      <c r="K215" s="204">
        <v>44192</v>
      </c>
      <c r="L215" s="157" t="s">
        <v>159</v>
      </c>
      <c r="M215" s="204">
        <v>44232</v>
      </c>
      <c r="N215" s="143" t="str">
        <f t="shared" si="36"/>
        <v>2021</v>
      </c>
      <c r="O215" s="143" t="str">
        <f t="shared" si="37"/>
        <v>Feb</v>
      </c>
      <c r="P215" s="157" t="s">
        <v>162</v>
      </c>
      <c r="Q215" s="146" t="s">
        <v>266</v>
      </c>
      <c r="R215" s="157" t="s">
        <v>47</v>
      </c>
      <c r="S215" s="141" t="s">
        <v>20</v>
      </c>
      <c r="T215" s="204">
        <v>44638</v>
      </c>
      <c r="U215" s="145" t="str">
        <f t="shared" si="38"/>
        <v>2022</v>
      </c>
      <c r="V215" s="145" t="str">
        <f t="shared" si="39"/>
        <v>Mar</v>
      </c>
      <c r="W215" s="141">
        <f t="shared" ca="1" si="33"/>
        <v>322</v>
      </c>
      <c r="X215" s="157" t="s">
        <v>97</v>
      </c>
      <c r="Y215" s="157">
        <f t="shared" ca="1" si="40"/>
        <v>7728</v>
      </c>
      <c r="Z215" s="158">
        <v>77.28</v>
      </c>
      <c r="AA215" s="148">
        <v>3864</v>
      </c>
      <c r="AB215" s="148">
        <f t="shared" si="41"/>
        <v>50</v>
      </c>
      <c r="AC215" s="204">
        <v>44195</v>
      </c>
      <c r="AD215" s="146" t="str">
        <f t="shared" si="42"/>
        <v>2020</v>
      </c>
      <c r="AE215" s="150" t="str">
        <f t="shared" si="43"/>
        <v>Dec</v>
      </c>
    </row>
    <row r="216" spans="2:31" x14ac:dyDescent="0.25">
      <c r="B216" s="152">
        <v>10</v>
      </c>
      <c r="C216" s="157" t="s">
        <v>76</v>
      </c>
      <c r="D216" s="154" t="s">
        <v>55</v>
      </c>
      <c r="E216" s="157" t="s">
        <v>116</v>
      </c>
      <c r="F216" s="141">
        <v>314</v>
      </c>
      <c r="G216" s="155" t="s">
        <v>132</v>
      </c>
      <c r="H216" s="204">
        <v>44190</v>
      </c>
      <c r="I216" s="143" t="str">
        <f t="shared" si="34"/>
        <v>2020</v>
      </c>
      <c r="J216" s="143" t="str">
        <f t="shared" si="35"/>
        <v>Dec</v>
      </c>
      <c r="K216" s="204">
        <v>44195</v>
      </c>
      <c r="L216" s="157" t="s">
        <v>160</v>
      </c>
      <c r="M216" s="204">
        <v>44227</v>
      </c>
      <c r="N216" s="143" t="str">
        <f t="shared" si="36"/>
        <v>2021</v>
      </c>
      <c r="O216" s="143" t="str">
        <f t="shared" si="37"/>
        <v>Jan</v>
      </c>
      <c r="P216" s="157" t="s">
        <v>164</v>
      </c>
      <c r="Q216" s="146" t="s">
        <v>17</v>
      </c>
      <c r="R216" s="157" t="s">
        <v>48</v>
      </c>
      <c r="S216" s="141" t="s">
        <v>20</v>
      </c>
      <c r="T216" s="204">
        <v>44718</v>
      </c>
      <c r="U216" s="145" t="str">
        <f t="shared" si="38"/>
        <v>2022</v>
      </c>
      <c r="V216" s="145" t="str">
        <f t="shared" si="39"/>
        <v>Jun</v>
      </c>
      <c r="W216" s="141">
        <f t="shared" ca="1" si="33"/>
        <v>377</v>
      </c>
      <c r="X216" s="157" t="s">
        <v>98</v>
      </c>
      <c r="Y216" s="157">
        <f t="shared" ca="1" si="40"/>
        <v>9048</v>
      </c>
      <c r="Z216" s="158">
        <v>180.96</v>
      </c>
      <c r="AA216" s="148">
        <v>27144</v>
      </c>
      <c r="AB216" s="148">
        <f t="shared" si="41"/>
        <v>150</v>
      </c>
      <c r="AC216" s="204">
        <v>44198</v>
      </c>
      <c r="AD216" s="146" t="str">
        <f t="shared" si="42"/>
        <v>2021</v>
      </c>
      <c r="AE216" s="150" t="str">
        <f t="shared" si="43"/>
        <v>Jan</v>
      </c>
    </row>
    <row r="217" spans="2:31" x14ac:dyDescent="0.25">
      <c r="B217" s="152">
        <v>11</v>
      </c>
      <c r="C217" s="157" t="s">
        <v>77</v>
      </c>
      <c r="D217" s="154" t="s">
        <v>56</v>
      </c>
      <c r="E217" s="157" t="s">
        <v>117</v>
      </c>
      <c r="F217" s="141">
        <v>315</v>
      </c>
      <c r="G217" s="155" t="s">
        <v>132</v>
      </c>
      <c r="H217" s="204">
        <v>44193</v>
      </c>
      <c r="I217" s="143" t="str">
        <f t="shared" si="34"/>
        <v>2020</v>
      </c>
      <c r="J217" s="143" t="str">
        <f t="shared" si="35"/>
        <v>Dec</v>
      </c>
      <c r="K217" s="204">
        <v>44208</v>
      </c>
      <c r="L217" s="157" t="s">
        <v>161</v>
      </c>
      <c r="M217" s="204">
        <v>44233</v>
      </c>
      <c r="N217" s="143" t="str">
        <f t="shared" si="36"/>
        <v>2021</v>
      </c>
      <c r="O217" s="143" t="str">
        <f t="shared" si="37"/>
        <v>Feb</v>
      </c>
      <c r="P217" s="157" t="s">
        <v>165</v>
      </c>
      <c r="Q217" s="146" t="s">
        <v>17</v>
      </c>
      <c r="R217" s="157" t="s">
        <v>49</v>
      </c>
      <c r="S217" s="141" t="s">
        <v>20</v>
      </c>
      <c r="T217" s="204">
        <v>44578</v>
      </c>
      <c r="U217" s="145" t="str">
        <f t="shared" si="38"/>
        <v>2022</v>
      </c>
      <c r="V217" s="145" t="str">
        <f t="shared" si="39"/>
        <v>Jan</v>
      </c>
      <c r="W217" s="141">
        <f t="shared" ca="1" si="33"/>
        <v>276</v>
      </c>
      <c r="X217" s="157" t="s">
        <v>99</v>
      </c>
      <c r="Y217" s="157">
        <f t="shared" ca="1" si="40"/>
        <v>6624</v>
      </c>
      <c r="Z217" s="158">
        <v>198.72</v>
      </c>
      <c r="AA217" s="148">
        <v>29808</v>
      </c>
      <c r="AB217" s="148">
        <f t="shared" si="41"/>
        <v>150</v>
      </c>
      <c r="AC217" s="204">
        <v>44211</v>
      </c>
      <c r="AD217" s="146" t="str">
        <f t="shared" si="42"/>
        <v>2021</v>
      </c>
      <c r="AE217" s="150" t="str">
        <f t="shared" si="43"/>
        <v>Jan</v>
      </c>
    </row>
    <row r="218" spans="2:31" x14ac:dyDescent="0.25">
      <c r="B218" s="152">
        <v>12</v>
      </c>
      <c r="C218" s="157" t="s">
        <v>78</v>
      </c>
      <c r="D218" s="154" t="s">
        <v>57</v>
      </c>
      <c r="E218" s="157" t="s">
        <v>118</v>
      </c>
      <c r="F218" s="141">
        <v>316</v>
      </c>
      <c r="G218" s="155" t="s">
        <v>120</v>
      </c>
      <c r="H218" s="204">
        <v>44195</v>
      </c>
      <c r="I218" s="143" t="str">
        <f t="shared" si="34"/>
        <v>2020</v>
      </c>
      <c r="J218" s="143" t="str">
        <f t="shared" si="35"/>
        <v>Dec</v>
      </c>
      <c r="K218" s="204">
        <v>44197</v>
      </c>
      <c r="L218" s="157" t="s">
        <v>156</v>
      </c>
      <c r="M218" s="204">
        <v>44249</v>
      </c>
      <c r="N218" s="143" t="str">
        <f t="shared" si="36"/>
        <v>2021</v>
      </c>
      <c r="O218" s="143" t="str">
        <f t="shared" si="37"/>
        <v>Feb</v>
      </c>
      <c r="P218" s="157" t="s">
        <v>164</v>
      </c>
      <c r="Q218" s="146" t="s">
        <v>17</v>
      </c>
      <c r="R218" s="157" t="s">
        <v>50</v>
      </c>
      <c r="S218" s="141" t="s">
        <v>20</v>
      </c>
      <c r="T218" s="204">
        <v>44889</v>
      </c>
      <c r="U218" s="145" t="str">
        <f t="shared" si="38"/>
        <v>2022</v>
      </c>
      <c r="V218" s="145" t="str">
        <f t="shared" si="39"/>
        <v>Nov</v>
      </c>
      <c r="W218" s="141">
        <f t="shared" ca="1" si="33"/>
        <v>497</v>
      </c>
      <c r="X218" s="157" t="s">
        <v>100</v>
      </c>
      <c r="Y218" s="157">
        <f t="shared" ca="1" si="40"/>
        <v>11928</v>
      </c>
      <c r="Z218" s="158">
        <v>119.28</v>
      </c>
      <c r="AA218" s="148">
        <v>17892</v>
      </c>
      <c r="AB218" s="148">
        <f t="shared" si="41"/>
        <v>150</v>
      </c>
      <c r="AC218" s="204">
        <v>44200</v>
      </c>
      <c r="AD218" s="146" t="str">
        <f t="shared" si="42"/>
        <v>2021</v>
      </c>
      <c r="AE218" s="150" t="str">
        <f t="shared" si="43"/>
        <v>Jan</v>
      </c>
    </row>
    <row r="219" spans="2:31" x14ac:dyDescent="0.25">
      <c r="B219" s="152">
        <v>13</v>
      </c>
      <c r="C219" s="157" t="s">
        <v>79</v>
      </c>
      <c r="D219" s="154" t="s">
        <v>58</v>
      </c>
      <c r="E219" s="157" t="s">
        <v>111</v>
      </c>
      <c r="F219" s="141">
        <v>317</v>
      </c>
      <c r="G219" s="155" t="s">
        <v>121</v>
      </c>
      <c r="H219" s="204">
        <v>44196</v>
      </c>
      <c r="I219" s="143" t="str">
        <f t="shared" si="34"/>
        <v>2020</v>
      </c>
      <c r="J219" s="143" t="str">
        <f t="shared" si="35"/>
        <v>Dec</v>
      </c>
      <c r="K219" s="204">
        <v>44207</v>
      </c>
      <c r="L219" s="157" t="s">
        <v>159</v>
      </c>
      <c r="M219" s="204">
        <v>44233</v>
      </c>
      <c r="N219" s="143" t="str">
        <f t="shared" si="36"/>
        <v>2021</v>
      </c>
      <c r="O219" s="143" t="str">
        <f t="shared" si="37"/>
        <v>Feb</v>
      </c>
      <c r="P219" s="157" t="s">
        <v>164</v>
      </c>
      <c r="Q219" s="146" t="s">
        <v>264</v>
      </c>
      <c r="R219" s="157" t="s">
        <v>51</v>
      </c>
      <c r="S219" s="141" t="s">
        <v>20</v>
      </c>
      <c r="T219" s="204">
        <v>44731</v>
      </c>
      <c r="U219" s="145" t="str">
        <f t="shared" si="38"/>
        <v>2022</v>
      </c>
      <c r="V219" s="145" t="str">
        <f t="shared" si="39"/>
        <v>Jun</v>
      </c>
      <c r="W219" s="141">
        <f t="shared" ca="1" si="33"/>
        <v>382</v>
      </c>
      <c r="X219" s="157" t="s">
        <v>101</v>
      </c>
      <c r="Y219" s="157">
        <f t="shared" ca="1" si="40"/>
        <v>9168</v>
      </c>
      <c r="Z219" s="158">
        <v>275.03999999999996</v>
      </c>
      <c r="AA219" s="148">
        <v>8251.1999999999989</v>
      </c>
      <c r="AB219" s="148">
        <f t="shared" si="41"/>
        <v>30</v>
      </c>
      <c r="AC219" s="204">
        <v>44210</v>
      </c>
      <c r="AD219" s="146" t="str">
        <f t="shared" si="42"/>
        <v>2021</v>
      </c>
      <c r="AE219" s="150" t="str">
        <f t="shared" si="43"/>
        <v>Jan</v>
      </c>
    </row>
    <row r="220" spans="2:31" x14ac:dyDescent="0.25">
      <c r="B220" s="152">
        <v>10</v>
      </c>
      <c r="C220" s="157" t="s">
        <v>76</v>
      </c>
      <c r="D220" s="154" t="s">
        <v>55</v>
      </c>
      <c r="E220" s="157" t="s">
        <v>116</v>
      </c>
      <c r="F220" s="141">
        <v>318</v>
      </c>
      <c r="G220" s="155" t="s">
        <v>122</v>
      </c>
      <c r="H220" s="204">
        <v>44200</v>
      </c>
      <c r="I220" s="143" t="str">
        <f t="shared" si="34"/>
        <v>2021</v>
      </c>
      <c r="J220" s="143" t="str">
        <f t="shared" si="35"/>
        <v>Jan</v>
      </c>
      <c r="K220" s="204">
        <v>44202</v>
      </c>
      <c r="L220" s="157" t="s">
        <v>158</v>
      </c>
      <c r="M220" s="204">
        <v>44247</v>
      </c>
      <c r="N220" s="143" t="str">
        <f t="shared" si="36"/>
        <v>2021</v>
      </c>
      <c r="O220" s="143" t="str">
        <f t="shared" si="37"/>
        <v>Feb</v>
      </c>
      <c r="P220" s="157" t="s">
        <v>165</v>
      </c>
      <c r="Q220" s="146" t="s">
        <v>265</v>
      </c>
      <c r="R220" s="157" t="s">
        <v>48</v>
      </c>
      <c r="S220" s="141" t="s">
        <v>20</v>
      </c>
      <c r="T220" s="204">
        <v>44398</v>
      </c>
      <c r="U220" s="145" t="str">
        <f t="shared" si="38"/>
        <v>2021</v>
      </c>
      <c r="V220" s="145" t="str">
        <f t="shared" si="39"/>
        <v>Jul</v>
      </c>
      <c r="W220" s="141">
        <f t="shared" ca="1" si="33"/>
        <v>143</v>
      </c>
      <c r="X220" s="157" t="s">
        <v>98</v>
      </c>
      <c r="Y220" s="157">
        <f t="shared" ca="1" si="40"/>
        <v>3432</v>
      </c>
      <c r="Z220" s="158">
        <v>34.32</v>
      </c>
      <c r="AA220" s="148">
        <v>3432</v>
      </c>
      <c r="AB220" s="148">
        <f t="shared" si="41"/>
        <v>100</v>
      </c>
      <c r="AC220" s="204">
        <v>44205</v>
      </c>
      <c r="AD220" s="146" t="str">
        <f t="shared" si="42"/>
        <v>2021</v>
      </c>
      <c r="AE220" s="150" t="str">
        <f t="shared" si="43"/>
        <v>Jan</v>
      </c>
    </row>
    <row r="221" spans="2:31" x14ac:dyDescent="0.25">
      <c r="B221" s="152">
        <v>11</v>
      </c>
      <c r="C221" s="157" t="s">
        <v>77</v>
      </c>
      <c r="D221" s="154" t="s">
        <v>56</v>
      </c>
      <c r="E221" s="157" t="s">
        <v>117</v>
      </c>
      <c r="F221" s="141">
        <v>319</v>
      </c>
      <c r="G221" s="155" t="s">
        <v>123</v>
      </c>
      <c r="H221" s="204">
        <v>44204</v>
      </c>
      <c r="I221" s="143" t="str">
        <f t="shared" si="34"/>
        <v>2021</v>
      </c>
      <c r="J221" s="143" t="str">
        <f t="shared" si="35"/>
        <v>Jan</v>
      </c>
      <c r="K221" s="204">
        <v>44210</v>
      </c>
      <c r="L221" s="157" t="s">
        <v>161</v>
      </c>
      <c r="M221" s="204">
        <v>44258</v>
      </c>
      <c r="N221" s="143" t="str">
        <f t="shared" si="36"/>
        <v>2021</v>
      </c>
      <c r="O221" s="143" t="str">
        <f t="shared" si="37"/>
        <v>Mar</v>
      </c>
      <c r="P221" s="157" t="s">
        <v>164</v>
      </c>
      <c r="Q221" s="146" t="s">
        <v>266</v>
      </c>
      <c r="R221" s="157" t="s">
        <v>49</v>
      </c>
      <c r="S221" s="141" t="s">
        <v>20</v>
      </c>
      <c r="T221" s="204">
        <v>44362</v>
      </c>
      <c r="U221" s="145" t="str">
        <f t="shared" si="38"/>
        <v>2021</v>
      </c>
      <c r="V221" s="145" t="str">
        <f t="shared" si="39"/>
        <v>Jun</v>
      </c>
      <c r="W221" s="141">
        <f t="shared" ca="1" si="33"/>
        <v>113</v>
      </c>
      <c r="X221" s="157" t="s">
        <v>99</v>
      </c>
      <c r="Y221" s="157">
        <f t="shared" ca="1" si="40"/>
        <v>2712</v>
      </c>
      <c r="Z221" s="158">
        <v>81.36</v>
      </c>
      <c r="AA221" s="148">
        <v>4068</v>
      </c>
      <c r="AB221" s="148">
        <f t="shared" si="41"/>
        <v>50</v>
      </c>
      <c r="AC221" s="204">
        <v>44213</v>
      </c>
      <c r="AD221" s="146" t="str">
        <f t="shared" si="42"/>
        <v>2021</v>
      </c>
      <c r="AE221" s="150" t="str">
        <f t="shared" si="43"/>
        <v>Jan</v>
      </c>
    </row>
    <row r="222" spans="2:31" x14ac:dyDescent="0.25">
      <c r="B222" s="152">
        <v>12</v>
      </c>
      <c r="C222" s="157" t="s">
        <v>78</v>
      </c>
      <c r="D222" s="154" t="s">
        <v>57</v>
      </c>
      <c r="E222" s="157" t="s">
        <v>118</v>
      </c>
      <c r="F222" s="141">
        <v>320</v>
      </c>
      <c r="G222" s="155" t="s">
        <v>132</v>
      </c>
      <c r="H222" s="204">
        <v>44213</v>
      </c>
      <c r="I222" s="143" t="str">
        <f t="shared" si="34"/>
        <v>2021</v>
      </c>
      <c r="J222" s="143" t="str">
        <f t="shared" si="35"/>
        <v>Jan</v>
      </c>
      <c r="K222" s="204">
        <v>44215</v>
      </c>
      <c r="L222" s="157" t="s">
        <v>159</v>
      </c>
      <c r="M222" s="204">
        <v>44260</v>
      </c>
      <c r="N222" s="143" t="str">
        <f t="shared" si="36"/>
        <v>2021</v>
      </c>
      <c r="O222" s="143" t="str">
        <f t="shared" si="37"/>
        <v>Mar</v>
      </c>
      <c r="P222" s="157" t="s">
        <v>164</v>
      </c>
      <c r="Q222" s="146" t="s">
        <v>17</v>
      </c>
      <c r="R222" s="157" t="s">
        <v>50</v>
      </c>
      <c r="S222" s="141" t="s">
        <v>20</v>
      </c>
      <c r="T222" s="204">
        <v>44706</v>
      </c>
      <c r="U222" s="145" t="str">
        <f t="shared" si="38"/>
        <v>2022</v>
      </c>
      <c r="V222" s="145" t="str">
        <f t="shared" si="39"/>
        <v>May</v>
      </c>
      <c r="W222" s="141">
        <f t="shared" ca="1" si="33"/>
        <v>353</v>
      </c>
      <c r="X222" s="157" t="s">
        <v>100</v>
      </c>
      <c r="Y222" s="157">
        <f t="shared" ca="1" si="40"/>
        <v>8472</v>
      </c>
      <c r="Z222" s="158">
        <v>254.16</v>
      </c>
      <c r="AA222" s="148">
        <v>38124</v>
      </c>
      <c r="AB222" s="148">
        <f t="shared" si="41"/>
        <v>150</v>
      </c>
      <c r="AC222" s="204">
        <v>44218</v>
      </c>
      <c r="AD222" s="146" t="str">
        <f t="shared" si="42"/>
        <v>2021</v>
      </c>
      <c r="AE222" s="150" t="str">
        <f t="shared" si="43"/>
        <v>Jan</v>
      </c>
    </row>
    <row r="223" spans="2:31" x14ac:dyDescent="0.25">
      <c r="B223" s="152">
        <v>13</v>
      </c>
      <c r="C223" s="157" t="s">
        <v>79</v>
      </c>
      <c r="D223" s="154" t="s">
        <v>58</v>
      </c>
      <c r="E223" s="157" t="s">
        <v>111</v>
      </c>
      <c r="F223" s="141">
        <v>321</v>
      </c>
      <c r="G223" s="155" t="s">
        <v>124</v>
      </c>
      <c r="H223" s="204">
        <v>44213</v>
      </c>
      <c r="I223" s="143" t="str">
        <f t="shared" si="34"/>
        <v>2021</v>
      </c>
      <c r="J223" s="143" t="str">
        <f t="shared" si="35"/>
        <v>Jan</v>
      </c>
      <c r="K223" s="204">
        <v>44220</v>
      </c>
      <c r="L223" s="157" t="s">
        <v>161</v>
      </c>
      <c r="M223" s="204">
        <v>44255</v>
      </c>
      <c r="N223" s="143" t="str">
        <f t="shared" si="36"/>
        <v>2021</v>
      </c>
      <c r="O223" s="143" t="str">
        <f t="shared" si="37"/>
        <v>Feb</v>
      </c>
      <c r="P223" s="157" t="s">
        <v>164</v>
      </c>
      <c r="Q223" s="146" t="s">
        <v>17</v>
      </c>
      <c r="R223" s="157" t="s">
        <v>51</v>
      </c>
      <c r="S223" s="141" t="s">
        <v>20</v>
      </c>
      <c r="T223" s="204">
        <v>44683</v>
      </c>
      <c r="U223" s="145" t="str">
        <f t="shared" si="38"/>
        <v>2022</v>
      </c>
      <c r="V223" s="145" t="str">
        <f t="shared" si="39"/>
        <v>May</v>
      </c>
      <c r="W223" s="141">
        <f t="shared" ca="1" si="33"/>
        <v>336</v>
      </c>
      <c r="X223" s="157" t="s">
        <v>101</v>
      </c>
      <c r="Y223" s="157">
        <f t="shared" ca="1" si="40"/>
        <v>8064</v>
      </c>
      <c r="Z223" s="158">
        <v>161.28</v>
      </c>
      <c r="AA223" s="148">
        <v>24192</v>
      </c>
      <c r="AB223" s="148">
        <f t="shared" si="41"/>
        <v>150</v>
      </c>
      <c r="AC223" s="204">
        <v>44223</v>
      </c>
      <c r="AD223" s="146" t="str">
        <f t="shared" si="42"/>
        <v>2021</v>
      </c>
      <c r="AE223" s="150" t="str">
        <f t="shared" si="43"/>
        <v>Jan</v>
      </c>
    </row>
    <row r="224" spans="2:31" x14ac:dyDescent="0.25">
      <c r="B224" s="152">
        <v>14</v>
      </c>
      <c r="C224" s="157" t="s">
        <v>80</v>
      </c>
      <c r="D224" s="154" t="s">
        <v>59</v>
      </c>
      <c r="E224" s="157" t="s">
        <v>112</v>
      </c>
      <c r="F224" s="141">
        <v>322</v>
      </c>
      <c r="G224" s="155" t="s">
        <v>133</v>
      </c>
      <c r="H224" s="204">
        <v>44215</v>
      </c>
      <c r="I224" s="143" t="str">
        <f t="shared" si="34"/>
        <v>2021</v>
      </c>
      <c r="J224" s="143" t="str">
        <f t="shared" si="35"/>
        <v>Jan</v>
      </c>
      <c r="K224" s="204">
        <v>44218</v>
      </c>
      <c r="L224" s="157" t="s">
        <v>158</v>
      </c>
      <c r="M224" s="204">
        <v>44255</v>
      </c>
      <c r="N224" s="143" t="str">
        <f t="shared" si="36"/>
        <v>2021</v>
      </c>
      <c r="O224" s="143" t="str">
        <f t="shared" si="37"/>
        <v>Feb</v>
      </c>
      <c r="P224" s="157" t="s">
        <v>162</v>
      </c>
      <c r="Q224" s="146" t="s">
        <v>268</v>
      </c>
      <c r="R224" s="157" t="s">
        <v>52</v>
      </c>
      <c r="S224" s="141" t="s">
        <v>20</v>
      </c>
      <c r="T224" s="204">
        <v>44310</v>
      </c>
      <c r="U224" s="145" t="str">
        <f t="shared" si="38"/>
        <v>2021</v>
      </c>
      <c r="V224" s="145" t="str">
        <f t="shared" si="39"/>
        <v>Apr</v>
      </c>
      <c r="W224" s="141">
        <f t="shared" ca="1" si="33"/>
        <v>69</v>
      </c>
      <c r="X224" s="157" t="s">
        <v>102</v>
      </c>
      <c r="Y224" s="157">
        <f t="shared" ca="1" si="40"/>
        <v>1656</v>
      </c>
      <c r="Z224" s="158">
        <v>49.68</v>
      </c>
      <c r="AA224" s="148">
        <v>5961.6</v>
      </c>
      <c r="AB224" s="148">
        <f t="shared" si="41"/>
        <v>120.00000000000001</v>
      </c>
      <c r="AC224" s="204">
        <v>44221</v>
      </c>
      <c r="AD224" s="146" t="str">
        <f t="shared" si="42"/>
        <v>2021</v>
      </c>
      <c r="AE224" s="150" t="str">
        <f t="shared" si="43"/>
        <v>Jan</v>
      </c>
    </row>
    <row r="225" spans="2:31" x14ac:dyDescent="0.25">
      <c r="B225" s="152">
        <v>15</v>
      </c>
      <c r="C225" s="157" t="s">
        <v>81</v>
      </c>
      <c r="D225" s="154" t="s">
        <v>60</v>
      </c>
      <c r="E225" s="157" t="s">
        <v>113</v>
      </c>
      <c r="F225" s="141">
        <v>323</v>
      </c>
      <c r="G225" s="155" t="s">
        <v>125</v>
      </c>
      <c r="H225" s="204">
        <v>44221</v>
      </c>
      <c r="I225" s="143" t="str">
        <f t="shared" si="34"/>
        <v>2021</v>
      </c>
      <c r="J225" s="143" t="str">
        <f t="shared" si="35"/>
        <v>Jan</v>
      </c>
      <c r="K225" s="204">
        <v>44224</v>
      </c>
      <c r="L225" s="157" t="s">
        <v>159</v>
      </c>
      <c r="M225" s="204">
        <v>44264</v>
      </c>
      <c r="N225" s="143" t="str">
        <f t="shared" si="36"/>
        <v>2021</v>
      </c>
      <c r="O225" s="143" t="str">
        <f t="shared" si="37"/>
        <v>Mar</v>
      </c>
      <c r="P225" s="157" t="s">
        <v>162</v>
      </c>
      <c r="Q225" s="146" t="s">
        <v>17</v>
      </c>
      <c r="R225" s="157" t="s">
        <v>53</v>
      </c>
      <c r="S225" s="141" t="s">
        <v>20</v>
      </c>
      <c r="T225" s="204">
        <v>44649</v>
      </c>
      <c r="U225" s="145" t="str">
        <f t="shared" si="38"/>
        <v>2022</v>
      </c>
      <c r="V225" s="145" t="str">
        <f t="shared" si="39"/>
        <v>Mar</v>
      </c>
      <c r="W225" s="141">
        <f t="shared" ca="1" si="33"/>
        <v>307</v>
      </c>
      <c r="X225" s="157" t="s">
        <v>103</v>
      </c>
      <c r="Y225" s="157">
        <f t="shared" ca="1" si="40"/>
        <v>7368</v>
      </c>
      <c r="Z225" s="158">
        <v>147.36000000000001</v>
      </c>
      <c r="AA225" s="148">
        <v>22104.000000000004</v>
      </c>
      <c r="AB225" s="148">
        <f t="shared" si="41"/>
        <v>150</v>
      </c>
      <c r="AC225" s="204">
        <v>44227</v>
      </c>
      <c r="AD225" s="146" t="str">
        <f t="shared" si="42"/>
        <v>2021</v>
      </c>
      <c r="AE225" s="150" t="str">
        <f t="shared" si="43"/>
        <v>Jan</v>
      </c>
    </row>
    <row r="226" spans="2:31" x14ac:dyDescent="0.25">
      <c r="B226" s="152">
        <v>16</v>
      </c>
      <c r="C226" s="157" t="s">
        <v>82</v>
      </c>
      <c r="D226" s="154" t="s">
        <v>61</v>
      </c>
      <c r="E226" s="157" t="s">
        <v>114</v>
      </c>
      <c r="F226" s="141">
        <v>324</v>
      </c>
      <c r="G226" s="155" t="s">
        <v>126</v>
      </c>
      <c r="H226" s="204">
        <v>44222</v>
      </c>
      <c r="I226" s="143" t="str">
        <f t="shared" si="34"/>
        <v>2021</v>
      </c>
      <c r="J226" s="143" t="str">
        <f t="shared" si="35"/>
        <v>Jan</v>
      </c>
      <c r="K226" s="204">
        <v>44233</v>
      </c>
      <c r="L226" s="157" t="s">
        <v>157</v>
      </c>
      <c r="M226" s="204">
        <v>44258</v>
      </c>
      <c r="N226" s="143" t="str">
        <f t="shared" si="36"/>
        <v>2021</v>
      </c>
      <c r="O226" s="143" t="str">
        <f t="shared" si="37"/>
        <v>Mar</v>
      </c>
      <c r="P226" s="157" t="s">
        <v>165</v>
      </c>
      <c r="Q226" s="146" t="s">
        <v>17</v>
      </c>
      <c r="R226" s="157" t="s">
        <v>54</v>
      </c>
      <c r="S226" s="141" t="s">
        <v>20</v>
      </c>
      <c r="T226" s="204">
        <v>44318</v>
      </c>
      <c r="U226" s="145" t="str">
        <f t="shared" si="38"/>
        <v>2021</v>
      </c>
      <c r="V226" s="145" t="str">
        <f t="shared" si="39"/>
        <v>May</v>
      </c>
      <c r="W226" s="141">
        <f t="shared" ca="1" si="33"/>
        <v>69</v>
      </c>
      <c r="X226" s="157" t="s">
        <v>104</v>
      </c>
      <c r="Y226" s="157">
        <f t="shared" ca="1" si="40"/>
        <v>1656</v>
      </c>
      <c r="Z226" s="158">
        <v>16.559999999999999</v>
      </c>
      <c r="AA226" s="148">
        <v>2484</v>
      </c>
      <c r="AB226" s="148">
        <f t="shared" si="41"/>
        <v>150</v>
      </c>
      <c r="AC226" s="204">
        <v>44236</v>
      </c>
      <c r="AD226" s="146" t="str">
        <f t="shared" si="42"/>
        <v>2021</v>
      </c>
      <c r="AE226" s="150" t="str">
        <f t="shared" si="43"/>
        <v>Feb</v>
      </c>
    </row>
    <row r="227" spans="2:31" x14ac:dyDescent="0.25">
      <c r="B227" s="152">
        <v>17</v>
      </c>
      <c r="C227" s="157" t="s">
        <v>83</v>
      </c>
      <c r="D227" s="154" t="s">
        <v>33</v>
      </c>
      <c r="E227" s="157" t="s">
        <v>115</v>
      </c>
      <c r="F227" s="141">
        <v>325</v>
      </c>
      <c r="G227" s="155" t="s">
        <v>127</v>
      </c>
      <c r="H227" s="204">
        <v>44227</v>
      </c>
      <c r="I227" s="143" t="str">
        <f t="shared" si="34"/>
        <v>2021</v>
      </c>
      <c r="J227" s="143" t="str">
        <f t="shared" si="35"/>
        <v>Jan</v>
      </c>
      <c r="K227" s="204">
        <v>44229</v>
      </c>
      <c r="L227" s="157" t="s">
        <v>160</v>
      </c>
      <c r="M227" s="204">
        <v>44275</v>
      </c>
      <c r="N227" s="143" t="str">
        <f t="shared" si="36"/>
        <v>2021</v>
      </c>
      <c r="O227" s="143" t="str">
        <f t="shared" si="37"/>
        <v>Mar</v>
      </c>
      <c r="P227" s="157" t="s">
        <v>165</v>
      </c>
      <c r="Q227" s="146" t="s">
        <v>17</v>
      </c>
      <c r="R227" s="157" t="s">
        <v>38</v>
      </c>
      <c r="S227" s="141" t="s">
        <v>20</v>
      </c>
      <c r="T227" s="204">
        <v>44275</v>
      </c>
      <c r="U227" s="145" t="str">
        <f t="shared" si="38"/>
        <v>2021</v>
      </c>
      <c r="V227" s="145" t="str">
        <f t="shared" si="39"/>
        <v>Mar</v>
      </c>
      <c r="W227" s="141">
        <f t="shared" ca="1" si="33"/>
        <v>35</v>
      </c>
      <c r="X227" s="157" t="s">
        <v>105</v>
      </c>
      <c r="Y227" s="157">
        <f t="shared" ca="1" si="40"/>
        <v>840</v>
      </c>
      <c r="Z227" s="158">
        <v>16.8</v>
      </c>
      <c r="AA227" s="148">
        <v>2520</v>
      </c>
      <c r="AB227" s="148">
        <f t="shared" si="41"/>
        <v>150</v>
      </c>
      <c r="AC227" s="204">
        <v>44232</v>
      </c>
      <c r="AD227" s="146" t="str">
        <f t="shared" si="42"/>
        <v>2021</v>
      </c>
      <c r="AE227" s="150" t="str">
        <f t="shared" si="43"/>
        <v>Feb</v>
      </c>
    </row>
    <row r="228" spans="2:31" x14ac:dyDescent="0.25">
      <c r="B228" s="152">
        <v>18</v>
      </c>
      <c r="C228" s="157" t="s">
        <v>84</v>
      </c>
      <c r="D228" s="154" t="s">
        <v>89</v>
      </c>
      <c r="E228" s="157" t="s">
        <v>112</v>
      </c>
      <c r="F228" s="141">
        <v>326</v>
      </c>
      <c r="G228" s="155" t="s">
        <v>128</v>
      </c>
      <c r="H228" s="204">
        <v>44228</v>
      </c>
      <c r="I228" s="143" t="str">
        <f t="shared" si="34"/>
        <v>2021</v>
      </c>
      <c r="J228" s="143" t="str">
        <f t="shared" si="35"/>
        <v>Feb</v>
      </c>
      <c r="K228" s="204">
        <v>44243</v>
      </c>
      <c r="L228" s="157" t="s">
        <v>160</v>
      </c>
      <c r="M228" s="204">
        <v>44263</v>
      </c>
      <c r="N228" s="143" t="str">
        <f t="shared" si="36"/>
        <v>2021</v>
      </c>
      <c r="O228" s="143" t="str">
        <f t="shared" si="37"/>
        <v>Mar</v>
      </c>
      <c r="P228" s="157" t="s">
        <v>164</v>
      </c>
      <c r="Q228" s="146" t="s">
        <v>267</v>
      </c>
      <c r="R228" s="157" t="s">
        <v>40</v>
      </c>
      <c r="S228" s="141" t="s">
        <v>20</v>
      </c>
      <c r="T228" s="204">
        <v>44387</v>
      </c>
      <c r="U228" s="145" t="str">
        <f t="shared" si="38"/>
        <v>2021</v>
      </c>
      <c r="V228" s="145" t="str">
        <f t="shared" si="39"/>
        <v>Jul</v>
      </c>
      <c r="W228" s="141">
        <f t="shared" ca="1" si="33"/>
        <v>115</v>
      </c>
      <c r="X228" s="157" t="s">
        <v>106</v>
      </c>
      <c r="Y228" s="157">
        <f t="shared" ca="1" si="40"/>
        <v>2760</v>
      </c>
      <c r="Z228" s="158">
        <v>82.8</v>
      </c>
      <c r="AA228" s="148">
        <v>6210</v>
      </c>
      <c r="AB228" s="148">
        <f t="shared" si="41"/>
        <v>75</v>
      </c>
      <c r="AC228" s="204">
        <v>44246</v>
      </c>
      <c r="AD228" s="146" t="str">
        <f t="shared" si="42"/>
        <v>2021</v>
      </c>
      <c r="AE228" s="150" t="str">
        <f t="shared" si="43"/>
        <v>Feb</v>
      </c>
    </row>
    <row r="229" spans="2:31" x14ac:dyDescent="0.25">
      <c r="B229" s="152">
        <v>19</v>
      </c>
      <c r="C229" s="157" t="s">
        <v>85</v>
      </c>
      <c r="D229" s="154" t="s">
        <v>90</v>
      </c>
      <c r="E229" s="157" t="s">
        <v>113</v>
      </c>
      <c r="F229" s="141">
        <v>327</v>
      </c>
      <c r="G229" s="155" t="s">
        <v>129</v>
      </c>
      <c r="H229" s="204">
        <v>44228</v>
      </c>
      <c r="I229" s="143" t="str">
        <f t="shared" si="34"/>
        <v>2021</v>
      </c>
      <c r="J229" s="143" t="str">
        <f t="shared" si="35"/>
        <v>Feb</v>
      </c>
      <c r="K229" s="204">
        <v>44242</v>
      </c>
      <c r="L229" s="157" t="s">
        <v>157</v>
      </c>
      <c r="M229" s="204">
        <v>44283</v>
      </c>
      <c r="N229" s="143" t="str">
        <f t="shared" si="36"/>
        <v>2021</v>
      </c>
      <c r="O229" s="143" t="str">
        <f t="shared" si="37"/>
        <v>Mar</v>
      </c>
      <c r="P229" s="157" t="s">
        <v>165</v>
      </c>
      <c r="Q229" s="146" t="s">
        <v>17</v>
      </c>
      <c r="R229" s="157" t="s">
        <v>34</v>
      </c>
      <c r="S229" s="141" t="s">
        <v>20</v>
      </c>
      <c r="T229" s="204">
        <v>44276</v>
      </c>
      <c r="U229" s="145" t="str">
        <f t="shared" si="38"/>
        <v>2021</v>
      </c>
      <c r="V229" s="145" t="str">
        <f t="shared" si="39"/>
        <v>Mar</v>
      </c>
      <c r="W229" s="141">
        <f t="shared" ca="1" si="33"/>
        <v>35</v>
      </c>
      <c r="X229" s="157" t="s">
        <v>107</v>
      </c>
      <c r="Y229" s="157">
        <f t="shared" ca="1" si="40"/>
        <v>840</v>
      </c>
      <c r="Z229" s="158">
        <v>8.4</v>
      </c>
      <c r="AA229" s="148">
        <v>1260</v>
      </c>
      <c r="AB229" s="148">
        <f t="shared" si="41"/>
        <v>150</v>
      </c>
      <c r="AC229" s="204">
        <v>44245</v>
      </c>
      <c r="AD229" s="146" t="str">
        <f t="shared" si="42"/>
        <v>2021</v>
      </c>
      <c r="AE229" s="150" t="str">
        <f t="shared" si="43"/>
        <v>Feb</v>
      </c>
    </row>
    <row r="230" spans="2:31" x14ac:dyDescent="0.25">
      <c r="B230" s="152">
        <v>20</v>
      </c>
      <c r="C230" s="157" t="s">
        <v>86</v>
      </c>
      <c r="D230" s="154" t="s">
        <v>91</v>
      </c>
      <c r="E230" s="157" t="s">
        <v>114</v>
      </c>
      <c r="F230" s="141">
        <v>328</v>
      </c>
      <c r="G230" s="155" t="s">
        <v>133</v>
      </c>
      <c r="H230" s="204">
        <v>44229</v>
      </c>
      <c r="I230" s="143" t="str">
        <f t="shared" si="34"/>
        <v>2021</v>
      </c>
      <c r="J230" s="143" t="str">
        <f t="shared" si="35"/>
        <v>Feb</v>
      </c>
      <c r="K230" s="204">
        <v>44236</v>
      </c>
      <c r="L230" s="157" t="s">
        <v>161</v>
      </c>
      <c r="M230" s="204">
        <v>44279</v>
      </c>
      <c r="N230" s="143" t="str">
        <f t="shared" si="36"/>
        <v>2021</v>
      </c>
      <c r="O230" s="143" t="str">
        <f t="shared" si="37"/>
        <v>Mar</v>
      </c>
      <c r="P230" s="157" t="s">
        <v>165</v>
      </c>
      <c r="Q230" s="146" t="s">
        <v>268</v>
      </c>
      <c r="R230" s="157" t="s">
        <v>35</v>
      </c>
      <c r="S230" s="141" t="s">
        <v>20</v>
      </c>
      <c r="T230" s="204">
        <v>44780</v>
      </c>
      <c r="U230" s="145" t="str">
        <f t="shared" si="38"/>
        <v>2022</v>
      </c>
      <c r="V230" s="145" t="str">
        <f t="shared" si="39"/>
        <v>Aug</v>
      </c>
      <c r="W230" s="141">
        <f t="shared" ca="1" si="33"/>
        <v>394</v>
      </c>
      <c r="X230" s="157" t="s">
        <v>108</v>
      </c>
      <c r="Y230" s="157">
        <f t="shared" ca="1" si="40"/>
        <v>9456</v>
      </c>
      <c r="Z230" s="158">
        <v>189.12</v>
      </c>
      <c r="AA230" s="148">
        <v>22694.400000000001</v>
      </c>
      <c r="AB230" s="148">
        <f t="shared" si="41"/>
        <v>120</v>
      </c>
      <c r="AC230" s="204">
        <v>44239</v>
      </c>
      <c r="AD230" s="146" t="str">
        <f t="shared" si="42"/>
        <v>2021</v>
      </c>
      <c r="AE230" s="150" t="str">
        <f t="shared" si="43"/>
        <v>Feb</v>
      </c>
    </row>
    <row r="231" spans="2:31" x14ac:dyDescent="0.25">
      <c r="B231" s="152">
        <v>21</v>
      </c>
      <c r="C231" s="157" t="s">
        <v>87</v>
      </c>
      <c r="D231" s="154" t="s">
        <v>92</v>
      </c>
      <c r="E231" s="157" t="s">
        <v>115</v>
      </c>
      <c r="F231" s="141">
        <v>329</v>
      </c>
      <c r="G231" s="155" t="s">
        <v>130</v>
      </c>
      <c r="H231" s="204">
        <v>44235</v>
      </c>
      <c r="I231" s="143" t="str">
        <f t="shared" si="34"/>
        <v>2021</v>
      </c>
      <c r="J231" s="143" t="str">
        <f t="shared" si="35"/>
        <v>Feb</v>
      </c>
      <c r="K231" s="204">
        <v>44244</v>
      </c>
      <c r="L231" s="157" t="s">
        <v>159</v>
      </c>
      <c r="M231" s="204">
        <v>44268</v>
      </c>
      <c r="N231" s="143" t="str">
        <f t="shared" si="36"/>
        <v>2021</v>
      </c>
      <c r="O231" s="143" t="str">
        <f t="shared" si="37"/>
        <v>Mar</v>
      </c>
      <c r="P231" s="157" t="s">
        <v>167</v>
      </c>
      <c r="Q231" s="146" t="s">
        <v>17</v>
      </c>
      <c r="R231" s="157" t="s">
        <v>36</v>
      </c>
      <c r="S231" s="141" t="s">
        <v>167</v>
      </c>
      <c r="T231" s="204" t="s">
        <v>274</v>
      </c>
      <c r="U231" s="145" t="str">
        <f t="shared" si="38"/>
        <v/>
      </c>
      <c r="V231" s="145" t="str">
        <f t="shared" si="39"/>
        <v/>
      </c>
      <c r="W231" s="141">
        <f t="shared" ca="1" si="33"/>
        <v>903</v>
      </c>
      <c r="X231" s="157" t="s">
        <v>109</v>
      </c>
      <c r="Y231" s="157">
        <f t="shared" ca="1" si="40"/>
        <v>21672</v>
      </c>
      <c r="Z231" s="158">
        <v>648.72</v>
      </c>
      <c r="AA231" s="148">
        <v>97308</v>
      </c>
      <c r="AB231" s="148">
        <f t="shared" si="41"/>
        <v>150</v>
      </c>
      <c r="AC231" s="204"/>
      <c r="AD231" s="157" t="str">
        <f t="shared" si="42"/>
        <v/>
      </c>
      <c r="AE231" s="150" t="str">
        <f t="shared" si="43"/>
        <v/>
      </c>
    </row>
    <row r="232" spans="2:31" x14ac:dyDescent="0.25">
      <c r="B232" s="152">
        <v>22</v>
      </c>
      <c r="C232" s="157" t="s">
        <v>88</v>
      </c>
      <c r="D232" s="154" t="s">
        <v>39</v>
      </c>
      <c r="E232" s="157" t="s">
        <v>116</v>
      </c>
      <c r="F232" s="141">
        <v>330</v>
      </c>
      <c r="G232" s="155" t="s">
        <v>131</v>
      </c>
      <c r="H232" s="204">
        <v>44236</v>
      </c>
      <c r="I232" s="143" t="str">
        <f t="shared" si="34"/>
        <v>2021</v>
      </c>
      <c r="J232" s="143" t="str">
        <f t="shared" si="35"/>
        <v>Feb</v>
      </c>
      <c r="K232" s="204">
        <v>44237</v>
      </c>
      <c r="L232" s="157" t="s">
        <v>161</v>
      </c>
      <c r="M232" s="204">
        <v>44275</v>
      </c>
      <c r="N232" s="143" t="str">
        <f t="shared" si="36"/>
        <v>2021</v>
      </c>
      <c r="O232" s="143" t="str">
        <f t="shared" si="37"/>
        <v>Mar</v>
      </c>
      <c r="P232" s="157" t="s">
        <v>162</v>
      </c>
      <c r="Q232" s="146" t="s">
        <v>266</v>
      </c>
      <c r="R232" s="157" t="s">
        <v>37</v>
      </c>
      <c r="S232" s="141" t="s">
        <v>20</v>
      </c>
      <c r="T232" s="204">
        <v>44668</v>
      </c>
      <c r="U232" s="145" t="str">
        <f t="shared" si="38"/>
        <v>2022</v>
      </c>
      <c r="V232" s="145" t="str">
        <f t="shared" si="39"/>
        <v>Apr</v>
      </c>
      <c r="W232" s="141">
        <f t="shared" ca="1" si="33"/>
        <v>309</v>
      </c>
      <c r="X232" s="157" t="s">
        <v>110</v>
      </c>
      <c r="Y232" s="157">
        <f t="shared" ca="1" si="40"/>
        <v>7416</v>
      </c>
      <c r="Z232" s="158">
        <v>222.48</v>
      </c>
      <c r="AA232" s="148">
        <v>11124</v>
      </c>
      <c r="AB232" s="148">
        <f t="shared" si="41"/>
        <v>50</v>
      </c>
      <c r="AC232" s="204">
        <v>44240</v>
      </c>
      <c r="AD232" s="146" t="str">
        <f t="shared" si="42"/>
        <v>2021</v>
      </c>
      <c r="AE232" s="150" t="str">
        <f t="shared" si="43"/>
        <v>Feb</v>
      </c>
    </row>
    <row r="233" spans="2:31" x14ac:dyDescent="0.25">
      <c r="B233" s="152">
        <v>1</v>
      </c>
      <c r="C233" s="153" t="s">
        <v>7</v>
      </c>
      <c r="D233" s="154" t="s">
        <v>8</v>
      </c>
      <c r="E233" s="157" t="s">
        <v>111</v>
      </c>
      <c r="F233" s="141">
        <v>331</v>
      </c>
      <c r="G233" s="155" t="s">
        <v>132</v>
      </c>
      <c r="H233" s="204">
        <v>44236</v>
      </c>
      <c r="I233" s="143" t="str">
        <f t="shared" si="34"/>
        <v>2021</v>
      </c>
      <c r="J233" s="143" t="str">
        <f t="shared" si="35"/>
        <v>Feb</v>
      </c>
      <c r="K233" s="204">
        <v>44249</v>
      </c>
      <c r="L233" s="157" t="s">
        <v>161</v>
      </c>
      <c r="M233" s="204">
        <v>44276</v>
      </c>
      <c r="N233" s="143" t="str">
        <f t="shared" si="36"/>
        <v>2021</v>
      </c>
      <c r="O233" s="143" t="str">
        <f t="shared" si="37"/>
        <v>Mar</v>
      </c>
      <c r="P233" s="157" t="s">
        <v>165</v>
      </c>
      <c r="Q233" s="146" t="s">
        <v>17</v>
      </c>
      <c r="R233" s="157" t="s">
        <v>18</v>
      </c>
      <c r="S233" s="141" t="s">
        <v>20</v>
      </c>
      <c r="T233" s="204">
        <v>44487</v>
      </c>
      <c r="U233" s="145" t="str">
        <f t="shared" si="38"/>
        <v>2021</v>
      </c>
      <c r="V233" s="145" t="str">
        <f t="shared" si="39"/>
        <v>Oct</v>
      </c>
      <c r="W233" s="141">
        <f t="shared" ca="1" si="33"/>
        <v>180</v>
      </c>
      <c r="X233" s="157" t="s">
        <v>89</v>
      </c>
      <c r="Y233" s="157">
        <f t="shared" ca="1" si="40"/>
        <v>4320</v>
      </c>
      <c r="Z233" s="158">
        <v>86.4</v>
      </c>
      <c r="AA233" s="148">
        <v>12960</v>
      </c>
      <c r="AB233" s="148">
        <f t="shared" si="41"/>
        <v>150</v>
      </c>
      <c r="AC233" s="204">
        <v>44252</v>
      </c>
      <c r="AD233" s="146" t="str">
        <f t="shared" si="42"/>
        <v>2021</v>
      </c>
      <c r="AE233" s="150" t="str">
        <f t="shared" si="43"/>
        <v>Feb</v>
      </c>
    </row>
    <row r="234" spans="2:31" x14ac:dyDescent="0.25">
      <c r="B234" s="152">
        <v>2</v>
      </c>
      <c r="C234" s="153" t="s">
        <v>10</v>
      </c>
      <c r="D234" s="154" t="s">
        <v>11</v>
      </c>
      <c r="E234" s="157" t="s">
        <v>112</v>
      </c>
      <c r="F234" s="141">
        <v>332</v>
      </c>
      <c r="G234" s="155" t="s">
        <v>133</v>
      </c>
      <c r="H234" s="204">
        <v>44236</v>
      </c>
      <c r="I234" s="143" t="str">
        <f t="shared" si="34"/>
        <v>2021</v>
      </c>
      <c r="J234" s="143" t="str">
        <f t="shared" si="35"/>
        <v>Feb</v>
      </c>
      <c r="K234" s="204">
        <v>44250</v>
      </c>
      <c r="L234" s="157" t="s">
        <v>158</v>
      </c>
      <c r="M234" s="204">
        <v>44262</v>
      </c>
      <c r="N234" s="143" t="str">
        <f t="shared" si="36"/>
        <v>2021</v>
      </c>
      <c r="O234" s="143" t="str">
        <f t="shared" si="37"/>
        <v>Mar</v>
      </c>
      <c r="P234" s="157" t="s">
        <v>162</v>
      </c>
      <c r="Q234" s="146" t="s">
        <v>268</v>
      </c>
      <c r="R234" s="157" t="s">
        <v>19</v>
      </c>
      <c r="S234" s="141" t="s">
        <v>20</v>
      </c>
      <c r="T234" s="204">
        <v>44437</v>
      </c>
      <c r="U234" s="145" t="str">
        <f t="shared" si="38"/>
        <v>2021</v>
      </c>
      <c r="V234" s="145" t="str">
        <f t="shared" si="39"/>
        <v>Aug</v>
      </c>
      <c r="W234" s="141">
        <f t="shared" ca="1" si="33"/>
        <v>144</v>
      </c>
      <c r="X234" s="157" t="s">
        <v>90</v>
      </c>
      <c r="Y234" s="157">
        <f t="shared" ca="1" si="40"/>
        <v>3456</v>
      </c>
      <c r="Z234" s="158">
        <v>34.56</v>
      </c>
      <c r="AA234" s="148">
        <v>4147.2000000000007</v>
      </c>
      <c r="AB234" s="148">
        <f t="shared" si="41"/>
        <v>120.00000000000001</v>
      </c>
      <c r="AC234" s="204">
        <v>44253</v>
      </c>
      <c r="AD234" s="146" t="str">
        <f t="shared" si="42"/>
        <v>2021</v>
      </c>
      <c r="AE234" s="150" t="str">
        <f t="shared" si="43"/>
        <v>Feb</v>
      </c>
    </row>
    <row r="235" spans="2:31" x14ac:dyDescent="0.25">
      <c r="B235" s="152">
        <v>3</v>
      </c>
      <c r="C235" s="157" t="s">
        <v>69</v>
      </c>
      <c r="D235" s="154" t="s">
        <v>62</v>
      </c>
      <c r="E235" s="157" t="s">
        <v>113</v>
      </c>
      <c r="F235" s="141">
        <v>333</v>
      </c>
      <c r="G235" s="155" t="s">
        <v>133</v>
      </c>
      <c r="H235" s="204">
        <v>44249</v>
      </c>
      <c r="I235" s="143" t="str">
        <f t="shared" si="34"/>
        <v>2021</v>
      </c>
      <c r="J235" s="143" t="str">
        <f t="shared" si="35"/>
        <v>Feb</v>
      </c>
      <c r="K235" s="204">
        <v>44261</v>
      </c>
      <c r="L235" s="157" t="s">
        <v>156</v>
      </c>
      <c r="M235" s="204">
        <v>44300</v>
      </c>
      <c r="N235" s="143" t="str">
        <f t="shared" si="36"/>
        <v>2021</v>
      </c>
      <c r="O235" s="143" t="str">
        <f t="shared" si="37"/>
        <v>Apr</v>
      </c>
      <c r="P235" s="157" t="s">
        <v>164</v>
      </c>
      <c r="Q235" s="146" t="s">
        <v>268</v>
      </c>
      <c r="R235" s="157" t="s">
        <v>41</v>
      </c>
      <c r="S235" s="141" t="s">
        <v>20</v>
      </c>
      <c r="T235" s="204">
        <v>44556</v>
      </c>
      <c r="U235" s="145" t="str">
        <f t="shared" si="38"/>
        <v>2021</v>
      </c>
      <c r="V235" s="145" t="str">
        <f t="shared" si="39"/>
        <v>Dec</v>
      </c>
      <c r="W235" s="141">
        <f t="shared" ca="1" si="33"/>
        <v>220</v>
      </c>
      <c r="X235" s="157" t="s">
        <v>91</v>
      </c>
      <c r="Y235" s="157">
        <f t="shared" ca="1" si="40"/>
        <v>5280</v>
      </c>
      <c r="Z235" s="158">
        <v>52.800000000000004</v>
      </c>
      <c r="AA235" s="148">
        <v>6336.0000000000009</v>
      </c>
      <c r="AB235" s="148">
        <f t="shared" si="41"/>
        <v>120.00000000000001</v>
      </c>
      <c r="AC235" s="204">
        <v>44264</v>
      </c>
      <c r="AD235" s="146" t="str">
        <f t="shared" si="42"/>
        <v>2021</v>
      </c>
      <c r="AE235" s="150" t="str">
        <f t="shared" si="43"/>
        <v>Mar</v>
      </c>
    </row>
    <row r="236" spans="2:31" x14ac:dyDescent="0.25">
      <c r="B236" s="152">
        <v>4</v>
      </c>
      <c r="C236" s="157" t="s">
        <v>70</v>
      </c>
      <c r="D236" s="154" t="s">
        <v>63</v>
      </c>
      <c r="E236" s="157" t="s">
        <v>114</v>
      </c>
      <c r="F236" s="141">
        <v>334</v>
      </c>
      <c r="G236" s="155" t="s">
        <v>134</v>
      </c>
      <c r="H236" s="204">
        <v>44250</v>
      </c>
      <c r="I236" s="143" t="str">
        <f t="shared" si="34"/>
        <v>2021</v>
      </c>
      <c r="J236" s="143" t="str">
        <f t="shared" si="35"/>
        <v>Feb</v>
      </c>
      <c r="K236" s="204">
        <v>44256</v>
      </c>
      <c r="L236" s="157" t="s">
        <v>160</v>
      </c>
      <c r="M236" s="204">
        <v>44305</v>
      </c>
      <c r="N236" s="143" t="str">
        <f t="shared" si="36"/>
        <v>2021</v>
      </c>
      <c r="O236" s="143" t="str">
        <f t="shared" si="37"/>
        <v>Apr</v>
      </c>
      <c r="P236" s="157" t="s">
        <v>165</v>
      </c>
      <c r="Q236" s="146" t="s">
        <v>17</v>
      </c>
      <c r="R236" s="157" t="s">
        <v>42</v>
      </c>
      <c r="S236" s="141" t="s">
        <v>20</v>
      </c>
      <c r="T236" s="204">
        <v>44385</v>
      </c>
      <c r="U236" s="145" t="str">
        <f t="shared" si="38"/>
        <v>2021</v>
      </c>
      <c r="V236" s="145" t="str">
        <f t="shared" si="39"/>
        <v>Jul</v>
      </c>
      <c r="W236" s="141">
        <f t="shared" ca="1" si="33"/>
        <v>98</v>
      </c>
      <c r="X236" s="157" t="s">
        <v>92</v>
      </c>
      <c r="Y236" s="157">
        <f t="shared" ca="1" si="40"/>
        <v>2352</v>
      </c>
      <c r="Z236" s="158">
        <v>47.04</v>
      </c>
      <c r="AA236" s="148">
        <v>7056</v>
      </c>
      <c r="AB236" s="148">
        <f t="shared" si="41"/>
        <v>150</v>
      </c>
      <c r="AC236" s="204">
        <v>44259</v>
      </c>
      <c r="AD236" s="146" t="str">
        <f t="shared" si="42"/>
        <v>2021</v>
      </c>
      <c r="AE236" s="150" t="str">
        <f t="shared" si="43"/>
        <v>Mar</v>
      </c>
    </row>
    <row r="237" spans="2:31" x14ac:dyDescent="0.25">
      <c r="B237" s="152">
        <v>5</v>
      </c>
      <c r="C237" s="157" t="s">
        <v>71</v>
      </c>
      <c r="D237" s="154" t="s">
        <v>64</v>
      </c>
      <c r="E237" s="157" t="s">
        <v>115</v>
      </c>
      <c r="F237" s="141">
        <v>335</v>
      </c>
      <c r="G237" s="155" t="s">
        <v>134</v>
      </c>
      <c r="H237" s="204">
        <v>44251</v>
      </c>
      <c r="I237" s="143" t="str">
        <f t="shared" si="34"/>
        <v>2021</v>
      </c>
      <c r="J237" s="143" t="str">
        <f t="shared" si="35"/>
        <v>Feb</v>
      </c>
      <c r="K237" s="204">
        <v>44253</v>
      </c>
      <c r="L237" s="157" t="s">
        <v>160</v>
      </c>
      <c r="M237" s="204">
        <v>44301</v>
      </c>
      <c r="N237" s="143" t="str">
        <f t="shared" si="36"/>
        <v>2021</v>
      </c>
      <c r="O237" s="143" t="str">
        <f t="shared" si="37"/>
        <v>Apr</v>
      </c>
      <c r="P237" s="157" t="s">
        <v>164</v>
      </c>
      <c r="Q237" s="146" t="s">
        <v>17</v>
      </c>
      <c r="R237" s="157" t="s">
        <v>43</v>
      </c>
      <c r="S237" s="141" t="s">
        <v>20</v>
      </c>
      <c r="T237" s="204">
        <v>44766</v>
      </c>
      <c r="U237" s="145" t="str">
        <f t="shared" si="38"/>
        <v>2022</v>
      </c>
      <c r="V237" s="145" t="str">
        <f t="shared" si="39"/>
        <v>Jul</v>
      </c>
      <c r="W237" s="141">
        <f t="shared" ca="1" si="33"/>
        <v>368</v>
      </c>
      <c r="X237" s="157" t="s">
        <v>93</v>
      </c>
      <c r="Y237" s="157">
        <f t="shared" ca="1" si="40"/>
        <v>8832</v>
      </c>
      <c r="Z237" s="158">
        <v>176.64000000000001</v>
      </c>
      <c r="AA237" s="148">
        <v>26496.000000000004</v>
      </c>
      <c r="AB237" s="148">
        <f t="shared" si="41"/>
        <v>150</v>
      </c>
      <c r="AC237" s="204">
        <v>44256</v>
      </c>
      <c r="AD237" s="146" t="str">
        <f t="shared" si="42"/>
        <v>2021</v>
      </c>
      <c r="AE237" s="150" t="str">
        <f t="shared" si="43"/>
        <v>Mar</v>
      </c>
    </row>
    <row r="238" spans="2:31" x14ac:dyDescent="0.25">
      <c r="B238" s="152">
        <v>6</v>
      </c>
      <c r="C238" s="157" t="s">
        <v>72</v>
      </c>
      <c r="D238" s="154" t="s">
        <v>65</v>
      </c>
      <c r="E238" s="157" t="s">
        <v>116</v>
      </c>
      <c r="F238" s="141">
        <v>336</v>
      </c>
      <c r="G238" s="155" t="s">
        <v>135</v>
      </c>
      <c r="H238" s="204">
        <v>44252</v>
      </c>
      <c r="I238" s="143" t="str">
        <f t="shared" si="34"/>
        <v>2021</v>
      </c>
      <c r="J238" s="143" t="str">
        <f t="shared" si="35"/>
        <v>Feb</v>
      </c>
      <c r="K238" s="204">
        <v>44266</v>
      </c>
      <c r="L238" s="157" t="s">
        <v>158</v>
      </c>
      <c r="M238" s="204">
        <v>44304</v>
      </c>
      <c r="N238" s="143" t="str">
        <f t="shared" si="36"/>
        <v>2021</v>
      </c>
      <c r="O238" s="143" t="str">
        <f t="shared" si="37"/>
        <v>Apr</v>
      </c>
      <c r="P238" s="157" t="s">
        <v>162</v>
      </c>
      <c r="Q238" s="146" t="s">
        <v>269</v>
      </c>
      <c r="R238" s="157" t="s">
        <v>44</v>
      </c>
      <c r="S238" s="141" t="s">
        <v>20</v>
      </c>
      <c r="T238" s="204">
        <v>44545</v>
      </c>
      <c r="U238" s="145" t="str">
        <f t="shared" si="38"/>
        <v>2021</v>
      </c>
      <c r="V238" s="145" t="str">
        <f t="shared" si="39"/>
        <v>Dec</v>
      </c>
      <c r="W238" s="141">
        <f t="shared" ca="1" si="33"/>
        <v>210</v>
      </c>
      <c r="X238" s="157" t="s">
        <v>94</v>
      </c>
      <c r="Y238" s="157">
        <f t="shared" ca="1" si="40"/>
        <v>5040</v>
      </c>
      <c r="Z238" s="158">
        <v>100.8</v>
      </c>
      <c r="AA238" s="148">
        <v>5040</v>
      </c>
      <c r="AB238" s="148">
        <f t="shared" si="41"/>
        <v>50</v>
      </c>
      <c r="AC238" s="204">
        <v>44269</v>
      </c>
      <c r="AD238" s="146" t="str">
        <f t="shared" si="42"/>
        <v>2021</v>
      </c>
      <c r="AE238" s="150" t="str">
        <f t="shared" si="43"/>
        <v>Mar</v>
      </c>
    </row>
    <row r="239" spans="2:31" x14ac:dyDescent="0.25">
      <c r="B239" s="152">
        <v>7</v>
      </c>
      <c r="C239" s="157" t="s">
        <v>73</v>
      </c>
      <c r="D239" s="154" t="s">
        <v>66</v>
      </c>
      <c r="E239" s="157" t="s">
        <v>117</v>
      </c>
      <c r="F239" s="141">
        <v>337</v>
      </c>
      <c r="G239" s="155" t="s">
        <v>136</v>
      </c>
      <c r="H239" s="204">
        <v>44262</v>
      </c>
      <c r="I239" s="143" t="str">
        <f t="shared" si="34"/>
        <v>2021</v>
      </c>
      <c r="J239" s="143" t="str">
        <f t="shared" si="35"/>
        <v>Mar</v>
      </c>
      <c r="K239" s="204">
        <v>44274</v>
      </c>
      <c r="L239" s="157" t="s">
        <v>161</v>
      </c>
      <c r="M239" s="204">
        <v>44304</v>
      </c>
      <c r="N239" s="143" t="str">
        <f t="shared" si="36"/>
        <v>2021</v>
      </c>
      <c r="O239" s="143" t="str">
        <f t="shared" si="37"/>
        <v>Apr</v>
      </c>
      <c r="P239" s="157" t="s">
        <v>165</v>
      </c>
      <c r="Q239" s="146" t="s">
        <v>17</v>
      </c>
      <c r="R239" s="157" t="s">
        <v>45</v>
      </c>
      <c r="S239" s="141" t="s">
        <v>20</v>
      </c>
      <c r="T239" s="204">
        <v>44424</v>
      </c>
      <c r="U239" s="145" t="str">
        <f t="shared" si="38"/>
        <v>2021</v>
      </c>
      <c r="V239" s="145" t="str">
        <f t="shared" si="39"/>
        <v>Aug</v>
      </c>
      <c r="W239" s="141">
        <f t="shared" ca="1" si="33"/>
        <v>116</v>
      </c>
      <c r="X239" s="157" t="s">
        <v>95</v>
      </c>
      <c r="Y239" s="157">
        <f t="shared" ca="1" si="40"/>
        <v>2784</v>
      </c>
      <c r="Z239" s="158">
        <v>83.52</v>
      </c>
      <c r="AA239" s="148">
        <v>12528</v>
      </c>
      <c r="AB239" s="148">
        <f t="shared" si="41"/>
        <v>150</v>
      </c>
      <c r="AC239" s="204">
        <v>44277</v>
      </c>
      <c r="AD239" s="146" t="str">
        <f t="shared" si="42"/>
        <v>2021</v>
      </c>
      <c r="AE239" s="150" t="str">
        <f t="shared" si="43"/>
        <v>Mar</v>
      </c>
    </row>
    <row r="240" spans="2:31" x14ac:dyDescent="0.25">
      <c r="B240" s="152">
        <v>21</v>
      </c>
      <c r="C240" s="157" t="s">
        <v>87</v>
      </c>
      <c r="D240" s="154" t="s">
        <v>92</v>
      </c>
      <c r="E240" s="157" t="s">
        <v>115</v>
      </c>
      <c r="F240" s="141">
        <v>338</v>
      </c>
      <c r="G240" s="155" t="s">
        <v>122</v>
      </c>
      <c r="H240" s="204">
        <v>44277</v>
      </c>
      <c r="I240" s="143" t="str">
        <f t="shared" si="34"/>
        <v>2021</v>
      </c>
      <c r="J240" s="143" t="str">
        <f t="shared" si="35"/>
        <v>Mar</v>
      </c>
      <c r="K240" s="204">
        <v>44282</v>
      </c>
      <c r="L240" s="157" t="s">
        <v>156</v>
      </c>
      <c r="M240" s="204">
        <v>44304</v>
      </c>
      <c r="N240" s="143" t="str">
        <f t="shared" si="36"/>
        <v>2021</v>
      </c>
      <c r="O240" s="143" t="str">
        <f t="shared" si="37"/>
        <v>Apr</v>
      </c>
      <c r="P240" s="157" t="s">
        <v>162</v>
      </c>
      <c r="Q240" s="146" t="s">
        <v>265</v>
      </c>
      <c r="R240" s="157" t="s">
        <v>36</v>
      </c>
      <c r="S240" s="141" t="s">
        <v>20</v>
      </c>
      <c r="T240" s="204">
        <v>44622</v>
      </c>
      <c r="U240" s="145" t="str">
        <f t="shared" si="38"/>
        <v>2022</v>
      </c>
      <c r="V240" s="145" t="str">
        <f t="shared" si="39"/>
        <v>Mar</v>
      </c>
      <c r="W240" s="141">
        <f t="shared" ca="1" si="33"/>
        <v>248</v>
      </c>
      <c r="X240" s="157" t="s">
        <v>109</v>
      </c>
      <c r="Y240" s="157">
        <f t="shared" ca="1" si="40"/>
        <v>5952</v>
      </c>
      <c r="Z240" s="158">
        <v>119.04</v>
      </c>
      <c r="AA240" s="148">
        <v>11904</v>
      </c>
      <c r="AB240" s="148">
        <f t="shared" si="41"/>
        <v>100</v>
      </c>
      <c r="AC240" s="204">
        <v>44285</v>
      </c>
      <c r="AD240" s="146" t="str">
        <f t="shared" si="42"/>
        <v>2021</v>
      </c>
      <c r="AE240" s="150" t="str">
        <f t="shared" si="43"/>
        <v>Mar</v>
      </c>
    </row>
    <row r="241" spans="2:31" x14ac:dyDescent="0.25">
      <c r="B241" s="152">
        <v>22</v>
      </c>
      <c r="C241" s="157" t="s">
        <v>88</v>
      </c>
      <c r="D241" s="154" t="s">
        <v>39</v>
      </c>
      <c r="E241" s="157" t="s">
        <v>116</v>
      </c>
      <c r="F241" s="141">
        <v>339</v>
      </c>
      <c r="G241" s="155" t="s">
        <v>123</v>
      </c>
      <c r="H241" s="204">
        <v>44282</v>
      </c>
      <c r="I241" s="143" t="str">
        <f t="shared" si="34"/>
        <v>2021</v>
      </c>
      <c r="J241" s="143" t="str">
        <f t="shared" si="35"/>
        <v>Mar</v>
      </c>
      <c r="K241" s="204">
        <v>44292</v>
      </c>
      <c r="L241" s="157" t="s">
        <v>156</v>
      </c>
      <c r="M241" s="204">
        <v>44326</v>
      </c>
      <c r="N241" s="143" t="str">
        <f t="shared" si="36"/>
        <v>2021</v>
      </c>
      <c r="O241" s="143" t="str">
        <f t="shared" si="37"/>
        <v>May</v>
      </c>
      <c r="P241" s="157" t="s">
        <v>164</v>
      </c>
      <c r="Q241" s="146" t="s">
        <v>266</v>
      </c>
      <c r="R241" s="157" t="s">
        <v>37</v>
      </c>
      <c r="S241" s="141" t="s">
        <v>20</v>
      </c>
      <c r="T241" s="204">
        <v>44666</v>
      </c>
      <c r="U241" s="145" t="str">
        <f t="shared" si="38"/>
        <v>2022</v>
      </c>
      <c r="V241" s="145" t="str">
        <f t="shared" si="39"/>
        <v>Apr</v>
      </c>
      <c r="W241" s="141">
        <f t="shared" ca="1" si="33"/>
        <v>275</v>
      </c>
      <c r="X241" s="157" t="s">
        <v>110</v>
      </c>
      <c r="Y241" s="157">
        <f t="shared" ca="1" si="40"/>
        <v>6600</v>
      </c>
      <c r="Z241" s="158">
        <v>66</v>
      </c>
      <c r="AA241" s="148">
        <v>3300</v>
      </c>
      <c r="AB241" s="148">
        <f t="shared" si="41"/>
        <v>50</v>
      </c>
      <c r="AC241" s="204">
        <v>44295</v>
      </c>
      <c r="AD241" s="146" t="str">
        <f t="shared" si="42"/>
        <v>2021</v>
      </c>
      <c r="AE241" s="150" t="str">
        <f t="shared" si="43"/>
        <v>Apr</v>
      </c>
    </row>
    <row r="242" spans="2:31" x14ac:dyDescent="0.25">
      <c r="B242" s="152">
        <v>1</v>
      </c>
      <c r="C242" s="153" t="s">
        <v>7</v>
      </c>
      <c r="D242" s="154" t="s">
        <v>8</v>
      </c>
      <c r="E242" s="157" t="s">
        <v>111</v>
      </c>
      <c r="F242" s="141">
        <v>340</v>
      </c>
      <c r="G242" s="155" t="s">
        <v>134</v>
      </c>
      <c r="H242" s="204">
        <v>44282</v>
      </c>
      <c r="I242" s="143" t="str">
        <f t="shared" si="34"/>
        <v>2021</v>
      </c>
      <c r="J242" s="143" t="str">
        <f t="shared" si="35"/>
        <v>Mar</v>
      </c>
      <c r="K242" s="204">
        <v>44283</v>
      </c>
      <c r="L242" s="157" t="s">
        <v>156</v>
      </c>
      <c r="M242" s="204">
        <v>44337</v>
      </c>
      <c r="N242" s="143" t="str">
        <f t="shared" si="36"/>
        <v>2021</v>
      </c>
      <c r="O242" s="143" t="str">
        <f t="shared" si="37"/>
        <v>May</v>
      </c>
      <c r="P242" s="157" t="s">
        <v>164</v>
      </c>
      <c r="Q242" s="146" t="s">
        <v>17</v>
      </c>
      <c r="R242" s="157" t="s">
        <v>18</v>
      </c>
      <c r="S242" s="141" t="s">
        <v>20</v>
      </c>
      <c r="T242" s="204">
        <v>44680</v>
      </c>
      <c r="U242" s="145" t="str">
        <f t="shared" si="38"/>
        <v>2022</v>
      </c>
      <c r="V242" s="145" t="str">
        <f t="shared" si="39"/>
        <v>Apr</v>
      </c>
      <c r="W242" s="141">
        <f t="shared" ca="1" si="33"/>
        <v>285</v>
      </c>
      <c r="X242" s="157" t="s">
        <v>89</v>
      </c>
      <c r="Y242" s="157">
        <f t="shared" ca="1" si="40"/>
        <v>6840</v>
      </c>
      <c r="Z242" s="158">
        <v>68.400000000000006</v>
      </c>
      <c r="AA242" s="148">
        <v>10260</v>
      </c>
      <c r="AB242" s="148">
        <f t="shared" si="41"/>
        <v>150</v>
      </c>
      <c r="AC242" s="204">
        <v>44286</v>
      </c>
      <c r="AD242" s="146" t="str">
        <f t="shared" si="42"/>
        <v>2021</v>
      </c>
      <c r="AE242" s="150" t="str">
        <f t="shared" si="43"/>
        <v>Mar</v>
      </c>
    </row>
    <row r="243" spans="2:31" x14ac:dyDescent="0.25">
      <c r="B243" s="152">
        <v>2</v>
      </c>
      <c r="C243" s="153" t="s">
        <v>10</v>
      </c>
      <c r="D243" s="154" t="s">
        <v>11</v>
      </c>
      <c r="E243" s="157" t="s">
        <v>112</v>
      </c>
      <c r="F243" s="141">
        <v>341</v>
      </c>
      <c r="G243" s="155" t="s">
        <v>124</v>
      </c>
      <c r="H243" s="204">
        <v>44287</v>
      </c>
      <c r="I243" s="143" t="str">
        <f t="shared" si="34"/>
        <v>2021</v>
      </c>
      <c r="J243" s="143" t="str">
        <f t="shared" si="35"/>
        <v>Apr</v>
      </c>
      <c r="K243" s="204">
        <v>44294</v>
      </c>
      <c r="L243" s="157" t="s">
        <v>160</v>
      </c>
      <c r="M243" s="204">
        <v>44317</v>
      </c>
      <c r="N243" s="143" t="str">
        <f t="shared" si="36"/>
        <v>2021</v>
      </c>
      <c r="O243" s="143" t="str">
        <f t="shared" si="37"/>
        <v>May</v>
      </c>
      <c r="P243" s="157" t="s">
        <v>167</v>
      </c>
      <c r="Q243" s="146" t="s">
        <v>17</v>
      </c>
      <c r="R243" s="157" t="s">
        <v>19</v>
      </c>
      <c r="S243" s="141" t="s">
        <v>167</v>
      </c>
      <c r="T243" s="204" t="s">
        <v>274</v>
      </c>
      <c r="U243" s="145" t="str">
        <f t="shared" si="38"/>
        <v/>
      </c>
      <c r="V243" s="145" t="str">
        <f t="shared" si="39"/>
        <v/>
      </c>
      <c r="W243" s="141">
        <f t="shared" ca="1" si="33"/>
        <v>865</v>
      </c>
      <c r="X243" s="157" t="s">
        <v>90</v>
      </c>
      <c r="Y243" s="157">
        <f t="shared" ca="1" si="40"/>
        <v>20760</v>
      </c>
      <c r="Z243" s="158">
        <v>414.24</v>
      </c>
      <c r="AA243" s="148">
        <v>62136</v>
      </c>
      <c r="AB243" s="148">
        <f t="shared" si="41"/>
        <v>150</v>
      </c>
      <c r="AC243" s="204"/>
      <c r="AD243" s="157" t="str">
        <f t="shared" si="42"/>
        <v/>
      </c>
      <c r="AE243" s="150" t="str">
        <f t="shared" si="43"/>
        <v/>
      </c>
    </row>
    <row r="244" spans="2:31" x14ac:dyDescent="0.25">
      <c r="B244" s="152">
        <v>3</v>
      </c>
      <c r="C244" s="157" t="s">
        <v>69</v>
      </c>
      <c r="D244" s="154" t="s">
        <v>62</v>
      </c>
      <c r="E244" s="157" t="s">
        <v>113</v>
      </c>
      <c r="F244" s="141">
        <v>342</v>
      </c>
      <c r="G244" s="155" t="s">
        <v>134</v>
      </c>
      <c r="H244" s="204">
        <v>44288</v>
      </c>
      <c r="I244" s="143" t="str">
        <f t="shared" si="34"/>
        <v>2021</v>
      </c>
      <c r="J244" s="143" t="str">
        <f t="shared" si="35"/>
        <v>Apr</v>
      </c>
      <c r="K244" s="204">
        <v>44302</v>
      </c>
      <c r="L244" s="157" t="s">
        <v>159</v>
      </c>
      <c r="M244" s="204">
        <v>44331</v>
      </c>
      <c r="N244" s="143" t="str">
        <f t="shared" si="36"/>
        <v>2021</v>
      </c>
      <c r="O244" s="143" t="str">
        <f t="shared" si="37"/>
        <v>May</v>
      </c>
      <c r="P244" s="157" t="s">
        <v>162</v>
      </c>
      <c r="Q244" s="146" t="s">
        <v>17</v>
      </c>
      <c r="R244" s="157" t="s">
        <v>41</v>
      </c>
      <c r="S244" s="141" t="s">
        <v>20</v>
      </c>
      <c r="T244" s="204">
        <v>44360</v>
      </c>
      <c r="U244" s="145" t="str">
        <f t="shared" si="38"/>
        <v>2021</v>
      </c>
      <c r="V244" s="145" t="str">
        <f t="shared" si="39"/>
        <v>Jun</v>
      </c>
      <c r="W244" s="141">
        <f t="shared" ca="1" si="33"/>
        <v>51</v>
      </c>
      <c r="X244" s="157" t="s">
        <v>91</v>
      </c>
      <c r="Y244" s="157">
        <f t="shared" ca="1" si="40"/>
        <v>1224</v>
      </c>
      <c r="Z244" s="158">
        <v>36.72</v>
      </c>
      <c r="AA244" s="148">
        <v>5508</v>
      </c>
      <c r="AB244" s="148">
        <f t="shared" si="41"/>
        <v>150</v>
      </c>
      <c r="AC244" s="204">
        <v>44305</v>
      </c>
      <c r="AD244" s="146" t="str">
        <f t="shared" si="42"/>
        <v>2021</v>
      </c>
      <c r="AE244" s="150" t="str">
        <f t="shared" si="43"/>
        <v>Apr</v>
      </c>
    </row>
    <row r="245" spans="2:31" x14ac:dyDescent="0.25">
      <c r="B245" s="152">
        <v>4</v>
      </c>
      <c r="C245" s="157" t="s">
        <v>70</v>
      </c>
      <c r="D245" s="154" t="s">
        <v>63</v>
      </c>
      <c r="E245" s="157" t="s">
        <v>114</v>
      </c>
      <c r="F245" s="141">
        <v>343</v>
      </c>
      <c r="G245" s="155" t="s">
        <v>125</v>
      </c>
      <c r="H245" s="204">
        <v>44289</v>
      </c>
      <c r="I245" s="143" t="str">
        <f t="shared" si="34"/>
        <v>2021</v>
      </c>
      <c r="J245" s="143" t="str">
        <f t="shared" si="35"/>
        <v>Apr</v>
      </c>
      <c r="K245" s="204">
        <v>44290</v>
      </c>
      <c r="L245" s="157" t="s">
        <v>159</v>
      </c>
      <c r="M245" s="204">
        <v>44339</v>
      </c>
      <c r="N245" s="143" t="str">
        <f t="shared" si="36"/>
        <v>2021</v>
      </c>
      <c r="O245" s="143" t="str">
        <f t="shared" si="37"/>
        <v>May</v>
      </c>
      <c r="P245" s="157" t="s">
        <v>164</v>
      </c>
      <c r="Q245" s="146" t="s">
        <v>17</v>
      </c>
      <c r="R245" s="157" t="s">
        <v>42</v>
      </c>
      <c r="S245" s="141" t="s">
        <v>20</v>
      </c>
      <c r="T245" s="204">
        <v>44788</v>
      </c>
      <c r="U245" s="145" t="str">
        <f t="shared" si="38"/>
        <v>2022</v>
      </c>
      <c r="V245" s="145" t="str">
        <f t="shared" si="39"/>
        <v>Aug</v>
      </c>
      <c r="W245" s="141">
        <f t="shared" ca="1" si="33"/>
        <v>356</v>
      </c>
      <c r="X245" s="157" t="s">
        <v>92</v>
      </c>
      <c r="Y245" s="157">
        <f t="shared" ca="1" si="40"/>
        <v>8544</v>
      </c>
      <c r="Z245" s="158">
        <v>170.88</v>
      </c>
      <c r="AA245" s="148">
        <v>25632</v>
      </c>
      <c r="AB245" s="148">
        <f t="shared" si="41"/>
        <v>150</v>
      </c>
      <c r="AC245" s="204">
        <v>44293</v>
      </c>
      <c r="AD245" s="146" t="str">
        <f t="shared" si="42"/>
        <v>2021</v>
      </c>
      <c r="AE245" s="150" t="str">
        <f t="shared" si="43"/>
        <v>Apr</v>
      </c>
    </row>
    <row r="246" spans="2:31" x14ac:dyDescent="0.25">
      <c r="B246" s="152">
        <v>5</v>
      </c>
      <c r="C246" s="157" t="s">
        <v>71</v>
      </c>
      <c r="D246" s="154" t="s">
        <v>64</v>
      </c>
      <c r="E246" s="157" t="s">
        <v>115</v>
      </c>
      <c r="F246" s="141">
        <v>344</v>
      </c>
      <c r="G246" s="155" t="s">
        <v>126</v>
      </c>
      <c r="H246" s="204">
        <v>44292</v>
      </c>
      <c r="I246" s="143" t="str">
        <f t="shared" si="34"/>
        <v>2021</v>
      </c>
      <c r="J246" s="143" t="str">
        <f t="shared" si="35"/>
        <v>Apr</v>
      </c>
      <c r="K246" s="204">
        <v>44300</v>
      </c>
      <c r="L246" s="157" t="s">
        <v>161</v>
      </c>
      <c r="M246" s="204">
        <v>44327</v>
      </c>
      <c r="N246" s="143" t="str">
        <f t="shared" si="36"/>
        <v>2021</v>
      </c>
      <c r="O246" s="143" t="str">
        <f t="shared" si="37"/>
        <v>May</v>
      </c>
      <c r="P246" s="157" t="s">
        <v>162</v>
      </c>
      <c r="Q246" s="146" t="s">
        <v>17</v>
      </c>
      <c r="R246" s="157" t="s">
        <v>43</v>
      </c>
      <c r="S246" s="141" t="s">
        <v>20</v>
      </c>
      <c r="T246" s="204">
        <v>44331</v>
      </c>
      <c r="U246" s="145" t="str">
        <f t="shared" si="38"/>
        <v>2021</v>
      </c>
      <c r="V246" s="145" t="str">
        <f t="shared" si="39"/>
        <v>May</v>
      </c>
      <c r="W246" s="141">
        <f t="shared" ca="1" si="33"/>
        <v>29</v>
      </c>
      <c r="X246" s="157" t="s">
        <v>93</v>
      </c>
      <c r="Y246" s="157">
        <f t="shared" ca="1" si="40"/>
        <v>696</v>
      </c>
      <c r="Z246" s="158">
        <v>6.96</v>
      </c>
      <c r="AA246" s="148">
        <v>1044</v>
      </c>
      <c r="AB246" s="148">
        <f t="shared" si="41"/>
        <v>150</v>
      </c>
      <c r="AC246" s="204">
        <v>44303</v>
      </c>
      <c r="AD246" s="146" t="str">
        <f t="shared" si="42"/>
        <v>2021</v>
      </c>
      <c r="AE246" s="150" t="str">
        <f t="shared" si="43"/>
        <v>Apr</v>
      </c>
    </row>
    <row r="247" spans="2:31" x14ac:dyDescent="0.25">
      <c r="B247" s="152">
        <v>6</v>
      </c>
      <c r="C247" s="157" t="s">
        <v>72</v>
      </c>
      <c r="D247" s="154" t="s">
        <v>65</v>
      </c>
      <c r="E247" s="157" t="s">
        <v>116</v>
      </c>
      <c r="F247" s="141">
        <v>345</v>
      </c>
      <c r="G247" s="155" t="s">
        <v>127</v>
      </c>
      <c r="H247" s="204">
        <v>44293</v>
      </c>
      <c r="I247" s="143" t="str">
        <f t="shared" si="34"/>
        <v>2021</v>
      </c>
      <c r="J247" s="143" t="str">
        <f t="shared" si="35"/>
        <v>Apr</v>
      </c>
      <c r="K247" s="204">
        <v>44296</v>
      </c>
      <c r="L247" s="157" t="s">
        <v>156</v>
      </c>
      <c r="M247" s="204">
        <v>44332</v>
      </c>
      <c r="N247" s="143" t="str">
        <f t="shared" si="36"/>
        <v>2021</v>
      </c>
      <c r="O247" s="143" t="str">
        <f t="shared" si="37"/>
        <v>May</v>
      </c>
      <c r="P247" s="157" t="s">
        <v>162</v>
      </c>
      <c r="Q247" s="146" t="s">
        <v>17</v>
      </c>
      <c r="R247" s="157" t="s">
        <v>44</v>
      </c>
      <c r="S247" s="141" t="s">
        <v>20</v>
      </c>
      <c r="T247" s="204">
        <v>44663</v>
      </c>
      <c r="U247" s="145" t="str">
        <f t="shared" si="38"/>
        <v>2022</v>
      </c>
      <c r="V247" s="145" t="str">
        <f t="shared" si="39"/>
        <v>Apr</v>
      </c>
      <c r="W247" s="141">
        <f t="shared" ca="1" si="33"/>
        <v>265</v>
      </c>
      <c r="X247" s="157" t="s">
        <v>94</v>
      </c>
      <c r="Y247" s="157">
        <f t="shared" ca="1" si="40"/>
        <v>6360</v>
      </c>
      <c r="Z247" s="158">
        <v>127.2</v>
      </c>
      <c r="AA247" s="148">
        <v>19080</v>
      </c>
      <c r="AB247" s="148">
        <f t="shared" si="41"/>
        <v>150</v>
      </c>
      <c r="AC247" s="204">
        <v>44299</v>
      </c>
      <c r="AD247" s="146" t="str">
        <f t="shared" si="42"/>
        <v>2021</v>
      </c>
      <c r="AE247" s="150" t="str">
        <f t="shared" si="43"/>
        <v>Apr</v>
      </c>
    </row>
    <row r="248" spans="2:31" x14ac:dyDescent="0.25">
      <c r="B248" s="152">
        <v>7</v>
      </c>
      <c r="C248" s="157" t="s">
        <v>73</v>
      </c>
      <c r="D248" s="154" t="s">
        <v>66</v>
      </c>
      <c r="E248" s="157" t="s">
        <v>117</v>
      </c>
      <c r="F248" s="141">
        <v>346</v>
      </c>
      <c r="G248" s="155" t="s">
        <v>128</v>
      </c>
      <c r="H248" s="204">
        <v>44295</v>
      </c>
      <c r="I248" s="143" t="str">
        <f t="shared" si="34"/>
        <v>2021</v>
      </c>
      <c r="J248" s="143" t="str">
        <f t="shared" si="35"/>
        <v>Apr</v>
      </c>
      <c r="K248" s="204">
        <v>44305</v>
      </c>
      <c r="L248" s="157" t="s">
        <v>156</v>
      </c>
      <c r="M248" s="204">
        <v>44325</v>
      </c>
      <c r="N248" s="143" t="str">
        <f t="shared" si="36"/>
        <v>2021</v>
      </c>
      <c r="O248" s="143" t="str">
        <f t="shared" si="37"/>
        <v>May</v>
      </c>
      <c r="P248" s="157" t="s">
        <v>164</v>
      </c>
      <c r="Q248" s="146" t="s">
        <v>267</v>
      </c>
      <c r="R248" s="157" t="s">
        <v>45</v>
      </c>
      <c r="S248" s="141" t="s">
        <v>20</v>
      </c>
      <c r="T248" s="204">
        <v>44771</v>
      </c>
      <c r="U248" s="145" t="str">
        <f t="shared" si="38"/>
        <v>2022</v>
      </c>
      <c r="V248" s="145" t="str">
        <f t="shared" si="39"/>
        <v>Jul</v>
      </c>
      <c r="W248" s="141">
        <f t="shared" ca="1" si="33"/>
        <v>341</v>
      </c>
      <c r="X248" s="157" t="s">
        <v>95</v>
      </c>
      <c r="Y248" s="157">
        <f t="shared" ca="1" si="40"/>
        <v>8184</v>
      </c>
      <c r="Z248" s="158">
        <v>81.84</v>
      </c>
      <c r="AA248" s="148">
        <v>6138</v>
      </c>
      <c r="AB248" s="148">
        <f t="shared" si="41"/>
        <v>75</v>
      </c>
      <c r="AC248" s="204">
        <v>44308</v>
      </c>
      <c r="AD248" s="146" t="str">
        <f t="shared" si="42"/>
        <v>2021</v>
      </c>
      <c r="AE248" s="150" t="str">
        <f t="shared" si="43"/>
        <v>Apr</v>
      </c>
    </row>
    <row r="249" spans="2:31" x14ac:dyDescent="0.25">
      <c r="B249" s="152">
        <v>8</v>
      </c>
      <c r="C249" s="157" t="s">
        <v>74</v>
      </c>
      <c r="D249" s="154" t="s">
        <v>67</v>
      </c>
      <c r="E249" s="157" t="s">
        <v>118</v>
      </c>
      <c r="F249" s="141">
        <v>347</v>
      </c>
      <c r="G249" s="155" t="s">
        <v>129</v>
      </c>
      <c r="H249" s="204">
        <v>44296</v>
      </c>
      <c r="I249" s="143" t="str">
        <f t="shared" si="34"/>
        <v>2021</v>
      </c>
      <c r="J249" s="143" t="str">
        <f t="shared" si="35"/>
        <v>Apr</v>
      </c>
      <c r="K249" s="204">
        <v>44296</v>
      </c>
      <c r="L249" s="157" t="s">
        <v>160</v>
      </c>
      <c r="M249" s="204">
        <v>44332</v>
      </c>
      <c r="N249" s="143" t="str">
        <f t="shared" si="36"/>
        <v>2021</v>
      </c>
      <c r="O249" s="143" t="str">
        <f t="shared" si="37"/>
        <v>May</v>
      </c>
      <c r="P249" s="157" t="s">
        <v>162</v>
      </c>
      <c r="Q249" s="146" t="s">
        <v>17</v>
      </c>
      <c r="R249" s="157" t="s">
        <v>46</v>
      </c>
      <c r="S249" s="141" t="s">
        <v>20</v>
      </c>
      <c r="T249" s="204">
        <v>44360</v>
      </c>
      <c r="U249" s="145" t="str">
        <f t="shared" si="38"/>
        <v>2021</v>
      </c>
      <c r="V249" s="145" t="str">
        <f t="shared" si="39"/>
        <v>Jun</v>
      </c>
      <c r="W249" s="141">
        <f t="shared" ca="1" si="33"/>
        <v>45</v>
      </c>
      <c r="X249" s="157" t="s">
        <v>96</v>
      </c>
      <c r="Y249" s="157">
        <f t="shared" ca="1" si="40"/>
        <v>1080</v>
      </c>
      <c r="Z249" s="158">
        <v>21.6</v>
      </c>
      <c r="AA249" s="148">
        <v>3240</v>
      </c>
      <c r="AB249" s="148">
        <f t="shared" si="41"/>
        <v>150</v>
      </c>
      <c r="AC249" s="204">
        <v>44299</v>
      </c>
      <c r="AD249" s="146" t="str">
        <f t="shared" si="42"/>
        <v>2021</v>
      </c>
      <c r="AE249" s="150" t="str">
        <f t="shared" si="43"/>
        <v>Apr</v>
      </c>
    </row>
    <row r="250" spans="2:31" x14ac:dyDescent="0.25">
      <c r="B250" s="152">
        <v>9</v>
      </c>
      <c r="C250" s="157" t="s">
        <v>75</v>
      </c>
      <c r="D250" s="154" t="s">
        <v>68</v>
      </c>
      <c r="E250" s="157" t="s">
        <v>115</v>
      </c>
      <c r="F250" s="141">
        <v>348</v>
      </c>
      <c r="G250" s="155" t="s">
        <v>134</v>
      </c>
      <c r="H250" s="204">
        <v>44296</v>
      </c>
      <c r="I250" s="143" t="str">
        <f t="shared" si="34"/>
        <v>2021</v>
      </c>
      <c r="J250" s="143" t="str">
        <f t="shared" si="35"/>
        <v>Apr</v>
      </c>
      <c r="K250" s="204">
        <v>44296</v>
      </c>
      <c r="L250" s="157" t="s">
        <v>159</v>
      </c>
      <c r="M250" s="204">
        <v>44336</v>
      </c>
      <c r="N250" s="143" t="str">
        <f t="shared" si="36"/>
        <v>2021</v>
      </c>
      <c r="O250" s="143" t="str">
        <f t="shared" si="37"/>
        <v>May</v>
      </c>
      <c r="P250" s="157" t="s">
        <v>164</v>
      </c>
      <c r="Q250" s="146" t="s">
        <v>17</v>
      </c>
      <c r="R250" s="157" t="s">
        <v>47</v>
      </c>
      <c r="S250" s="141" t="s">
        <v>20</v>
      </c>
      <c r="T250" s="204">
        <v>44510</v>
      </c>
      <c r="U250" s="145" t="str">
        <f t="shared" si="38"/>
        <v>2021</v>
      </c>
      <c r="V250" s="145" t="str">
        <f t="shared" si="39"/>
        <v>Nov</v>
      </c>
      <c r="W250" s="141">
        <f t="shared" ca="1" si="33"/>
        <v>153</v>
      </c>
      <c r="X250" s="157" t="s">
        <v>97</v>
      </c>
      <c r="Y250" s="157">
        <f t="shared" ca="1" si="40"/>
        <v>3672</v>
      </c>
      <c r="Z250" s="158">
        <v>73.44</v>
      </c>
      <c r="AA250" s="148">
        <v>11016</v>
      </c>
      <c r="AB250" s="148">
        <f t="shared" si="41"/>
        <v>150</v>
      </c>
      <c r="AC250" s="204">
        <v>44299</v>
      </c>
      <c r="AD250" s="146" t="str">
        <f t="shared" si="42"/>
        <v>2021</v>
      </c>
      <c r="AE250" s="150" t="str">
        <f t="shared" si="43"/>
        <v>Apr</v>
      </c>
    </row>
    <row r="251" spans="2:31" x14ac:dyDescent="0.25">
      <c r="B251" s="152">
        <v>10</v>
      </c>
      <c r="C251" s="157" t="s">
        <v>76</v>
      </c>
      <c r="D251" s="154" t="s">
        <v>55</v>
      </c>
      <c r="E251" s="157" t="s">
        <v>116</v>
      </c>
      <c r="F251" s="141">
        <v>349</v>
      </c>
      <c r="G251" s="155" t="s">
        <v>130</v>
      </c>
      <c r="H251" s="204">
        <v>44296</v>
      </c>
      <c r="I251" s="143" t="str">
        <f t="shared" si="34"/>
        <v>2021</v>
      </c>
      <c r="J251" s="143" t="str">
        <f t="shared" si="35"/>
        <v>Apr</v>
      </c>
      <c r="K251" s="204">
        <v>44307</v>
      </c>
      <c r="L251" s="151" t="s">
        <v>161</v>
      </c>
      <c r="M251" s="204">
        <v>44325</v>
      </c>
      <c r="N251" s="143" t="str">
        <f t="shared" si="36"/>
        <v>2021</v>
      </c>
      <c r="O251" s="143" t="str">
        <f t="shared" si="37"/>
        <v>May</v>
      </c>
      <c r="P251" s="157" t="s">
        <v>167</v>
      </c>
      <c r="Q251" s="146" t="s">
        <v>17</v>
      </c>
      <c r="R251" s="157" t="s">
        <v>48</v>
      </c>
      <c r="S251" s="141" t="s">
        <v>167</v>
      </c>
      <c r="T251" s="204" t="s">
        <v>274</v>
      </c>
      <c r="U251" s="145" t="str">
        <f t="shared" si="38"/>
        <v/>
      </c>
      <c r="V251" s="145" t="str">
        <f t="shared" si="39"/>
        <v/>
      </c>
      <c r="W251" s="141">
        <f t="shared" ca="1" si="33"/>
        <v>858</v>
      </c>
      <c r="X251" s="157" t="s">
        <v>98</v>
      </c>
      <c r="Y251" s="157">
        <f t="shared" ca="1" si="40"/>
        <v>20592</v>
      </c>
      <c r="Z251" s="158">
        <v>410.88</v>
      </c>
      <c r="AA251" s="148">
        <v>61632</v>
      </c>
      <c r="AB251" s="148">
        <f t="shared" si="41"/>
        <v>150</v>
      </c>
      <c r="AC251" s="204"/>
      <c r="AD251" s="157" t="str">
        <f t="shared" si="42"/>
        <v/>
      </c>
      <c r="AE251" s="150" t="str">
        <f t="shared" si="43"/>
        <v/>
      </c>
    </row>
    <row r="252" spans="2:31" x14ac:dyDescent="0.25">
      <c r="B252" s="152">
        <v>11</v>
      </c>
      <c r="C252" s="157" t="s">
        <v>77</v>
      </c>
      <c r="D252" s="154" t="s">
        <v>56</v>
      </c>
      <c r="E252" s="157" t="s">
        <v>117</v>
      </c>
      <c r="F252" s="141">
        <v>350</v>
      </c>
      <c r="G252" s="155" t="s">
        <v>131</v>
      </c>
      <c r="H252" s="204">
        <v>44296</v>
      </c>
      <c r="I252" s="143" t="str">
        <f t="shared" si="34"/>
        <v>2021</v>
      </c>
      <c r="J252" s="143" t="str">
        <f t="shared" si="35"/>
        <v>Apr</v>
      </c>
      <c r="K252" s="204">
        <v>44307</v>
      </c>
      <c r="L252" s="157" t="s">
        <v>161</v>
      </c>
      <c r="M252" s="204">
        <v>44329</v>
      </c>
      <c r="N252" s="143" t="str">
        <f t="shared" si="36"/>
        <v>2021</v>
      </c>
      <c r="O252" s="143" t="str">
        <f t="shared" si="37"/>
        <v>May</v>
      </c>
      <c r="P252" s="157" t="s">
        <v>162</v>
      </c>
      <c r="Q252" s="146" t="s">
        <v>266</v>
      </c>
      <c r="R252" s="157" t="s">
        <v>49</v>
      </c>
      <c r="S252" s="141" t="s">
        <v>20</v>
      </c>
      <c r="T252" s="204">
        <v>44585</v>
      </c>
      <c r="U252" s="145" t="str">
        <f t="shared" si="38"/>
        <v>2022</v>
      </c>
      <c r="V252" s="145" t="str">
        <f t="shared" si="39"/>
        <v>Jan</v>
      </c>
      <c r="W252" s="141">
        <f t="shared" ca="1" si="33"/>
        <v>206</v>
      </c>
      <c r="X252" s="157" t="s">
        <v>99</v>
      </c>
      <c r="Y252" s="157">
        <f t="shared" ca="1" si="40"/>
        <v>4944</v>
      </c>
      <c r="Z252" s="158">
        <v>148.32</v>
      </c>
      <c r="AA252" s="148">
        <v>7416</v>
      </c>
      <c r="AB252" s="148">
        <f t="shared" si="41"/>
        <v>50</v>
      </c>
      <c r="AC252" s="204">
        <v>44310</v>
      </c>
      <c r="AD252" s="146" t="str">
        <f t="shared" si="42"/>
        <v>2021</v>
      </c>
      <c r="AE252" s="150" t="str">
        <f t="shared" si="43"/>
        <v>Apr</v>
      </c>
    </row>
    <row r="253" spans="2:31" x14ac:dyDescent="0.25">
      <c r="B253" s="152">
        <v>12</v>
      </c>
      <c r="C253" s="157" t="s">
        <v>78</v>
      </c>
      <c r="D253" s="154" t="s">
        <v>57</v>
      </c>
      <c r="E253" s="157" t="s">
        <v>118</v>
      </c>
      <c r="F253" s="141">
        <v>351</v>
      </c>
      <c r="G253" s="155" t="s">
        <v>132</v>
      </c>
      <c r="H253" s="204">
        <v>44297</v>
      </c>
      <c r="I253" s="143" t="str">
        <f t="shared" si="34"/>
        <v>2021</v>
      </c>
      <c r="J253" s="143" t="str">
        <f t="shared" si="35"/>
        <v>Apr</v>
      </c>
      <c r="K253" s="204">
        <v>44310</v>
      </c>
      <c r="L253" s="157" t="s">
        <v>159</v>
      </c>
      <c r="M253" s="204">
        <v>44328</v>
      </c>
      <c r="N253" s="143" t="str">
        <f t="shared" si="36"/>
        <v>2021</v>
      </c>
      <c r="O253" s="143" t="str">
        <f t="shared" si="37"/>
        <v>May</v>
      </c>
      <c r="P253" s="157" t="s">
        <v>167</v>
      </c>
      <c r="Q253" s="146" t="s">
        <v>17</v>
      </c>
      <c r="R253" s="157" t="s">
        <v>50</v>
      </c>
      <c r="S253" s="141" t="s">
        <v>167</v>
      </c>
      <c r="T253" s="204" t="s">
        <v>274</v>
      </c>
      <c r="U253" s="145" t="str">
        <f t="shared" si="38"/>
        <v/>
      </c>
      <c r="V253" s="145" t="str">
        <f t="shared" si="39"/>
        <v/>
      </c>
      <c r="W253" s="141">
        <f t="shared" ca="1" si="33"/>
        <v>858</v>
      </c>
      <c r="X253" s="157" t="s">
        <v>100</v>
      </c>
      <c r="Y253" s="157">
        <f t="shared" ca="1" si="40"/>
        <v>20592</v>
      </c>
      <c r="Z253" s="158">
        <v>616.31999999999994</v>
      </c>
      <c r="AA253" s="148">
        <v>92447.999999999985</v>
      </c>
      <c r="AB253" s="148">
        <f t="shared" si="41"/>
        <v>150</v>
      </c>
      <c r="AC253" s="204"/>
      <c r="AD253" s="157" t="str">
        <f t="shared" si="42"/>
        <v/>
      </c>
      <c r="AE253" s="150" t="str">
        <f t="shared" si="43"/>
        <v/>
      </c>
    </row>
    <row r="254" spans="2:31" x14ac:dyDescent="0.25">
      <c r="B254" s="152">
        <v>1</v>
      </c>
      <c r="C254" s="153" t="s">
        <v>7</v>
      </c>
      <c r="D254" s="154" t="s">
        <v>8</v>
      </c>
      <c r="E254" s="157" t="s">
        <v>111</v>
      </c>
      <c r="F254" s="141">
        <v>352</v>
      </c>
      <c r="G254" s="155" t="s">
        <v>134</v>
      </c>
      <c r="H254" s="204">
        <v>44299</v>
      </c>
      <c r="I254" s="143" t="str">
        <f t="shared" si="34"/>
        <v>2021</v>
      </c>
      <c r="J254" s="143" t="str">
        <f t="shared" si="35"/>
        <v>Apr</v>
      </c>
      <c r="K254" s="204">
        <v>44308</v>
      </c>
      <c r="L254" s="157" t="s">
        <v>159</v>
      </c>
      <c r="M254" s="204">
        <v>44339</v>
      </c>
      <c r="N254" s="143" t="str">
        <f t="shared" si="36"/>
        <v>2021</v>
      </c>
      <c r="O254" s="143" t="str">
        <f t="shared" si="37"/>
        <v>May</v>
      </c>
      <c r="P254" s="157" t="s">
        <v>162</v>
      </c>
      <c r="Q254" s="146" t="s">
        <v>17</v>
      </c>
      <c r="R254" s="157" t="s">
        <v>18</v>
      </c>
      <c r="S254" s="141" t="s">
        <v>20</v>
      </c>
      <c r="T254" s="204">
        <v>44814</v>
      </c>
      <c r="U254" s="145" t="str">
        <f t="shared" si="38"/>
        <v>2022</v>
      </c>
      <c r="V254" s="145" t="str">
        <f t="shared" si="39"/>
        <v>Sep</v>
      </c>
      <c r="W254" s="141">
        <f t="shared" ca="1" si="33"/>
        <v>369</v>
      </c>
      <c r="X254" s="157" t="s">
        <v>89</v>
      </c>
      <c r="Y254" s="157">
        <f t="shared" ca="1" si="40"/>
        <v>8856</v>
      </c>
      <c r="Z254" s="158">
        <v>177.12</v>
      </c>
      <c r="AA254" s="148">
        <v>26568</v>
      </c>
      <c r="AB254" s="148">
        <f t="shared" si="41"/>
        <v>150</v>
      </c>
      <c r="AC254" s="204">
        <v>44311</v>
      </c>
      <c r="AD254" s="146" t="str">
        <f t="shared" si="42"/>
        <v>2021</v>
      </c>
      <c r="AE254" s="150" t="str">
        <f t="shared" si="43"/>
        <v>Apr</v>
      </c>
    </row>
    <row r="255" spans="2:31" x14ac:dyDescent="0.25">
      <c r="B255" s="152">
        <v>2</v>
      </c>
      <c r="C255" s="153" t="s">
        <v>10</v>
      </c>
      <c r="D255" s="154" t="s">
        <v>11</v>
      </c>
      <c r="E255" s="157" t="s">
        <v>112</v>
      </c>
      <c r="F255" s="141">
        <v>353</v>
      </c>
      <c r="G255" s="155" t="s">
        <v>133</v>
      </c>
      <c r="H255" s="204">
        <v>44301</v>
      </c>
      <c r="I255" s="143" t="str">
        <f t="shared" si="34"/>
        <v>2021</v>
      </c>
      <c r="J255" s="143" t="str">
        <f t="shared" si="35"/>
        <v>Apr</v>
      </c>
      <c r="K255" s="204">
        <v>44312</v>
      </c>
      <c r="L255" s="157" t="s">
        <v>161</v>
      </c>
      <c r="M255" s="204">
        <v>44350</v>
      </c>
      <c r="N255" s="143" t="str">
        <f t="shared" si="36"/>
        <v>2021</v>
      </c>
      <c r="O255" s="143" t="str">
        <f t="shared" si="37"/>
        <v>Jun</v>
      </c>
      <c r="P255" s="157" t="s">
        <v>164</v>
      </c>
      <c r="Q255" s="146" t="s">
        <v>268</v>
      </c>
      <c r="R255" s="157" t="s">
        <v>19</v>
      </c>
      <c r="S255" s="141" t="s">
        <v>20</v>
      </c>
      <c r="T255" s="204">
        <v>44851</v>
      </c>
      <c r="U255" s="145" t="str">
        <f t="shared" si="38"/>
        <v>2022</v>
      </c>
      <c r="V255" s="145" t="str">
        <f t="shared" si="39"/>
        <v>Oct</v>
      </c>
      <c r="W255" s="141">
        <f t="shared" ca="1" si="33"/>
        <v>393</v>
      </c>
      <c r="X255" s="157" t="s">
        <v>90</v>
      </c>
      <c r="Y255" s="157">
        <f t="shared" ca="1" si="40"/>
        <v>9432</v>
      </c>
      <c r="Z255" s="158">
        <v>188.64000000000001</v>
      </c>
      <c r="AA255" s="148">
        <v>22636.800000000003</v>
      </c>
      <c r="AB255" s="148">
        <f t="shared" si="41"/>
        <v>120</v>
      </c>
      <c r="AC255" s="204">
        <v>44315</v>
      </c>
      <c r="AD255" s="146" t="str">
        <f t="shared" si="42"/>
        <v>2021</v>
      </c>
      <c r="AE255" s="150" t="str">
        <f t="shared" si="43"/>
        <v>Apr</v>
      </c>
    </row>
    <row r="256" spans="2:31" x14ac:dyDescent="0.25">
      <c r="B256" s="152">
        <v>3</v>
      </c>
      <c r="C256" s="157" t="s">
        <v>69</v>
      </c>
      <c r="D256" s="154" t="s">
        <v>62</v>
      </c>
      <c r="E256" s="157" t="s">
        <v>113</v>
      </c>
      <c r="F256" s="141">
        <v>354</v>
      </c>
      <c r="G256" s="155" t="s">
        <v>134</v>
      </c>
      <c r="H256" s="204">
        <v>44308</v>
      </c>
      <c r="I256" s="143" t="str">
        <f t="shared" si="34"/>
        <v>2021</v>
      </c>
      <c r="J256" s="143" t="str">
        <f t="shared" si="35"/>
        <v>Apr</v>
      </c>
      <c r="K256" s="204">
        <v>44313</v>
      </c>
      <c r="L256" s="157" t="s">
        <v>157</v>
      </c>
      <c r="M256" s="204">
        <v>44337</v>
      </c>
      <c r="N256" s="143" t="str">
        <f t="shared" si="36"/>
        <v>2021</v>
      </c>
      <c r="O256" s="143" t="str">
        <f t="shared" si="37"/>
        <v>May</v>
      </c>
      <c r="P256" s="157" t="s">
        <v>165</v>
      </c>
      <c r="Q256" s="146" t="s">
        <v>17</v>
      </c>
      <c r="R256" s="157" t="s">
        <v>41</v>
      </c>
      <c r="S256" s="141" t="s">
        <v>20</v>
      </c>
      <c r="T256" s="204">
        <v>44657</v>
      </c>
      <c r="U256" s="145" t="str">
        <f t="shared" si="38"/>
        <v>2022</v>
      </c>
      <c r="V256" s="145" t="str">
        <f t="shared" si="39"/>
        <v>Apr</v>
      </c>
      <c r="W256" s="141">
        <f t="shared" ca="1" si="33"/>
        <v>250</v>
      </c>
      <c r="X256" s="157" t="s">
        <v>91</v>
      </c>
      <c r="Y256" s="157">
        <f t="shared" ca="1" si="40"/>
        <v>6000</v>
      </c>
      <c r="Z256" s="158">
        <v>180</v>
      </c>
      <c r="AA256" s="148">
        <v>27000</v>
      </c>
      <c r="AB256" s="148">
        <f t="shared" si="41"/>
        <v>150</v>
      </c>
      <c r="AC256" s="204">
        <v>44316</v>
      </c>
      <c r="AD256" s="146" t="str">
        <f t="shared" si="42"/>
        <v>2021</v>
      </c>
      <c r="AE256" s="150" t="str">
        <f t="shared" si="43"/>
        <v>Apr</v>
      </c>
    </row>
    <row r="257" spans="2:31" x14ac:dyDescent="0.25">
      <c r="B257" s="152">
        <v>4</v>
      </c>
      <c r="C257" s="157" t="s">
        <v>70</v>
      </c>
      <c r="D257" s="154" t="s">
        <v>63</v>
      </c>
      <c r="E257" s="157" t="s">
        <v>114</v>
      </c>
      <c r="F257" s="141">
        <v>355</v>
      </c>
      <c r="G257" s="155" t="s">
        <v>135</v>
      </c>
      <c r="H257" s="204">
        <v>44310</v>
      </c>
      <c r="I257" s="143" t="str">
        <f t="shared" si="34"/>
        <v>2021</v>
      </c>
      <c r="J257" s="143" t="str">
        <f t="shared" si="35"/>
        <v>Apr</v>
      </c>
      <c r="K257" s="204">
        <v>44314</v>
      </c>
      <c r="L257" s="157" t="s">
        <v>157</v>
      </c>
      <c r="M257" s="204">
        <v>44362</v>
      </c>
      <c r="N257" s="143" t="str">
        <f t="shared" si="36"/>
        <v>2021</v>
      </c>
      <c r="O257" s="143" t="str">
        <f t="shared" si="37"/>
        <v>Jun</v>
      </c>
      <c r="P257" s="157" t="s">
        <v>164</v>
      </c>
      <c r="Q257" s="146" t="s">
        <v>269</v>
      </c>
      <c r="R257" s="157" t="s">
        <v>42</v>
      </c>
      <c r="S257" s="141" t="s">
        <v>20</v>
      </c>
      <c r="T257" s="204">
        <v>44467</v>
      </c>
      <c r="U257" s="145" t="str">
        <f t="shared" si="38"/>
        <v>2021</v>
      </c>
      <c r="V257" s="145" t="str">
        <f t="shared" si="39"/>
        <v>Sep</v>
      </c>
      <c r="W257" s="141">
        <f t="shared" ca="1" si="33"/>
        <v>112</v>
      </c>
      <c r="X257" s="157" t="s">
        <v>92</v>
      </c>
      <c r="Y257" s="157">
        <f t="shared" ca="1" si="40"/>
        <v>2688</v>
      </c>
      <c r="Z257" s="158">
        <v>80.64</v>
      </c>
      <c r="AA257" s="148">
        <v>4032</v>
      </c>
      <c r="AB257" s="148">
        <f t="shared" si="41"/>
        <v>50</v>
      </c>
      <c r="AC257" s="204">
        <v>44317</v>
      </c>
      <c r="AD257" s="146" t="str">
        <f t="shared" si="42"/>
        <v>2021</v>
      </c>
      <c r="AE257" s="150" t="str">
        <f t="shared" si="43"/>
        <v>May</v>
      </c>
    </row>
    <row r="258" spans="2:31" x14ac:dyDescent="0.25">
      <c r="B258" s="152">
        <v>5</v>
      </c>
      <c r="C258" s="157" t="s">
        <v>71</v>
      </c>
      <c r="D258" s="154" t="s">
        <v>64</v>
      </c>
      <c r="E258" s="157" t="s">
        <v>115</v>
      </c>
      <c r="F258" s="141">
        <v>356</v>
      </c>
      <c r="G258" s="155" t="s">
        <v>135</v>
      </c>
      <c r="H258" s="204">
        <v>44310</v>
      </c>
      <c r="I258" s="143" t="str">
        <f t="shared" si="34"/>
        <v>2021</v>
      </c>
      <c r="J258" s="143" t="str">
        <f t="shared" si="35"/>
        <v>Apr</v>
      </c>
      <c r="K258" s="204">
        <v>44312</v>
      </c>
      <c r="L258" s="157" t="s">
        <v>159</v>
      </c>
      <c r="M258" s="204">
        <v>44348</v>
      </c>
      <c r="N258" s="143" t="str">
        <f t="shared" si="36"/>
        <v>2021</v>
      </c>
      <c r="O258" s="143" t="str">
        <f t="shared" si="37"/>
        <v>Jun</v>
      </c>
      <c r="P258" s="157" t="s">
        <v>165</v>
      </c>
      <c r="Q258" s="146" t="s">
        <v>269</v>
      </c>
      <c r="R258" s="157" t="s">
        <v>43</v>
      </c>
      <c r="S258" s="141" t="s">
        <v>20</v>
      </c>
      <c r="T258" s="204">
        <v>44504</v>
      </c>
      <c r="U258" s="145" t="str">
        <f t="shared" si="38"/>
        <v>2021</v>
      </c>
      <c r="V258" s="145" t="str">
        <f t="shared" si="39"/>
        <v>Nov</v>
      </c>
      <c r="W258" s="141">
        <f t="shared" ca="1" si="33"/>
        <v>139</v>
      </c>
      <c r="X258" s="157" t="s">
        <v>93</v>
      </c>
      <c r="Y258" s="157">
        <f t="shared" ca="1" si="40"/>
        <v>3336</v>
      </c>
      <c r="Z258" s="158">
        <v>66.72</v>
      </c>
      <c r="AA258" s="148">
        <v>3336</v>
      </c>
      <c r="AB258" s="148">
        <f t="shared" si="41"/>
        <v>50</v>
      </c>
      <c r="AC258" s="204">
        <v>44315</v>
      </c>
      <c r="AD258" s="146" t="str">
        <f t="shared" si="42"/>
        <v>2021</v>
      </c>
      <c r="AE258" s="150" t="str">
        <f t="shared" si="43"/>
        <v>Apr</v>
      </c>
    </row>
    <row r="259" spans="2:31" x14ac:dyDescent="0.25">
      <c r="B259" s="152">
        <v>6</v>
      </c>
      <c r="C259" s="157" t="s">
        <v>72</v>
      </c>
      <c r="D259" s="154" t="s">
        <v>65</v>
      </c>
      <c r="E259" s="157" t="s">
        <v>116</v>
      </c>
      <c r="F259" s="141">
        <v>357</v>
      </c>
      <c r="G259" s="155" t="s">
        <v>136</v>
      </c>
      <c r="H259" s="204">
        <v>44311</v>
      </c>
      <c r="I259" s="143" t="str">
        <f t="shared" si="34"/>
        <v>2021</v>
      </c>
      <c r="J259" s="143" t="str">
        <f t="shared" si="35"/>
        <v>Apr</v>
      </c>
      <c r="K259" s="204">
        <v>44318</v>
      </c>
      <c r="L259" s="157" t="s">
        <v>157</v>
      </c>
      <c r="M259" s="204">
        <v>44364</v>
      </c>
      <c r="N259" s="143" t="str">
        <f t="shared" si="36"/>
        <v>2021</v>
      </c>
      <c r="O259" s="143" t="str">
        <f t="shared" si="37"/>
        <v>Jun</v>
      </c>
      <c r="P259" s="157" t="s">
        <v>162</v>
      </c>
      <c r="Q259" s="146" t="s">
        <v>17</v>
      </c>
      <c r="R259" s="157" t="s">
        <v>44</v>
      </c>
      <c r="S259" s="141" t="s">
        <v>20</v>
      </c>
      <c r="T259" s="204">
        <v>44789</v>
      </c>
      <c r="U259" s="145" t="str">
        <f t="shared" si="38"/>
        <v>2022</v>
      </c>
      <c r="V259" s="145" t="str">
        <f t="shared" si="39"/>
        <v>Aug</v>
      </c>
      <c r="W259" s="141">
        <f t="shared" ref="W259:W322" ca="1" si="44">IF($T259="",NETWORKDAYS($H259,TODAY()),NETWORKDAYS($H259,$T259))</f>
        <v>342</v>
      </c>
      <c r="X259" s="157" t="s">
        <v>94</v>
      </c>
      <c r="Y259" s="157">
        <f t="shared" ca="1" si="40"/>
        <v>8208</v>
      </c>
      <c r="Z259" s="158">
        <v>246.23999999999998</v>
      </c>
      <c r="AA259" s="148">
        <v>36936</v>
      </c>
      <c r="AB259" s="148">
        <f t="shared" si="41"/>
        <v>150</v>
      </c>
      <c r="AC259" s="204">
        <v>44321</v>
      </c>
      <c r="AD259" s="146" t="str">
        <f t="shared" si="42"/>
        <v>2021</v>
      </c>
      <c r="AE259" s="150" t="str">
        <f t="shared" si="43"/>
        <v>May</v>
      </c>
    </row>
    <row r="260" spans="2:31" x14ac:dyDescent="0.25">
      <c r="B260" s="152">
        <v>7</v>
      </c>
      <c r="C260" s="157" t="s">
        <v>73</v>
      </c>
      <c r="D260" s="154" t="s">
        <v>66</v>
      </c>
      <c r="E260" s="157" t="s">
        <v>117</v>
      </c>
      <c r="F260" s="141">
        <v>358</v>
      </c>
      <c r="G260" s="155" t="s">
        <v>137</v>
      </c>
      <c r="H260" s="204">
        <v>44320</v>
      </c>
      <c r="I260" s="143" t="str">
        <f t="shared" ref="I260:I323" si="45">TEXT($H260,"YYYY")</f>
        <v>2021</v>
      </c>
      <c r="J260" s="143" t="str">
        <f t="shared" ref="J260:J323" si="46">TEXT($H260,"MMM")</f>
        <v>May</v>
      </c>
      <c r="K260" s="204">
        <v>44334</v>
      </c>
      <c r="L260" s="157" t="s">
        <v>158</v>
      </c>
      <c r="M260" s="204">
        <v>44362</v>
      </c>
      <c r="N260" s="143" t="str">
        <f t="shared" ref="N260:N323" si="47">TEXT($M260,"YYYY")</f>
        <v>2021</v>
      </c>
      <c r="O260" s="143" t="str">
        <f t="shared" ref="O260:O323" si="48">TEXT($M260,"MMM")</f>
        <v>Jun</v>
      </c>
      <c r="P260" s="157" t="s">
        <v>162</v>
      </c>
      <c r="Q260" s="146" t="s">
        <v>29</v>
      </c>
      <c r="R260" s="157" t="s">
        <v>45</v>
      </c>
      <c r="S260" s="141" t="s">
        <v>20</v>
      </c>
      <c r="T260" s="204">
        <v>44467</v>
      </c>
      <c r="U260" s="145" t="str">
        <f t="shared" ref="U260:U323" si="49">IF($T260="","",TEXT($T260,"YYYY"))</f>
        <v>2021</v>
      </c>
      <c r="V260" s="145" t="str">
        <f t="shared" ref="V260:V323" si="50">IF($T260="","",TEXT($T260,"MMM"))</f>
        <v>Sep</v>
      </c>
      <c r="W260" s="141">
        <f t="shared" ca="1" si="44"/>
        <v>106</v>
      </c>
      <c r="X260" s="157" t="s">
        <v>95</v>
      </c>
      <c r="Y260" s="157">
        <f t="shared" ref="Y260:Y323" ca="1" si="51">W260*24</f>
        <v>2544</v>
      </c>
      <c r="Z260" s="158">
        <v>76.319999999999993</v>
      </c>
      <c r="AA260" s="148">
        <v>2289.6</v>
      </c>
      <c r="AB260" s="148">
        <f t="shared" ref="AB260:AB323" si="52">AA260/Z260</f>
        <v>30</v>
      </c>
      <c r="AC260" s="204">
        <v>44337</v>
      </c>
      <c r="AD260" s="146" t="str">
        <f t="shared" ref="AD260:AD323" si="53">IF(AC260="","",TEXT(AC260,"yyyy"))</f>
        <v>2021</v>
      </c>
      <c r="AE260" s="150" t="str">
        <f t="shared" ref="AE260:AE323" si="54">IF(AC260="","",TEXT(AC260,"mmm"))</f>
        <v>May</v>
      </c>
    </row>
    <row r="261" spans="2:31" x14ac:dyDescent="0.25">
      <c r="B261" s="152">
        <v>8</v>
      </c>
      <c r="C261" s="157" t="s">
        <v>74</v>
      </c>
      <c r="D261" s="154" t="s">
        <v>67</v>
      </c>
      <c r="E261" s="157" t="s">
        <v>118</v>
      </c>
      <c r="F261" s="141">
        <v>359</v>
      </c>
      <c r="G261" s="155" t="s">
        <v>138</v>
      </c>
      <c r="H261" s="204">
        <v>44324</v>
      </c>
      <c r="I261" s="143" t="str">
        <f t="shared" si="45"/>
        <v>2021</v>
      </c>
      <c r="J261" s="143" t="str">
        <f t="shared" si="46"/>
        <v>May</v>
      </c>
      <c r="K261" s="204">
        <v>44329</v>
      </c>
      <c r="L261" s="157" t="s">
        <v>160</v>
      </c>
      <c r="M261" s="204">
        <v>44352</v>
      </c>
      <c r="N261" s="143" t="str">
        <f t="shared" si="47"/>
        <v>2021</v>
      </c>
      <c r="O261" s="143" t="str">
        <f t="shared" si="48"/>
        <v>Jun</v>
      </c>
      <c r="P261" s="157" t="s">
        <v>165</v>
      </c>
      <c r="Q261" s="146" t="s">
        <v>270</v>
      </c>
      <c r="R261" s="157" t="s">
        <v>46</v>
      </c>
      <c r="S261" s="141" t="s">
        <v>20</v>
      </c>
      <c r="T261" s="204">
        <v>44576</v>
      </c>
      <c r="U261" s="145" t="str">
        <f t="shared" si="49"/>
        <v>2022</v>
      </c>
      <c r="V261" s="145" t="str">
        <f t="shared" si="50"/>
        <v>Jan</v>
      </c>
      <c r="W261" s="141">
        <f t="shared" ca="1" si="44"/>
        <v>180</v>
      </c>
      <c r="X261" s="157" t="s">
        <v>96</v>
      </c>
      <c r="Y261" s="157">
        <f t="shared" ca="1" si="51"/>
        <v>4320</v>
      </c>
      <c r="Z261" s="158">
        <v>43.2</v>
      </c>
      <c r="AA261" s="148">
        <v>1296</v>
      </c>
      <c r="AB261" s="148">
        <f t="shared" si="52"/>
        <v>29.999999999999996</v>
      </c>
      <c r="AC261" s="204">
        <v>44332</v>
      </c>
      <c r="AD261" s="146" t="str">
        <f t="shared" si="53"/>
        <v>2021</v>
      </c>
      <c r="AE261" s="150" t="str">
        <f t="shared" si="54"/>
        <v>May</v>
      </c>
    </row>
    <row r="262" spans="2:31" x14ac:dyDescent="0.25">
      <c r="B262" s="152">
        <v>5</v>
      </c>
      <c r="C262" s="157" t="s">
        <v>71</v>
      </c>
      <c r="D262" s="154" t="s">
        <v>64</v>
      </c>
      <c r="E262" s="157" t="s">
        <v>115</v>
      </c>
      <c r="F262" s="141">
        <v>360</v>
      </c>
      <c r="G262" s="155" t="s">
        <v>139</v>
      </c>
      <c r="H262" s="204">
        <v>44326</v>
      </c>
      <c r="I262" s="143" t="str">
        <f t="shared" si="45"/>
        <v>2021</v>
      </c>
      <c r="J262" s="143" t="str">
        <f t="shared" si="46"/>
        <v>May</v>
      </c>
      <c r="K262" s="204">
        <v>44333</v>
      </c>
      <c r="L262" s="157" t="s">
        <v>160</v>
      </c>
      <c r="M262" s="204">
        <v>44364</v>
      </c>
      <c r="N262" s="143" t="str">
        <f t="shared" si="47"/>
        <v>2021</v>
      </c>
      <c r="O262" s="143" t="str">
        <f t="shared" si="48"/>
        <v>Jun</v>
      </c>
      <c r="P262" s="157" t="s">
        <v>165</v>
      </c>
      <c r="Q262" s="146" t="s">
        <v>271</v>
      </c>
      <c r="R262" s="157" t="s">
        <v>43</v>
      </c>
      <c r="S262" s="141" t="s">
        <v>20</v>
      </c>
      <c r="T262" s="204">
        <v>44623</v>
      </c>
      <c r="U262" s="145" t="str">
        <f t="shared" si="49"/>
        <v>2022</v>
      </c>
      <c r="V262" s="145" t="str">
        <f t="shared" si="50"/>
        <v>Mar</v>
      </c>
      <c r="W262" s="141">
        <f t="shared" ca="1" si="44"/>
        <v>214</v>
      </c>
      <c r="X262" s="157" t="s">
        <v>93</v>
      </c>
      <c r="Y262" s="157">
        <f t="shared" ca="1" si="51"/>
        <v>5136</v>
      </c>
      <c r="Z262" s="158">
        <v>154.07999999999998</v>
      </c>
      <c r="AA262" s="148">
        <v>9244.7999999999993</v>
      </c>
      <c r="AB262" s="148">
        <f t="shared" si="52"/>
        <v>60</v>
      </c>
      <c r="AC262" s="204">
        <v>44336</v>
      </c>
      <c r="AD262" s="146" t="str">
        <f t="shared" si="53"/>
        <v>2021</v>
      </c>
      <c r="AE262" s="150" t="str">
        <f t="shared" si="54"/>
        <v>May</v>
      </c>
    </row>
    <row r="263" spans="2:31" x14ac:dyDescent="0.25">
      <c r="B263" s="152">
        <v>6</v>
      </c>
      <c r="C263" s="157" t="s">
        <v>72</v>
      </c>
      <c r="D263" s="154" t="s">
        <v>65</v>
      </c>
      <c r="E263" s="157" t="s">
        <v>116</v>
      </c>
      <c r="F263" s="141">
        <v>361</v>
      </c>
      <c r="G263" s="155" t="s">
        <v>140</v>
      </c>
      <c r="H263" s="204">
        <v>44328</v>
      </c>
      <c r="I263" s="143" t="str">
        <f t="shared" si="45"/>
        <v>2021</v>
      </c>
      <c r="J263" s="143" t="str">
        <f t="shared" si="46"/>
        <v>May</v>
      </c>
      <c r="K263" s="204">
        <v>44339</v>
      </c>
      <c r="L263" s="157" t="s">
        <v>156</v>
      </c>
      <c r="M263" s="204">
        <v>44378</v>
      </c>
      <c r="N263" s="143" t="str">
        <f t="shared" si="47"/>
        <v>2021</v>
      </c>
      <c r="O263" s="143" t="str">
        <f t="shared" si="48"/>
        <v>Jul</v>
      </c>
      <c r="P263" s="157" t="s">
        <v>164</v>
      </c>
      <c r="Q263" s="146" t="s">
        <v>266</v>
      </c>
      <c r="R263" s="157" t="s">
        <v>44</v>
      </c>
      <c r="S263" s="141" t="s">
        <v>20</v>
      </c>
      <c r="T263" s="204">
        <v>44564</v>
      </c>
      <c r="U263" s="145" t="str">
        <f t="shared" si="49"/>
        <v>2022</v>
      </c>
      <c r="V263" s="145" t="str">
        <f t="shared" si="50"/>
        <v>Jan</v>
      </c>
      <c r="W263" s="141">
        <f t="shared" ca="1" si="44"/>
        <v>169</v>
      </c>
      <c r="X263" s="157" t="s">
        <v>94</v>
      </c>
      <c r="Y263" s="157">
        <f t="shared" ca="1" si="51"/>
        <v>4056</v>
      </c>
      <c r="Z263" s="158">
        <v>81.12</v>
      </c>
      <c r="AA263" s="148">
        <v>4056</v>
      </c>
      <c r="AB263" s="148">
        <f t="shared" si="52"/>
        <v>50</v>
      </c>
      <c r="AC263" s="204">
        <v>44342</v>
      </c>
      <c r="AD263" s="146" t="str">
        <f t="shared" si="53"/>
        <v>2021</v>
      </c>
      <c r="AE263" s="150" t="str">
        <f t="shared" si="54"/>
        <v>May</v>
      </c>
    </row>
    <row r="264" spans="2:31" x14ac:dyDescent="0.25">
      <c r="B264" s="152">
        <v>7</v>
      </c>
      <c r="C264" s="157" t="s">
        <v>73</v>
      </c>
      <c r="D264" s="154" t="s">
        <v>66</v>
      </c>
      <c r="E264" s="157" t="s">
        <v>117</v>
      </c>
      <c r="F264" s="141">
        <v>362</v>
      </c>
      <c r="G264" s="155" t="s">
        <v>141</v>
      </c>
      <c r="H264" s="204">
        <v>44331</v>
      </c>
      <c r="I264" s="143" t="str">
        <f t="shared" si="45"/>
        <v>2021</v>
      </c>
      <c r="J264" s="143" t="str">
        <f t="shared" si="46"/>
        <v>May</v>
      </c>
      <c r="K264" s="204">
        <v>44334</v>
      </c>
      <c r="L264" s="157" t="s">
        <v>160</v>
      </c>
      <c r="M264" s="204">
        <v>44369</v>
      </c>
      <c r="N264" s="143" t="str">
        <f t="shared" si="47"/>
        <v>2021</v>
      </c>
      <c r="O264" s="143" t="str">
        <f t="shared" si="48"/>
        <v>Jun</v>
      </c>
      <c r="P264" s="157" t="s">
        <v>162</v>
      </c>
      <c r="Q264" s="146" t="s">
        <v>17</v>
      </c>
      <c r="R264" s="157" t="s">
        <v>45</v>
      </c>
      <c r="S264" s="141" t="s">
        <v>20</v>
      </c>
      <c r="T264" s="204">
        <v>44737</v>
      </c>
      <c r="U264" s="145" t="str">
        <f t="shared" si="49"/>
        <v>2022</v>
      </c>
      <c r="V264" s="145" t="str">
        <f t="shared" si="50"/>
        <v>Jun</v>
      </c>
      <c r="W264" s="141">
        <f t="shared" ca="1" si="44"/>
        <v>290</v>
      </c>
      <c r="X264" s="157" t="s">
        <v>95</v>
      </c>
      <c r="Y264" s="157">
        <f t="shared" ca="1" si="51"/>
        <v>6960</v>
      </c>
      <c r="Z264" s="158">
        <v>208.79999999999998</v>
      </c>
      <c r="AA264" s="148">
        <v>31319.999999999996</v>
      </c>
      <c r="AB264" s="148">
        <f t="shared" si="52"/>
        <v>150</v>
      </c>
      <c r="AC264" s="204">
        <v>44337</v>
      </c>
      <c r="AD264" s="146" t="str">
        <f t="shared" si="53"/>
        <v>2021</v>
      </c>
      <c r="AE264" s="150" t="str">
        <f t="shared" si="54"/>
        <v>May</v>
      </c>
    </row>
    <row r="265" spans="2:31" x14ac:dyDescent="0.25">
      <c r="B265" s="152">
        <v>8</v>
      </c>
      <c r="C265" s="157" t="s">
        <v>74</v>
      </c>
      <c r="D265" s="154" t="s">
        <v>67</v>
      </c>
      <c r="E265" s="157" t="s">
        <v>118</v>
      </c>
      <c r="F265" s="141">
        <v>363</v>
      </c>
      <c r="G265" s="155" t="s">
        <v>142</v>
      </c>
      <c r="H265" s="204">
        <v>44332</v>
      </c>
      <c r="I265" s="143" t="str">
        <f t="shared" si="45"/>
        <v>2021</v>
      </c>
      <c r="J265" s="143" t="str">
        <f t="shared" si="46"/>
        <v>May</v>
      </c>
      <c r="K265" s="204">
        <v>44346</v>
      </c>
      <c r="L265" s="157" t="s">
        <v>156</v>
      </c>
      <c r="M265" s="204">
        <v>44386</v>
      </c>
      <c r="N265" s="143" t="str">
        <f t="shared" si="47"/>
        <v>2021</v>
      </c>
      <c r="O265" s="143" t="str">
        <f t="shared" si="48"/>
        <v>Jul</v>
      </c>
      <c r="P265" s="157" t="s">
        <v>165</v>
      </c>
      <c r="Q265" s="146" t="s">
        <v>266</v>
      </c>
      <c r="R265" s="157" t="s">
        <v>46</v>
      </c>
      <c r="S265" s="141" t="s">
        <v>20</v>
      </c>
      <c r="T265" s="204">
        <v>44502</v>
      </c>
      <c r="U265" s="145" t="str">
        <f t="shared" si="49"/>
        <v>2021</v>
      </c>
      <c r="V265" s="145" t="str">
        <f t="shared" si="50"/>
        <v>Nov</v>
      </c>
      <c r="W265" s="141">
        <f t="shared" ca="1" si="44"/>
        <v>122</v>
      </c>
      <c r="X265" s="157" t="s">
        <v>96</v>
      </c>
      <c r="Y265" s="157">
        <f t="shared" ca="1" si="51"/>
        <v>2928</v>
      </c>
      <c r="Z265" s="158">
        <v>29.28</v>
      </c>
      <c r="AA265" s="148">
        <v>1464</v>
      </c>
      <c r="AB265" s="148">
        <f t="shared" si="52"/>
        <v>50</v>
      </c>
      <c r="AC265" s="204">
        <v>44349</v>
      </c>
      <c r="AD265" s="146" t="str">
        <f t="shared" si="53"/>
        <v>2021</v>
      </c>
      <c r="AE265" s="150" t="str">
        <f t="shared" si="54"/>
        <v>Jun</v>
      </c>
    </row>
    <row r="266" spans="2:31" x14ac:dyDescent="0.25">
      <c r="B266" s="152">
        <v>9</v>
      </c>
      <c r="C266" s="157" t="s">
        <v>75</v>
      </c>
      <c r="D266" s="154" t="s">
        <v>68</v>
      </c>
      <c r="E266" s="157" t="s">
        <v>115</v>
      </c>
      <c r="F266" s="141">
        <v>364</v>
      </c>
      <c r="G266" s="155" t="s">
        <v>143</v>
      </c>
      <c r="H266" s="204">
        <v>44344</v>
      </c>
      <c r="I266" s="143" t="str">
        <f t="shared" si="45"/>
        <v>2021</v>
      </c>
      <c r="J266" s="143" t="str">
        <f t="shared" si="46"/>
        <v>May</v>
      </c>
      <c r="K266" s="204">
        <v>44354</v>
      </c>
      <c r="L266" s="157" t="s">
        <v>158</v>
      </c>
      <c r="M266" s="204">
        <v>44393</v>
      </c>
      <c r="N266" s="143" t="str">
        <f t="shared" si="47"/>
        <v>2021</v>
      </c>
      <c r="O266" s="143" t="str">
        <f t="shared" si="48"/>
        <v>Jul</v>
      </c>
      <c r="P266" s="157" t="s">
        <v>165</v>
      </c>
      <c r="Q266" s="146" t="s">
        <v>266</v>
      </c>
      <c r="R266" s="157" t="s">
        <v>47</v>
      </c>
      <c r="S266" s="141" t="s">
        <v>20</v>
      </c>
      <c r="T266" s="204">
        <v>44518</v>
      </c>
      <c r="U266" s="145" t="str">
        <f t="shared" si="49"/>
        <v>2021</v>
      </c>
      <c r="V266" s="145" t="str">
        <f t="shared" si="50"/>
        <v>Nov</v>
      </c>
      <c r="W266" s="141">
        <f t="shared" ca="1" si="44"/>
        <v>125</v>
      </c>
      <c r="X266" s="157" t="s">
        <v>97</v>
      </c>
      <c r="Y266" s="157">
        <f t="shared" ca="1" si="51"/>
        <v>3000</v>
      </c>
      <c r="Z266" s="158">
        <v>60</v>
      </c>
      <c r="AA266" s="148">
        <v>3000</v>
      </c>
      <c r="AB266" s="148">
        <f t="shared" si="52"/>
        <v>50</v>
      </c>
      <c r="AC266" s="204">
        <v>44357</v>
      </c>
      <c r="AD266" s="146" t="str">
        <f t="shared" si="53"/>
        <v>2021</v>
      </c>
      <c r="AE266" s="150" t="str">
        <f t="shared" si="54"/>
        <v>Jun</v>
      </c>
    </row>
    <row r="267" spans="2:31" x14ac:dyDescent="0.25">
      <c r="B267" s="152">
        <v>10</v>
      </c>
      <c r="C267" s="157" t="s">
        <v>76</v>
      </c>
      <c r="D267" s="154" t="s">
        <v>55</v>
      </c>
      <c r="E267" s="157" t="s">
        <v>116</v>
      </c>
      <c r="F267" s="141">
        <v>365</v>
      </c>
      <c r="G267" s="155" t="s">
        <v>144</v>
      </c>
      <c r="H267" s="204">
        <v>44345</v>
      </c>
      <c r="I267" s="143" t="str">
        <f t="shared" si="45"/>
        <v>2021</v>
      </c>
      <c r="J267" s="143" t="str">
        <f t="shared" si="46"/>
        <v>May</v>
      </c>
      <c r="K267" s="204">
        <v>44359</v>
      </c>
      <c r="L267" s="157" t="s">
        <v>158</v>
      </c>
      <c r="M267" s="204">
        <v>44399</v>
      </c>
      <c r="N267" s="143" t="str">
        <f t="shared" si="47"/>
        <v>2021</v>
      </c>
      <c r="O267" s="143" t="str">
        <f t="shared" si="48"/>
        <v>Jul</v>
      </c>
      <c r="P267" s="157" t="s">
        <v>164</v>
      </c>
      <c r="Q267" s="146" t="s">
        <v>17</v>
      </c>
      <c r="R267" s="157" t="s">
        <v>48</v>
      </c>
      <c r="S267" s="141" t="s">
        <v>20</v>
      </c>
      <c r="T267" s="204">
        <v>44430</v>
      </c>
      <c r="U267" s="145" t="str">
        <f t="shared" si="49"/>
        <v>2021</v>
      </c>
      <c r="V267" s="145" t="str">
        <f t="shared" si="50"/>
        <v>Aug</v>
      </c>
      <c r="W267" s="141">
        <f t="shared" ca="1" si="44"/>
        <v>60</v>
      </c>
      <c r="X267" s="157" t="s">
        <v>98</v>
      </c>
      <c r="Y267" s="157">
        <f t="shared" ca="1" si="51"/>
        <v>1440</v>
      </c>
      <c r="Z267" s="158">
        <v>43.199999999999996</v>
      </c>
      <c r="AA267" s="148">
        <v>6479.9999999999991</v>
      </c>
      <c r="AB267" s="148">
        <f t="shared" si="52"/>
        <v>150</v>
      </c>
      <c r="AC267" s="204">
        <v>44362</v>
      </c>
      <c r="AD267" s="146" t="str">
        <f t="shared" si="53"/>
        <v>2021</v>
      </c>
      <c r="AE267" s="150" t="str">
        <f t="shared" si="54"/>
        <v>Jun</v>
      </c>
    </row>
    <row r="268" spans="2:31" x14ac:dyDescent="0.25">
      <c r="B268" s="152">
        <v>11</v>
      </c>
      <c r="C268" s="157" t="s">
        <v>77</v>
      </c>
      <c r="D268" s="154" t="s">
        <v>56</v>
      </c>
      <c r="E268" s="157" t="s">
        <v>117</v>
      </c>
      <c r="F268" s="141">
        <v>366</v>
      </c>
      <c r="G268" s="155" t="s">
        <v>145</v>
      </c>
      <c r="H268" s="204">
        <v>44348</v>
      </c>
      <c r="I268" s="143" t="str">
        <f t="shared" si="45"/>
        <v>2021</v>
      </c>
      <c r="J268" s="143" t="str">
        <f t="shared" si="46"/>
        <v>Jun</v>
      </c>
      <c r="K268" s="204">
        <v>44356</v>
      </c>
      <c r="L268" s="157" t="s">
        <v>161</v>
      </c>
      <c r="M268" s="204">
        <v>44397</v>
      </c>
      <c r="N268" s="143" t="str">
        <f t="shared" si="47"/>
        <v>2021</v>
      </c>
      <c r="O268" s="143" t="str">
        <f t="shared" si="48"/>
        <v>Jul</v>
      </c>
      <c r="P268" s="157" t="s">
        <v>162</v>
      </c>
      <c r="Q268" s="146" t="s">
        <v>266</v>
      </c>
      <c r="R268" s="157" t="s">
        <v>49</v>
      </c>
      <c r="S268" s="141" t="s">
        <v>20</v>
      </c>
      <c r="T268" s="204">
        <v>44431</v>
      </c>
      <c r="U268" s="145" t="str">
        <f t="shared" si="49"/>
        <v>2021</v>
      </c>
      <c r="V268" s="145" t="str">
        <f t="shared" si="50"/>
        <v>Aug</v>
      </c>
      <c r="W268" s="141">
        <f t="shared" ca="1" si="44"/>
        <v>60</v>
      </c>
      <c r="X268" s="157" t="s">
        <v>99</v>
      </c>
      <c r="Y268" s="157">
        <f t="shared" ca="1" si="51"/>
        <v>1440</v>
      </c>
      <c r="Z268" s="158">
        <v>43.199999999999996</v>
      </c>
      <c r="AA268" s="148">
        <v>2160</v>
      </c>
      <c r="AB268" s="148">
        <f t="shared" si="52"/>
        <v>50.000000000000007</v>
      </c>
      <c r="AC268" s="204">
        <v>44359</v>
      </c>
      <c r="AD268" s="146" t="str">
        <f t="shared" si="53"/>
        <v>2021</v>
      </c>
      <c r="AE268" s="150" t="str">
        <f t="shared" si="54"/>
        <v>Jun</v>
      </c>
    </row>
    <row r="269" spans="2:31" x14ac:dyDescent="0.25">
      <c r="B269" s="152">
        <v>12</v>
      </c>
      <c r="C269" s="157" t="s">
        <v>78</v>
      </c>
      <c r="D269" s="154" t="s">
        <v>57</v>
      </c>
      <c r="E269" s="157" t="s">
        <v>118</v>
      </c>
      <c r="F269" s="141">
        <v>367</v>
      </c>
      <c r="G269" s="155" t="s">
        <v>146</v>
      </c>
      <c r="H269" s="204">
        <v>44349</v>
      </c>
      <c r="I269" s="143" t="str">
        <f t="shared" si="45"/>
        <v>2021</v>
      </c>
      <c r="J269" s="143" t="str">
        <f t="shared" si="46"/>
        <v>Jun</v>
      </c>
      <c r="K269" s="204">
        <v>44351</v>
      </c>
      <c r="L269" s="157" t="s">
        <v>161</v>
      </c>
      <c r="M269" s="204">
        <v>44382</v>
      </c>
      <c r="N269" s="143" t="str">
        <f t="shared" si="47"/>
        <v>2021</v>
      </c>
      <c r="O269" s="143" t="str">
        <f t="shared" si="48"/>
        <v>Jul</v>
      </c>
      <c r="P269" s="157" t="s">
        <v>164</v>
      </c>
      <c r="Q269" s="146" t="s">
        <v>17</v>
      </c>
      <c r="R269" s="157" t="s">
        <v>50</v>
      </c>
      <c r="S269" s="141" t="s">
        <v>20</v>
      </c>
      <c r="T269" s="204">
        <v>44738</v>
      </c>
      <c r="U269" s="145" t="str">
        <f t="shared" si="49"/>
        <v>2022</v>
      </c>
      <c r="V269" s="145" t="str">
        <f t="shared" si="50"/>
        <v>Jun</v>
      </c>
      <c r="W269" s="141">
        <f t="shared" ca="1" si="44"/>
        <v>278</v>
      </c>
      <c r="X269" s="157" t="s">
        <v>100</v>
      </c>
      <c r="Y269" s="157">
        <f t="shared" ca="1" si="51"/>
        <v>6672</v>
      </c>
      <c r="Z269" s="158">
        <v>133.44</v>
      </c>
      <c r="AA269" s="148">
        <v>20016</v>
      </c>
      <c r="AB269" s="148">
        <f t="shared" si="52"/>
        <v>150</v>
      </c>
      <c r="AC269" s="204">
        <v>44354</v>
      </c>
      <c r="AD269" s="146" t="str">
        <f t="shared" si="53"/>
        <v>2021</v>
      </c>
      <c r="AE269" s="150" t="str">
        <f t="shared" si="54"/>
        <v>Jun</v>
      </c>
    </row>
    <row r="270" spans="2:31" x14ac:dyDescent="0.25">
      <c r="B270" s="152">
        <v>13</v>
      </c>
      <c r="C270" s="157" t="s">
        <v>79</v>
      </c>
      <c r="D270" s="154" t="s">
        <v>58</v>
      </c>
      <c r="E270" s="157" t="s">
        <v>111</v>
      </c>
      <c r="F270" s="141">
        <v>368</v>
      </c>
      <c r="G270" s="155" t="s">
        <v>135</v>
      </c>
      <c r="H270" s="204">
        <v>44353</v>
      </c>
      <c r="I270" s="143" t="str">
        <f t="shared" si="45"/>
        <v>2021</v>
      </c>
      <c r="J270" s="143" t="str">
        <f t="shared" si="46"/>
        <v>Jun</v>
      </c>
      <c r="K270" s="204">
        <v>44357</v>
      </c>
      <c r="L270" s="157" t="s">
        <v>158</v>
      </c>
      <c r="M270" s="204">
        <v>44390</v>
      </c>
      <c r="N270" s="143" t="str">
        <f t="shared" si="47"/>
        <v>2021</v>
      </c>
      <c r="O270" s="143" t="str">
        <f t="shared" si="48"/>
        <v>Jul</v>
      </c>
      <c r="P270" s="157" t="s">
        <v>165</v>
      </c>
      <c r="Q270" s="146" t="s">
        <v>269</v>
      </c>
      <c r="R270" s="157" t="s">
        <v>51</v>
      </c>
      <c r="S270" s="141" t="s">
        <v>20</v>
      </c>
      <c r="T270" s="204">
        <v>44673</v>
      </c>
      <c r="U270" s="145" t="str">
        <f t="shared" si="49"/>
        <v>2022</v>
      </c>
      <c r="V270" s="145" t="str">
        <f t="shared" si="50"/>
        <v>Apr</v>
      </c>
      <c r="W270" s="141">
        <f t="shared" ca="1" si="44"/>
        <v>230</v>
      </c>
      <c r="X270" s="157" t="s">
        <v>101</v>
      </c>
      <c r="Y270" s="157">
        <f t="shared" ca="1" si="51"/>
        <v>5520</v>
      </c>
      <c r="Z270" s="158">
        <v>55.2</v>
      </c>
      <c r="AA270" s="148">
        <v>2760</v>
      </c>
      <c r="AB270" s="148">
        <f t="shared" si="52"/>
        <v>50</v>
      </c>
      <c r="AC270" s="204">
        <v>44360</v>
      </c>
      <c r="AD270" s="146" t="str">
        <f t="shared" si="53"/>
        <v>2021</v>
      </c>
      <c r="AE270" s="150" t="str">
        <f t="shared" si="54"/>
        <v>Jun</v>
      </c>
    </row>
    <row r="271" spans="2:31" x14ac:dyDescent="0.25">
      <c r="B271" s="152">
        <v>14</v>
      </c>
      <c r="C271" s="157" t="s">
        <v>80</v>
      </c>
      <c r="D271" s="154" t="s">
        <v>59</v>
      </c>
      <c r="E271" s="157" t="s">
        <v>112</v>
      </c>
      <c r="F271" s="141">
        <v>369</v>
      </c>
      <c r="G271" s="155" t="s">
        <v>147</v>
      </c>
      <c r="H271" s="204">
        <v>44361</v>
      </c>
      <c r="I271" s="143" t="str">
        <f t="shared" si="45"/>
        <v>2021</v>
      </c>
      <c r="J271" s="143" t="str">
        <f t="shared" si="46"/>
        <v>Jun</v>
      </c>
      <c r="K271" s="204">
        <v>44374</v>
      </c>
      <c r="L271" s="157" t="s">
        <v>161</v>
      </c>
      <c r="M271" s="204">
        <v>44404</v>
      </c>
      <c r="N271" s="143" t="str">
        <f t="shared" si="47"/>
        <v>2021</v>
      </c>
      <c r="O271" s="143" t="str">
        <f t="shared" si="48"/>
        <v>Jul</v>
      </c>
      <c r="P271" s="157" t="s">
        <v>165</v>
      </c>
      <c r="Q271" s="146" t="s">
        <v>272</v>
      </c>
      <c r="R271" s="157" t="s">
        <v>52</v>
      </c>
      <c r="S271" s="141" t="s">
        <v>20</v>
      </c>
      <c r="T271" s="204">
        <v>44441</v>
      </c>
      <c r="U271" s="145" t="str">
        <f t="shared" si="49"/>
        <v>2021</v>
      </c>
      <c r="V271" s="145" t="str">
        <f t="shared" si="50"/>
        <v>Sep</v>
      </c>
      <c r="W271" s="141">
        <f t="shared" ca="1" si="44"/>
        <v>59</v>
      </c>
      <c r="X271" s="157" t="s">
        <v>102</v>
      </c>
      <c r="Y271" s="157">
        <f t="shared" ca="1" si="51"/>
        <v>1416</v>
      </c>
      <c r="Z271" s="158">
        <v>14.16</v>
      </c>
      <c r="AA271" s="148">
        <v>1132.8</v>
      </c>
      <c r="AB271" s="148">
        <f t="shared" si="52"/>
        <v>80</v>
      </c>
      <c r="AC271" s="204">
        <v>44377</v>
      </c>
      <c r="AD271" s="146" t="str">
        <f t="shared" si="53"/>
        <v>2021</v>
      </c>
      <c r="AE271" s="150" t="str">
        <f t="shared" si="54"/>
        <v>Jun</v>
      </c>
    </row>
    <row r="272" spans="2:31" x14ac:dyDescent="0.25">
      <c r="B272" s="152">
        <v>15</v>
      </c>
      <c r="C272" s="157" t="s">
        <v>81</v>
      </c>
      <c r="D272" s="154" t="s">
        <v>60</v>
      </c>
      <c r="E272" s="157" t="s">
        <v>113</v>
      </c>
      <c r="F272" s="141">
        <v>370</v>
      </c>
      <c r="G272" s="155" t="s">
        <v>148</v>
      </c>
      <c r="H272" s="204">
        <v>44361</v>
      </c>
      <c r="I272" s="143" t="str">
        <f t="shared" si="45"/>
        <v>2021</v>
      </c>
      <c r="J272" s="143" t="str">
        <f t="shared" si="46"/>
        <v>Jun</v>
      </c>
      <c r="K272" s="204">
        <v>44367</v>
      </c>
      <c r="L272" s="157" t="s">
        <v>156</v>
      </c>
      <c r="M272" s="204">
        <v>44387</v>
      </c>
      <c r="N272" s="143" t="str">
        <f t="shared" si="47"/>
        <v>2021</v>
      </c>
      <c r="O272" s="143" t="str">
        <f t="shared" si="48"/>
        <v>Jul</v>
      </c>
      <c r="P272" s="157" t="s">
        <v>162</v>
      </c>
      <c r="Q272" s="146" t="s">
        <v>17</v>
      </c>
      <c r="R272" s="157" t="s">
        <v>53</v>
      </c>
      <c r="S272" s="141" t="s">
        <v>20</v>
      </c>
      <c r="T272" s="204">
        <v>44708</v>
      </c>
      <c r="U272" s="145" t="str">
        <f t="shared" si="49"/>
        <v>2022</v>
      </c>
      <c r="V272" s="145" t="str">
        <f t="shared" si="50"/>
        <v>May</v>
      </c>
      <c r="W272" s="141">
        <f t="shared" ca="1" si="44"/>
        <v>250</v>
      </c>
      <c r="X272" s="157" t="s">
        <v>103</v>
      </c>
      <c r="Y272" s="157">
        <f t="shared" ca="1" si="51"/>
        <v>6000</v>
      </c>
      <c r="Z272" s="158">
        <v>60</v>
      </c>
      <c r="AA272" s="148">
        <v>9000</v>
      </c>
      <c r="AB272" s="148">
        <f t="shared" si="52"/>
        <v>150</v>
      </c>
      <c r="AC272" s="204">
        <v>44370</v>
      </c>
      <c r="AD272" s="146" t="str">
        <f t="shared" si="53"/>
        <v>2021</v>
      </c>
      <c r="AE272" s="150" t="str">
        <f t="shared" si="54"/>
        <v>Jun</v>
      </c>
    </row>
    <row r="273" spans="2:31" x14ac:dyDescent="0.25">
      <c r="B273" s="152">
        <v>16</v>
      </c>
      <c r="C273" s="157" t="s">
        <v>82</v>
      </c>
      <c r="D273" s="154" t="s">
        <v>61</v>
      </c>
      <c r="E273" s="157" t="s">
        <v>114</v>
      </c>
      <c r="F273" s="141">
        <v>371</v>
      </c>
      <c r="G273" s="155" t="s">
        <v>149</v>
      </c>
      <c r="H273" s="204">
        <v>44362</v>
      </c>
      <c r="I273" s="143" t="str">
        <f t="shared" si="45"/>
        <v>2021</v>
      </c>
      <c r="J273" s="143" t="str">
        <f t="shared" si="46"/>
        <v>Jun</v>
      </c>
      <c r="K273" s="204">
        <v>44371</v>
      </c>
      <c r="L273" s="157" t="s">
        <v>156</v>
      </c>
      <c r="M273" s="204">
        <v>44412</v>
      </c>
      <c r="N273" s="143" t="str">
        <f t="shared" si="47"/>
        <v>2021</v>
      </c>
      <c r="O273" s="143" t="str">
        <f t="shared" si="48"/>
        <v>Aug</v>
      </c>
      <c r="P273" s="157" t="s">
        <v>165</v>
      </c>
      <c r="Q273" s="146" t="s">
        <v>17</v>
      </c>
      <c r="R273" s="157" t="s">
        <v>54</v>
      </c>
      <c r="S273" s="141" t="s">
        <v>20</v>
      </c>
      <c r="T273" s="204">
        <v>44715</v>
      </c>
      <c r="U273" s="145" t="str">
        <f t="shared" si="49"/>
        <v>2022</v>
      </c>
      <c r="V273" s="145" t="str">
        <f t="shared" si="50"/>
        <v>Jun</v>
      </c>
      <c r="W273" s="141">
        <f t="shared" ca="1" si="44"/>
        <v>254</v>
      </c>
      <c r="X273" s="157" t="s">
        <v>104</v>
      </c>
      <c r="Y273" s="157">
        <f t="shared" ca="1" si="51"/>
        <v>6096</v>
      </c>
      <c r="Z273" s="158">
        <v>121.92</v>
      </c>
      <c r="AA273" s="148">
        <v>18288</v>
      </c>
      <c r="AB273" s="148">
        <f t="shared" si="52"/>
        <v>150</v>
      </c>
      <c r="AC273" s="204">
        <v>44374</v>
      </c>
      <c r="AD273" s="146" t="str">
        <f t="shared" si="53"/>
        <v>2021</v>
      </c>
      <c r="AE273" s="150" t="str">
        <f t="shared" si="54"/>
        <v>Jun</v>
      </c>
    </row>
    <row r="274" spans="2:31" x14ac:dyDescent="0.25">
      <c r="B274" s="152">
        <v>17</v>
      </c>
      <c r="C274" s="157" t="s">
        <v>83</v>
      </c>
      <c r="D274" s="154" t="s">
        <v>33</v>
      </c>
      <c r="E274" s="157" t="s">
        <v>115</v>
      </c>
      <c r="F274" s="141">
        <v>372</v>
      </c>
      <c r="G274" s="155" t="s">
        <v>135</v>
      </c>
      <c r="H274" s="204">
        <v>44362</v>
      </c>
      <c r="I274" s="143" t="str">
        <f t="shared" si="45"/>
        <v>2021</v>
      </c>
      <c r="J274" s="143" t="str">
        <f t="shared" si="46"/>
        <v>Jun</v>
      </c>
      <c r="K274" s="204">
        <v>44365</v>
      </c>
      <c r="L274" s="157" t="s">
        <v>161</v>
      </c>
      <c r="M274" s="204">
        <v>44399</v>
      </c>
      <c r="N274" s="143" t="str">
        <f t="shared" si="47"/>
        <v>2021</v>
      </c>
      <c r="O274" s="143" t="str">
        <f t="shared" si="48"/>
        <v>Jul</v>
      </c>
      <c r="P274" s="157" t="s">
        <v>165</v>
      </c>
      <c r="Q274" s="146" t="s">
        <v>269</v>
      </c>
      <c r="R274" s="157" t="s">
        <v>38</v>
      </c>
      <c r="S274" s="141" t="s">
        <v>20</v>
      </c>
      <c r="T274" s="204">
        <v>44731</v>
      </c>
      <c r="U274" s="145" t="str">
        <f t="shared" si="49"/>
        <v>2022</v>
      </c>
      <c r="V274" s="145" t="str">
        <f t="shared" si="50"/>
        <v>Jun</v>
      </c>
      <c r="W274" s="141">
        <f t="shared" ca="1" si="44"/>
        <v>264</v>
      </c>
      <c r="X274" s="157" t="s">
        <v>105</v>
      </c>
      <c r="Y274" s="157">
        <f t="shared" ca="1" si="51"/>
        <v>6336</v>
      </c>
      <c r="Z274" s="158">
        <v>190.07999999999998</v>
      </c>
      <c r="AA274" s="148">
        <v>9504</v>
      </c>
      <c r="AB274" s="148">
        <f t="shared" si="52"/>
        <v>50.000000000000007</v>
      </c>
      <c r="AC274" s="204">
        <v>44368</v>
      </c>
      <c r="AD274" s="146" t="str">
        <f t="shared" si="53"/>
        <v>2021</v>
      </c>
      <c r="AE274" s="150" t="str">
        <f t="shared" si="54"/>
        <v>Jun</v>
      </c>
    </row>
    <row r="275" spans="2:31" x14ac:dyDescent="0.25">
      <c r="B275" s="152">
        <v>18</v>
      </c>
      <c r="C275" s="157" t="s">
        <v>84</v>
      </c>
      <c r="D275" s="154" t="s">
        <v>89</v>
      </c>
      <c r="E275" s="157" t="s">
        <v>112</v>
      </c>
      <c r="F275" s="141">
        <v>373</v>
      </c>
      <c r="G275" s="155" t="s">
        <v>150</v>
      </c>
      <c r="H275" s="204">
        <v>44363</v>
      </c>
      <c r="I275" s="143" t="str">
        <f t="shared" si="45"/>
        <v>2021</v>
      </c>
      <c r="J275" s="143" t="str">
        <f t="shared" si="46"/>
        <v>Jun</v>
      </c>
      <c r="K275" s="204">
        <v>44372</v>
      </c>
      <c r="L275" s="157" t="s">
        <v>161</v>
      </c>
      <c r="M275" s="204">
        <v>44393</v>
      </c>
      <c r="N275" s="143" t="str">
        <f t="shared" si="47"/>
        <v>2021</v>
      </c>
      <c r="O275" s="143" t="str">
        <f t="shared" si="48"/>
        <v>Jul</v>
      </c>
      <c r="P275" s="157" t="s">
        <v>162</v>
      </c>
      <c r="Q275" s="146" t="s">
        <v>29</v>
      </c>
      <c r="R275" s="157" t="s">
        <v>40</v>
      </c>
      <c r="S275" s="141" t="s">
        <v>20</v>
      </c>
      <c r="T275" s="204">
        <v>44535</v>
      </c>
      <c r="U275" s="145" t="str">
        <f t="shared" si="49"/>
        <v>2021</v>
      </c>
      <c r="V275" s="145" t="str">
        <f t="shared" si="50"/>
        <v>Dec</v>
      </c>
      <c r="W275" s="141">
        <f t="shared" ca="1" si="44"/>
        <v>123</v>
      </c>
      <c r="X275" s="157" t="s">
        <v>106</v>
      </c>
      <c r="Y275" s="157">
        <f t="shared" ca="1" si="51"/>
        <v>2952</v>
      </c>
      <c r="Z275" s="158">
        <v>88.56</v>
      </c>
      <c r="AA275" s="148">
        <v>2656.8</v>
      </c>
      <c r="AB275" s="148">
        <f t="shared" si="52"/>
        <v>30</v>
      </c>
      <c r="AC275" s="204">
        <v>44375</v>
      </c>
      <c r="AD275" s="146" t="str">
        <f t="shared" si="53"/>
        <v>2021</v>
      </c>
      <c r="AE275" s="150" t="str">
        <f t="shared" si="54"/>
        <v>Jun</v>
      </c>
    </row>
    <row r="276" spans="2:31" x14ac:dyDescent="0.25">
      <c r="B276" s="152">
        <v>1</v>
      </c>
      <c r="C276" s="153" t="s">
        <v>7</v>
      </c>
      <c r="D276" s="154" t="s">
        <v>8</v>
      </c>
      <c r="E276" s="157" t="s">
        <v>111</v>
      </c>
      <c r="F276" s="141">
        <v>374</v>
      </c>
      <c r="G276" s="155" t="s">
        <v>151</v>
      </c>
      <c r="H276" s="204">
        <v>44363</v>
      </c>
      <c r="I276" s="143" t="str">
        <f t="shared" si="45"/>
        <v>2021</v>
      </c>
      <c r="J276" s="143" t="str">
        <f t="shared" si="46"/>
        <v>Jun</v>
      </c>
      <c r="K276" s="204">
        <v>44378</v>
      </c>
      <c r="L276" s="151" t="s">
        <v>159</v>
      </c>
      <c r="M276" s="204">
        <v>44404</v>
      </c>
      <c r="N276" s="143" t="str">
        <f t="shared" si="47"/>
        <v>2021</v>
      </c>
      <c r="O276" s="143" t="str">
        <f t="shared" si="48"/>
        <v>Jul</v>
      </c>
      <c r="P276" s="157" t="s">
        <v>167</v>
      </c>
      <c r="Q276" s="146" t="s">
        <v>17</v>
      </c>
      <c r="R276" s="157" t="s">
        <v>18</v>
      </c>
      <c r="S276" s="141" t="s">
        <v>167</v>
      </c>
      <c r="T276" s="204" t="s">
        <v>274</v>
      </c>
      <c r="U276" s="145" t="str">
        <f t="shared" si="49"/>
        <v/>
      </c>
      <c r="V276" s="145" t="str">
        <f t="shared" si="50"/>
        <v/>
      </c>
      <c r="W276" s="141">
        <f t="shared" ca="1" si="44"/>
        <v>811</v>
      </c>
      <c r="X276" s="157" t="s">
        <v>89</v>
      </c>
      <c r="Y276" s="157">
        <f t="shared" ca="1" si="51"/>
        <v>19464</v>
      </c>
      <c r="Z276" s="158">
        <v>388.32</v>
      </c>
      <c r="AA276" s="148">
        <v>58248</v>
      </c>
      <c r="AB276" s="148">
        <f t="shared" si="52"/>
        <v>150</v>
      </c>
      <c r="AC276" s="204"/>
      <c r="AD276" s="157" t="str">
        <f t="shared" si="53"/>
        <v/>
      </c>
      <c r="AE276" s="150" t="str">
        <f t="shared" si="54"/>
        <v/>
      </c>
    </row>
    <row r="277" spans="2:31" x14ac:dyDescent="0.25">
      <c r="B277" s="152">
        <v>2</v>
      </c>
      <c r="C277" s="153" t="s">
        <v>10</v>
      </c>
      <c r="D277" s="154" t="s">
        <v>11</v>
      </c>
      <c r="E277" s="157" t="s">
        <v>112</v>
      </c>
      <c r="F277" s="141">
        <v>375</v>
      </c>
      <c r="G277" s="155" t="s">
        <v>152</v>
      </c>
      <c r="H277" s="204">
        <v>44368</v>
      </c>
      <c r="I277" s="143" t="str">
        <f t="shared" si="45"/>
        <v>2021</v>
      </c>
      <c r="J277" s="143" t="str">
        <f t="shared" si="46"/>
        <v>Jun</v>
      </c>
      <c r="K277" s="204">
        <v>44379</v>
      </c>
      <c r="L277" s="157" t="s">
        <v>161</v>
      </c>
      <c r="M277" s="204">
        <v>44393</v>
      </c>
      <c r="N277" s="143" t="str">
        <f t="shared" si="47"/>
        <v>2021</v>
      </c>
      <c r="O277" s="143" t="str">
        <f t="shared" si="48"/>
        <v>Jul</v>
      </c>
      <c r="P277" s="157" t="s">
        <v>165</v>
      </c>
      <c r="Q277" s="146" t="s">
        <v>17</v>
      </c>
      <c r="R277" s="157" t="s">
        <v>19</v>
      </c>
      <c r="S277" s="141" t="s">
        <v>20</v>
      </c>
      <c r="T277" s="204">
        <v>44492</v>
      </c>
      <c r="U277" s="145" t="str">
        <f t="shared" si="49"/>
        <v>2021</v>
      </c>
      <c r="V277" s="145" t="str">
        <f t="shared" si="50"/>
        <v>Oct</v>
      </c>
      <c r="W277" s="141">
        <f t="shared" ca="1" si="44"/>
        <v>90</v>
      </c>
      <c r="X277" s="157" t="s">
        <v>90</v>
      </c>
      <c r="Y277" s="157">
        <f t="shared" ca="1" si="51"/>
        <v>2160</v>
      </c>
      <c r="Z277" s="158">
        <v>43.2</v>
      </c>
      <c r="AA277" s="148">
        <v>6480</v>
      </c>
      <c r="AB277" s="148">
        <f t="shared" si="52"/>
        <v>150</v>
      </c>
      <c r="AC277" s="204">
        <v>44382</v>
      </c>
      <c r="AD277" s="146" t="str">
        <f t="shared" si="53"/>
        <v>2021</v>
      </c>
      <c r="AE277" s="150" t="str">
        <f t="shared" si="54"/>
        <v>Jul</v>
      </c>
    </row>
    <row r="278" spans="2:31" x14ac:dyDescent="0.25">
      <c r="B278" s="152">
        <v>3</v>
      </c>
      <c r="C278" s="157" t="s">
        <v>69</v>
      </c>
      <c r="D278" s="154" t="s">
        <v>62</v>
      </c>
      <c r="E278" s="157" t="s">
        <v>113</v>
      </c>
      <c r="F278" s="141">
        <v>376</v>
      </c>
      <c r="G278" s="155" t="s">
        <v>153</v>
      </c>
      <c r="H278" s="204">
        <v>44371</v>
      </c>
      <c r="I278" s="143" t="str">
        <f t="shared" si="45"/>
        <v>2021</v>
      </c>
      <c r="J278" s="143" t="str">
        <f t="shared" si="46"/>
        <v>Jun</v>
      </c>
      <c r="K278" s="204">
        <v>44373</v>
      </c>
      <c r="L278" s="157" t="s">
        <v>160</v>
      </c>
      <c r="M278" s="204">
        <v>44409</v>
      </c>
      <c r="N278" s="143" t="str">
        <f t="shared" si="47"/>
        <v>2021</v>
      </c>
      <c r="O278" s="143" t="str">
        <f t="shared" si="48"/>
        <v>Aug</v>
      </c>
      <c r="P278" s="157" t="s">
        <v>162</v>
      </c>
      <c r="Q278" s="146" t="s">
        <v>17</v>
      </c>
      <c r="R278" s="157" t="s">
        <v>41</v>
      </c>
      <c r="S278" s="141" t="s">
        <v>20</v>
      </c>
      <c r="T278" s="204">
        <v>44664</v>
      </c>
      <c r="U278" s="145" t="str">
        <f t="shared" si="49"/>
        <v>2022</v>
      </c>
      <c r="V278" s="145" t="str">
        <f t="shared" si="50"/>
        <v>Apr</v>
      </c>
      <c r="W278" s="141">
        <f t="shared" ca="1" si="44"/>
        <v>210</v>
      </c>
      <c r="X278" s="157" t="s">
        <v>91</v>
      </c>
      <c r="Y278" s="157">
        <f t="shared" ca="1" si="51"/>
        <v>5040</v>
      </c>
      <c r="Z278" s="158">
        <v>50.4</v>
      </c>
      <c r="AA278" s="148">
        <v>7560</v>
      </c>
      <c r="AB278" s="148">
        <f t="shared" si="52"/>
        <v>150</v>
      </c>
      <c r="AC278" s="204">
        <v>44376</v>
      </c>
      <c r="AD278" s="146" t="str">
        <f t="shared" si="53"/>
        <v>2021</v>
      </c>
      <c r="AE278" s="150" t="str">
        <f t="shared" si="54"/>
        <v>Jun</v>
      </c>
    </row>
    <row r="279" spans="2:31" x14ac:dyDescent="0.25">
      <c r="B279" s="152">
        <v>4</v>
      </c>
      <c r="C279" s="157" t="s">
        <v>70</v>
      </c>
      <c r="D279" s="154" t="s">
        <v>63</v>
      </c>
      <c r="E279" s="157" t="s">
        <v>114</v>
      </c>
      <c r="F279" s="141">
        <v>377</v>
      </c>
      <c r="G279" s="155" t="s">
        <v>135</v>
      </c>
      <c r="H279" s="204">
        <v>44375</v>
      </c>
      <c r="I279" s="143" t="str">
        <f t="shared" si="45"/>
        <v>2021</v>
      </c>
      <c r="J279" s="143" t="str">
        <f t="shared" si="46"/>
        <v>Jun</v>
      </c>
      <c r="K279" s="204">
        <v>44375</v>
      </c>
      <c r="L279" s="157" t="s">
        <v>158</v>
      </c>
      <c r="M279" s="204">
        <v>44416</v>
      </c>
      <c r="N279" s="143" t="str">
        <f t="shared" si="47"/>
        <v>2021</v>
      </c>
      <c r="O279" s="143" t="str">
        <f t="shared" si="48"/>
        <v>Aug</v>
      </c>
      <c r="P279" s="157" t="s">
        <v>164</v>
      </c>
      <c r="Q279" s="146" t="s">
        <v>269</v>
      </c>
      <c r="R279" s="157" t="s">
        <v>42</v>
      </c>
      <c r="S279" s="141" t="s">
        <v>20</v>
      </c>
      <c r="T279" s="204">
        <v>44551</v>
      </c>
      <c r="U279" s="145" t="str">
        <f t="shared" si="49"/>
        <v>2021</v>
      </c>
      <c r="V279" s="145" t="str">
        <f t="shared" si="50"/>
        <v>Dec</v>
      </c>
      <c r="W279" s="141">
        <f t="shared" ca="1" si="44"/>
        <v>127</v>
      </c>
      <c r="X279" s="157" t="s">
        <v>92</v>
      </c>
      <c r="Y279" s="157">
        <f t="shared" ca="1" si="51"/>
        <v>3048</v>
      </c>
      <c r="Z279" s="158">
        <v>91.44</v>
      </c>
      <c r="AA279" s="148">
        <v>4572</v>
      </c>
      <c r="AB279" s="148">
        <f t="shared" si="52"/>
        <v>50</v>
      </c>
      <c r="AC279" s="204">
        <v>44378</v>
      </c>
      <c r="AD279" s="146" t="str">
        <f t="shared" si="53"/>
        <v>2021</v>
      </c>
      <c r="AE279" s="150" t="str">
        <f t="shared" si="54"/>
        <v>Jul</v>
      </c>
    </row>
    <row r="280" spans="2:31" x14ac:dyDescent="0.25">
      <c r="B280" s="152">
        <v>5</v>
      </c>
      <c r="C280" s="157" t="s">
        <v>71</v>
      </c>
      <c r="D280" s="154" t="s">
        <v>64</v>
      </c>
      <c r="E280" s="157" t="s">
        <v>115</v>
      </c>
      <c r="F280" s="141">
        <v>378</v>
      </c>
      <c r="G280" s="155" t="s">
        <v>136</v>
      </c>
      <c r="H280" s="204">
        <v>44376</v>
      </c>
      <c r="I280" s="143" t="str">
        <f t="shared" si="45"/>
        <v>2021</v>
      </c>
      <c r="J280" s="143" t="str">
        <f t="shared" si="46"/>
        <v>Jun</v>
      </c>
      <c r="K280" s="204">
        <v>44378</v>
      </c>
      <c r="L280" s="157" t="s">
        <v>161</v>
      </c>
      <c r="M280" s="204">
        <v>44421</v>
      </c>
      <c r="N280" s="143" t="str">
        <f t="shared" si="47"/>
        <v>2021</v>
      </c>
      <c r="O280" s="143" t="str">
        <f t="shared" si="48"/>
        <v>Aug</v>
      </c>
      <c r="P280" s="157" t="s">
        <v>162</v>
      </c>
      <c r="Q280" s="146" t="s">
        <v>17</v>
      </c>
      <c r="R280" s="157" t="s">
        <v>43</v>
      </c>
      <c r="S280" s="141" t="s">
        <v>20</v>
      </c>
      <c r="T280" s="204">
        <v>44924</v>
      </c>
      <c r="U280" s="145" t="str">
        <f t="shared" si="49"/>
        <v>2022</v>
      </c>
      <c r="V280" s="145" t="str">
        <f t="shared" si="50"/>
        <v>Dec</v>
      </c>
      <c r="W280" s="141">
        <f t="shared" ca="1" si="44"/>
        <v>393</v>
      </c>
      <c r="X280" s="157" t="s">
        <v>93</v>
      </c>
      <c r="Y280" s="157">
        <f t="shared" ca="1" si="51"/>
        <v>9432</v>
      </c>
      <c r="Z280" s="158">
        <v>94.320000000000007</v>
      </c>
      <c r="AA280" s="148">
        <v>14148.000000000002</v>
      </c>
      <c r="AB280" s="148">
        <f t="shared" si="52"/>
        <v>150</v>
      </c>
      <c r="AC280" s="204">
        <v>44381</v>
      </c>
      <c r="AD280" s="146" t="str">
        <f t="shared" si="53"/>
        <v>2021</v>
      </c>
      <c r="AE280" s="150" t="str">
        <f t="shared" si="54"/>
        <v>Jul</v>
      </c>
    </row>
    <row r="281" spans="2:31" x14ac:dyDescent="0.25">
      <c r="B281" s="152">
        <v>6</v>
      </c>
      <c r="C281" s="157" t="s">
        <v>72</v>
      </c>
      <c r="D281" s="154" t="s">
        <v>65</v>
      </c>
      <c r="E281" s="157" t="s">
        <v>116</v>
      </c>
      <c r="F281" s="141">
        <v>379</v>
      </c>
      <c r="G281" s="155" t="s">
        <v>154</v>
      </c>
      <c r="H281" s="204">
        <v>44378</v>
      </c>
      <c r="I281" s="143" t="str">
        <f t="shared" si="45"/>
        <v>2021</v>
      </c>
      <c r="J281" s="143" t="str">
        <f t="shared" si="46"/>
        <v>Jul</v>
      </c>
      <c r="K281" s="204">
        <v>44386</v>
      </c>
      <c r="L281" s="157" t="s">
        <v>161</v>
      </c>
      <c r="M281" s="204">
        <v>44421</v>
      </c>
      <c r="N281" s="143" t="str">
        <f t="shared" si="47"/>
        <v>2021</v>
      </c>
      <c r="O281" s="143" t="str">
        <f t="shared" si="48"/>
        <v>Aug</v>
      </c>
      <c r="P281" s="157" t="s">
        <v>164</v>
      </c>
      <c r="Q281" s="146" t="s">
        <v>266</v>
      </c>
      <c r="R281" s="157" t="s">
        <v>44</v>
      </c>
      <c r="S281" s="141" t="s">
        <v>20</v>
      </c>
      <c r="T281" s="204">
        <v>44868</v>
      </c>
      <c r="U281" s="145" t="str">
        <f t="shared" si="49"/>
        <v>2022</v>
      </c>
      <c r="V281" s="145" t="str">
        <f t="shared" si="50"/>
        <v>Nov</v>
      </c>
      <c r="W281" s="141">
        <f t="shared" ca="1" si="44"/>
        <v>351</v>
      </c>
      <c r="X281" s="157" t="s">
        <v>94</v>
      </c>
      <c r="Y281" s="157">
        <f t="shared" ca="1" si="51"/>
        <v>8424</v>
      </c>
      <c r="Z281" s="158">
        <v>168.48</v>
      </c>
      <c r="AA281" s="148">
        <v>8424</v>
      </c>
      <c r="AB281" s="148">
        <f t="shared" si="52"/>
        <v>50</v>
      </c>
      <c r="AC281" s="204">
        <v>44389</v>
      </c>
      <c r="AD281" s="146" t="str">
        <f t="shared" si="53"/>
        <v>2021</v>
      </c>
      <c r="AE281" s="150" t="str">
        <f t="shared" si="54"/>
        <v>Jul</v>
      </c>
    </row>
    <row r="282" spans="2:31" x14ac:dyDescent="0.25">
      <c r="B282" s="152">
        <v>7</v>
      </c>
      <c r="C282" s="157" t="s">
        <v>73</v>
      </c>
      <c r="D282" s="154" t="s">
        <v>66</v>
      </c>
      <c r="E282" s="157" t="s">
        <v>117</v>
      </c>
      <c r="F282" s="141">
        <v>380</v>
      </c>
      <c r="G282" s="155" t="s">
        <v>155</v>
      </c>
      <c r="H282" s="204">
        <v>44379</v>
      </c>
      <c r="I282" s="143" t="str">
        <f t="shared" si="45"/>
        <v>2021</v>
      </c>
      <c r="J282" s="143" t="str">
        <f t="shared" si="46"/>
        <v>Jul</v>
      </c>
      <c r="K282" s="204">
        <v>44381</v>
      </c>
      <c r="L282" s="157" t="s">
        <v>158</v>
      </c>
      <c r="M282" s="204">
        <v>44413</v>
      </c>
      <c r="N282" s="143" t="str">
        <f t="shared" si="47"/>
        <v>2021</v>
      </c>
      <c r="O282" s="143" t="str">
        <f t="shared" si="48"/>
        <v>Aug</v>
      </c>
      <c r="P282" s="157" t="s">
        <v>162</v>
      </c>
      <c r="Q282" s="146" t="s">
        <v>266</v>
      </c>
      <c r="R282" s="157" t="s">
        <v>45</v>
      </c>
      <c r="S282" s="141" t="s">
        <v>20</v>
      </c>
      <c r="T282" s="204">
        <v>44895</v>
      </c>
      <c r="U282" s="145" t="str">
        <f t="shared" si="49"/>
        <v>2022</v>
      </c>
      <c r="V282" s="145" t="str">
        <f t="shared" si="50"/>
        <v>Nov</v>
      </c>
      <c r="W282" s="141">
        <f t="shared" ca="1" si="44"/>
        <v>369</v>
      </c>
      <c r="X282" s="157" t="s">
        <v>95</v>
      </c>
      <c r="Y282" s="157">
        <f t="shared" ca="1" si="51"/>
        <v>8856</v>
      </c>
      <c r="Z282" s="158">
        <v>177.12</v>
      </c>
      <c r="AA282" s="148">
        <v>8856</v>
      </c>
      <c r="AB282" s="148">
        <f t="shared" si="52"/>
        <v>50</v>
      </c>
      <c r="AC282" s="204">
        <v>44384</v>
      </c>
      <c r="AD282" s="146" t="str">
        <f t="shared" si="53"/>
        <v>2021</v>
      </c>
      <c r="AE282" s="150" t="str">
        <f t="shared" si="54"/>
        <v>Jul</v>
      </c>
    </row>
    <row r="283" spans="2:31" x14ac:dyDescent="0.25">
      <c r="B283" s="152">
        <v>8</v>
      </c>
      <c r="C283" s="157" t="s">
        <v>74</v>
      </c>
      <c r="D283" s="154" t="s">
        <v>67</v>
      </c>
      <c r="E283" s="157" t="s">
        <v>118</v>
      </c>
      <c r="F283" s="141">
        <v>381</v>
      </c>
      <c r="G283" s="154" t="s">
        <v>119</v>
      </c>
      <c r="H283" s="204">
        <v>44380</v>
      </c>
      <c r="I283" s="143" t="str">
        <f t="shared" si="45"/>
        <v>2021</v>
      </c>
      <c r="J283" s="143" t="str">
        <f t="shared" si="46"/>
        <v>Jul</v>
      </c>
      <c r="K283" s="204">
        <v>44387</v>
      </c>
      <c r="L283" s="157" t="s">
        <v>160</v>
      </c>
      <c r="M283" s="204">
        <v>44432</v>
      </c>
      <c r="N283" s="143" t="str">
        <f t="shared" si="47"/>
        <v>2021</v>
      </c>
      <c r="O283" s="143" t="str">
        <f t="shared" si="48"/>
        <v>Aug</v>
      </c>
      <c r="P283" s="157" t="s">
        <v>167</v>
      </c>
      <c r="Q283" s="146" t="s">
        <v>17</v>
      </c>
      <c r="R283" s="157" t="s">
        <v>46</v>
      </c>
      <c r="S283" s="141" t="s">
        <v>167</v>
      </c>
      <c r="T283" s="204" t="s">
        <v>274</v>
      </c>
      <c r="U283" s="145" t="str">
        <f t="shared" si="49"/>
        <v/>
      </c>
      <c r="V283" s="145" t="str">
        <f t="shared" si="50"/>
        <v/>
      </c>
      <c r="W283" s="141">
        <f t="shared" ca="1" si="44"/>
        <v>798</v>
      </c>
      <c r="X283" s="157" t="s">
        <v>96</v>
      </c>
      <c r="Y283" s="157">
        <f t="shared" ca="1" si="51"/>
        <v>19152</v>
      </c>
      <c r="Z283" s="158">
        <v>382.08</v>
      </c>
      <c r="AA283" s="148">
        <v>57312</v>
      </c>
      <c r="AB283" s="148">
        <f t="shared" si="52"/>
        <v>150</v>
      </c>
      <c r="AC283" s="204"/>
      <c r="AD283" s="157" t="str">
        <f t="shared" si="53"/>
        <v/>
      </c>
      <c r="AE283" s="150" t="str">
        <f t="shared" si="54"/>
        <v/>
      </c>
    </row>
    <row r="284" spans="2:31" x14ac:dyDescent="0.25">
      <c r="B284" s="152">
        <v>9</v>
      </c>
      <c r="C284" s="157" t="s">
        <v>75</v>
      </c>
      <c r="D284" s="154" t="s">
        <v>68</v>
      </c>
      <c r="E284" s="157" t="s">
        <v>115</v>
      </c>
      <c r="F284" s="141">
        <v>382</v>
      </c>
      <c r="G284" s="155" t="s">
        <v>136</v>
      </c>
      <c r="H284" s="204">
        <v>44381</v>
      </c>
      <c r="I284" s="143" t="str">
        <f t="shared" si="45"/>
        <v>2021</v>
      </c>
      <c r="J284" s="143" t="str">
        <f t="shared" si="46"/>
        <v>Jul</v>
      </c>
      <c r="K284" s="204">
        <v>44382</v>
      </c>
      <c r="L284" s="157" t="s">
        <v>157</v>
      </c>
      <c r="M284" s="204">
        <v>44413</v>
      </c>
      <c r="N284" s="143" t="str">
        <f t="shared" si="47"/>
        <v>2021</v>
      </c>
      <c r="O284" s="143" t="str">
        <f t="shared" si="48"/>
        <v>Aug</v>
      </c>
      <c r="P284" s="157" t="s">
        <v>165</v>
      </c>
      <c r="Q284" s="146" t="s">
        <v>17</v>
      </c>
      <c r="R284" s="157" t="s">
        <v>47</v>
      </c>
      <c r="S284" s="141" t="s">
        <v>20</v>
      </c>
      <c r="T284" s="204">
        <v>44678</v>
      </c>
      <c r="U284" s="145" t="str">
        <f t="shared" si="49"/>
        <v>2022</v>
      </c>
      <c r="V284" s="145" t="str">
        <f t="shared" si="50"/>
        <v>Apr</v>
      </c>
      <c r="W284" s="141">
        <f t="shared" ca="1" si="44"/>
        <v>213</v>
      </c>
      <c r="X284" s="157" t="s">
        <v>97</v>
      </c>
      <c r="Y284" s="157">
        <f t="shared" ca="1" si="51"/>
        <v>5112</v>
      </c>
      <c r="Z284" s="158">
        <v>102.24000000000001</v>
      </c>
      <c r="AA284" s="148">
        <v>15336.000000000002</v>
      </c>
      <c r="AB284" s="148">
        <f t="shared" si="52"/>
        <v>150</v>
      </c>
      <c r="AC284" s="204">
        <v>44385</v>
      </c>
      <c r="AD284" s="146" t="str">
        <f t="shared" si="53"/>
        <v>2021</v>
      </c>
      <c r="AE284" s="150" t="str">
        <f t="shared" si="54"/>
        <v>Jul</v>
      </c>
    </row>
    <row r="285" spans="2:31" x14ac:dyDescent="0.25">
      <c r="B285" s="152">
        <v>10</v>
      </c>
      <c r="C285" s="157" t="s">
        <v>76</v>
      </c>
      <c r="D285" s="154" t="s">
        <v>55</v>
      </c>
      <c r="E285" s="157" t="s">
        <v>116</v>
      </c>
      <c r="F285" s="141">
        <v>383</v>
      </c>
      <c r="G285" s="155" t="s">
        <v>137</v>
      </c>
      <c r="H285" s="204">
        <v>44392</v>
      </c>
      <c r="I285" s="143" t="str">
        <f t="shared" si="45"/>
        <v>2021</v>
      </c>
      <c r="J285" s="143" t="str">
        <f t="shared" si="46"/>
        <v>Jul</v>
      </c>
      <c r="K285" s="204">
        <v>44407</v>
      </c>
      <c r="L285" s="157" t="s">
        <v>160</v>
      </c>
      <c r="M285" s="204">
        <v>44438</v>
      </c>
      <c r="N285" s="143" t="str">
        <f t="shared" si="47"/>
        <v>2021</v>
      </c>
      <c r="O285" s="143" t="str">
        <f t="shared" si="48"/>
        <v>Aug</v>
      </c>
      <c r="P285" s="157" t="s">
        <v>164</v>
      </c>
      <c r="Q285" s="146" t="s">
        <v>29</v>
      </c>
      <c r="R285" s="157" t="s">
        <v>48</v>
      </c>
      <c r="S285" s="141" t="s">
        <v>20</v>
      </c>
      <c r="T285" s="204">
        <v>44915</v>
      </c>
      <c r="U285" s="145" t="str">
        <f t="shared" si="49"/>
        <v>2022</v>
      </c>
      <c r="V285" s="145" t="str">
        <f t="shared" si="50"/>
        <v>Dec</v>
      </c>
      <c r="W285" s="141">
        <f t="shared" ca="1" si="44"/>
        <v>374</v>
      </c>
      <c r="X285" s="157" t="s">
        <v>98</v>
      </c>
      <c r="Y285" s="157">
        <f t="shared" ca="1" si="51"/>
        <v>8976</v>
      </c>
      <c r="Z285" s="158">
        <v>269.27999999999997</v>
      </c>
      <c r="AA285" s="148">
        <v>8078.4</v>
      </c>
      <c r="AB285" s="148">
        <f t="shared" si="52"/>
        <v>30</v>
      </c>
      <c r="AC285" s="204">
        <v>44410</v>
      </c>
      <c r="AD285" s="146" t="str">
        <f t="shared" si="53"/>
        <v>2021</v>
      </c>
      <c r="AE285" s="150" t="str">
        <f t="shared" si="54"/>
        <v>Aug</v>
      </c>
    </row>
    <row r="286" spans="2:31" x14ac:dyDescent="0.25">
      <c r="B286" s="152">
        <v>11</v>
      </c>
      <c r="C286" s="157" t="s">
        <v>77</v>
      </c>
      <c r="D286" s="154" t="s">
        <v>56</v>
      </c>
      <c r="E286" s="157" t="s">
        <v>117</v>
      </c>
      <c r="F286" s="141">
        <v>384</v>
      </c>
      <c r="G286" s="155" t="s">
        <v>138</v>
      </c>
      <c r="H286" s="204">
        <v>44394</v>
      </c>
      <c r="I286" s="143" t="str">
        <f t="shared" si="45"/>
        <v>2021</v>
      </c>
      <c r="J286" s="143" t="str">
        <f t="shared" si="46"/>
        <v>Jul</v>
      </c>
      <c r="K286" s="204">
        <v>44395</v>
      </c>
      <c r="L286" s="157" t="s">
        <v>160</v>
      </c>
      <c r="M286" s="204">
        <v>44436</v>
      </c>
      <c r="N286" s="143" t="str">
        <f t="shared" si="47"/>
        <v>2021</v>
      </c>
      <c r="O286" s="143" t="str">
        <f t="shared" si="48"/>
        <v>Aug</v>
      </c>
      <c r="P286" s="157" t="s">
        <v>164</v>
      </c>
      <c r="Q286" s="146" t="s">
        <v>270</v>
      </c>
      <c r="R286" s="157" t="s">
        <v>49</v>
      </c>
      <c r="S286" s="141" t="s">
        <v>20</v>
      </c>
      <c r="T286" s="204">
        <v>44652</v>
      </c>
      <c r="U286" s="145" t="str">
        <f t="shared" si="49"/>
        <v>2022</v>
      </c>
      <c r="V286" s="145" t="str">
        <f t="shared" si="50"/>
        <v>Apr</v>
      </c>
      <c r="W286" s="141">
        <f t="shared" ca="1" si="44"/>
        <v>185</v>
      </c>
      <c r="X286" s="157" t="s">
        <v>99</v>
      </c>
      <c r="Y286" s="157">
        <f t="shared" ca="1" si="51"/>
        <v>4440</v>
      </c>
      <c r="Z286" s="158">
        <v>88.8</v>
      </c>
      <c r="AA286" s="148">
        <v>2664</v>
      </c>
      <c r="AB286" s="148">
        <f t="shared" si="52"/>
        <v>30</v>
      </c>
      <c r="AC286" s="204">
        <v>44398</v>
      </c>
      <c r="AD286" s="146" t="str">
        <f t="shared" si="53"/>
        <v>2021</v>
      </c>
      <c r="AE286" s="150" t="str">
        <f t="shared" si="54"/>
        <v>Jul</v>
      </c>
    </row>
    <row r="287" spans="2:31" x14ac:dyDescent="0.25">
      <c r="B287" s="152">
        <v>12</v>
      </c>
      <c r="C287" s="157" t="s">
        <v>78</v>
      </c>
      <c r="D287" s="154" t="s">
        <v>57</v>
      </c>
      <c r="E287" s="157" t="s">
        <v>118</v>
      </c>
      <c r="F287" s="141">
        <v>385</v>
      </c>
      <c r="G287" s="155" t="s">
        <v>139</v>
      </c>
      <c r="H287" s="204">
        <v>44406</v>
      </c>
      <c r="I287" s="143" t="str">
        <f t="shared" si="45"/>
        <v>2021</v>
      </c>
      <c r="J287" s="143" t="str">
        <f t="shared" si="46"/>
        <v>Jul</v>
      </c>
      <c r="K287" s="204">
        <v>44421</v>
      </c>
      <c r="L287" s="157" t="s">
        <v>157</v>
      </c>
      <c r="M287" s="204">
        <v>44448</v>
      </c>
      <c r="N287" s="143" t="str">
        <f t="shared" si="47"/>
        <v>2021</v>
      </c>
      <c r="O287" s="143" t="str">
        <f t="shared" si="48"/>
        <v>Sep</v>
      </c>
      <c r="P287" s="157" t="s">
        <v>162</v>
      </c>
      <c r="Q287" s="146" t="s">
        <v>271</v>
      </c>
      <c r="R287" s="157" t="s">
        <v>50</v>
      </c>
      <c r="S287" s="141" t="s">
        <v>20</v>
      </c>
      <c r="T287" s="204">
        <v>44471</v>
      </c>
      <c r="U287" s="145" t="str">
        <f t="shared" si="49"/>
        <v>2021</v>
      </c>
      <c r="V287" s="145" t="str">
        <f t="shared" si="50"/>
        <v>Oct</v>
      </c>
      <c r="W287" s="141">
        <f t="shared" ca="1" si="44"/>
        <v>47</v>
      </c>
      <c r="X287" s="157" t="s">
        <v>100</v>
      </c>
      <c r="Y287" s="157">
        <f t="shared" ca="1" si="51"/>
        <v>1128</v>
      </c>
      <c r="Z287" s="158">
        <v>11.28</v>
      </c>
      <c r="AA287" s="148">
        <v>676.8</v>
      </c>
      <c r="AB287" s="148">
        <f t="shared" si="52"/>
        <v>60</v>
      </c>
      <c r="AC287" s="204">
        <v>44424</v>
      </c>
      <c r="AD287" s="146" t="str">
        <f t="shared" si="53"/>
        <v>2021</v>
      </c>
      <c r="AE287" s="150" t="str">
        <f t="shared" si="54"/>
        <v>Aug</v>
      </c>
    </row>
    <row r="288" spans="2:31" x14ac:dyDescent="0.25">
      <c r="B288" s="152">
        <v>13</v>
      </c>
      <c r="C288" s="157" t="s">
        <v>79</v>
      </c>
      <c r="D288" s="154" t="s">
        <v>58</v>
      </c>
      <c r="E288" s="157" t="s">
        <v>111</v>
      </c>
      <c r="F288" s="141">
        <v>386</v>
      </c>
      <c r="G288" s="155" t="s">
        <v>140</v>
      </c>
      <c r="H288" s="204">
        <v>44415</v>
      </c>
      <c r="I288" s="143" t="str">
        <f t="shared" si="45"/>
        <v>2021</v>
      </c>
      <c r="J288" s="143" t="str">
        <f t="shared" si="46"/>
        <v>Aug</v>
      </c>
      <c r="K288" s="204">
        <v>44429</v>
      </c>
      <c r="L288" s="157" t="s">
        <v>156</v>
      </c>
      <c r="M288" s="204">
        <v>44445</v>
      </c>
      <c r="N288" s="143" t="str">
        <f t="shared" si="47"/>
        <v>2021</v>
      </c>
      <c r="O288" s="143" t="str">
        <f t="shared" si="48"/>
        <v>Sep</v>
      </c>
      <c r="P288" s="157" t="s">
        <v>164</v>
      </c>
      <c r="Q288" s="146" t="s">
        <v>266</v>
      </c>
      <c r="R288" s="157" t="s">
        <v>51</v>
      </c>
      <c r="S288" s="141" t="s">
        <v>20</v>
      </c>
      <c r="T288" s="204">
        <v>44896</v>
      </c>
      <c r="U288" s="145" t="str">
        <f t="shared" si="49"/>
        <v>2022</v>
      </c>
      <c r="V288" s="145" t="str">
        <f t="shared" si="50"/>
        <v>Dec</v>
      </c>
      <c r="W288" s="141">
        <f t="shared" ca="1" si="44"/>
        <v>344</v>
      </c>
      <c r="X288" s="157" t="s">
        <v>101</v>
      </c>
      <c r="Y288" s="157">
        <f t="shared" ca="1" si="51"/>
        <v>8256</v>
      </c>
      <c r="Z288" s="158">
        <v>165.12</v>
      </c>
      <c r="AA288" s="148">
        <v>8256</v>
      </c>
      <c r="AB288" s="148">
        <f t="shared" si="52"/>
        <v>50</v>
      </c>
      <c r="AC288" s="204">
        <v>44432</v>
      </c>
      <c r="AD288" s="146" t="str">
        <f t="shared" si="53"/>
        <v>2021</v>
      </c>
      <c r="AE288" s="150" t="str">
        <f t="shared" si="54"/>
        <v>Aug</v>
      </c>
    </row>
    <row r="289" spans="2:31" x14ac:dyDescent="0.25">
      <c r="B289" s="152">
        <v>14</v>
      </c>
      <c r="C289" s="157" t="s">
        <v>80</v>
      </c>
      <c r="D289" s="154" t="s">
        <v>59</v>
      </c>
      <c r="E289" s="157" t="s">
        <v>112</v>
      </c>
      <c r="F289" s="141">
        <v>387</v>
      </c>
      <c r="G289" s="155" t="s">
        <v>141</v>
      </c>
      <c r="H289" s="204">
        <v>44416</v>
      </c>
      <c r="I289" s="143" t="str">
        <f t="shared" si="45"/>
        <v>2021</v>
      </c>
      <c r="J289" s="143" t="str">
        <f t="shared" si="46"/>
        <v>Aug</v>
      </c>
      <c r="K289" s="204">
        <v>44424</v>
      </c>
      <c r="L289" s="157" t="s">
        <v>156</v>
      </c>
      <c r="M289" s="204">
        <v>44465</v>
      </c>
      <c r="N289" s="143" t="str">
        <f t="shared" si="47"/>
        <v>2021</v>
      </c>
      <c r="O289" s="143" t="str">
        <f t="shared" si="48"/>
        <v>Sep</v>
      </c>
      <c r="P289" s="157" t="s">
        <v>165</v>
      </c>
      <c r="Q289" s="146" t="s">
        <v>17</v>
      </c>
      <c r="R289" s="157" t="s">
        <v>52</v>
      </c>
      <c r="S289" s="141" t="s">
        <v>20</v>
      </c>
      <c r="T289" s="204">
        <v>44917</v>
      </c>
      <c r="U289" s="145" t="str">
        <f t="shared" si="49"/>
        <v>2022</v>
      </c>
      <c r="V289" s="145" t="str">
        <f t="shared" si="50"/>
        <v>Dec</v>
      </c>
      <c r="W289" s="141">
        <f t="shared" ca="1" si="44"/>
        <v>359</v>
      </c>
      <c r="X289" s="157" t="s">
        <v>102</v>
      </c>
      <c r="Y289" s="157">
        <f t="shared" ca="1" si="51"/>
        <v>8616</v>
      </c>
      <c r="Z289" s="158">
        <v>258.48</v>
      </c>
      <c r="AA289" s="148">
        <v>38772</v>
      </c>
      <c r="AB289" s="148">
        <f t="shared" si="52"/>
        <v>150</v>
      </c>
      <c r="AC289" s="204">
        <v>44427</v>
      </c>
      <c r="AD289" s="146" t="str">
        <f t="shared" si="53"/>
        <v>2021</v>
      </c>
      <c r="AE289" s="150" t="str">
        <f t="shared" si="54"/>
        <v>Aug</v>
      </c>
    </row>
    <row r="290" spans="2:31" x14ac:dyDescent="0.25">
      <c r="B290" s="152">
        <v>15</v>
      </c>
      <c r="C290" s="157" t="s">
        <v>81</v>
      </c>
      <c r="D290" s="154" t="s">
        <v>60</v>
      </c>
      <c r="E290" s="157" t="s">
        <v>113</v>
      </c>
      <c r="F290" s="141">
        <v>388</v>
      </c>
      <c r="G290" s="155" t="s">
        <v>142</v>
      </c>
      <c r="H290" s="204">
        <v>44416</v>
      </c>
      <c r="I290" s="143" t="str">
        <f t="shared" si="45"/>
        <v>2021</v>
      </c>
      <c r="J290" s="143" t="str">
        <f t="shared" si="46"/>
        <v>Aug</v>
      </c>
      <c r="K290" s="204">
        <v>44427</v>
      </c>
      <c r="L290" s="157" t="s">
        <v>156</v>
      </c>
      <c r="M290" s="204">
        <v>44459</v>
      </c>
      <c r="N290" s="143" t="str">
        <f t="shared" si="47"/>
        <v>2021</v>
      </c>
      <c r="O290" s="143" t="str">
        <f t="shared" si="48"/>
        <v>Sep</v>
      </c>
      <c r="P290" s="157" t="s">
        <v>164</v>
      </c>
      <c r="Q290" s="146" t="s">
        <v>266</v>
      </c>
      <c r="R290" s="157" t="s">
        <v>53</v>
      </c>
      <c r="S290" s="141" t="s">
        <v>20</v>
      </c>
      <c r="T290" s="204">
        <v>44841</v>
      </c>
      <c r="U290" s="145" t="str">
        <f t="shared" si="49"/>
        <v>2022</v>
      </c>
      <c r="V290" s="145" t="str">
        <f t="shared" si="50"/>
        <v>Oct</v>
      </c>
      <c r="W290" s="141">
        <f t="shared" ca="1" si="44"/>
        <v>305</v>
      </c>
      <c r="X290" s="157" t="s">
        <v>103</v>
      </c>
      <c r="Y290" s="157">
        <f t="shared" ca="1" si="51"/>
        <v>7320</v>
      </c>
      <c r="Z290" s="158">
        <v>73.2</v>
      </c>
      <c r="AA290" s="148">
        <v>3660</v>
      </c>
      <c r="AB290" s="148">
        <f t="shared" si="52"/>
        <v>50</v>
      </c>
      <c r="AC290" s="204">
        <v>44430</v>
      </c>
      <c r="AD290" s="146" t="str">
        <f t="shared" si="53"/>
        <v>2021</v>
      </c>
      <c r="AE290" s="150" t="str">
        <f t="shared" si="54"/>
        <v>Aug</v>
      </c>
    </row>
    <row r="291" spans="2:31" x14ac:dyDescent="0.25">
      <c r="B291" s="152">
        <v>16</v>
      </c>
      <c r="C291" s="157" t="s">
        <v>82</v>
      </c>
      <c r="D291" s="154" t="s">
        <v>61</v>
      </c>
      <c r="E291" s="157" t="s">
        <v>114</v>
      </c>
      <c r="F291" s="141">
        <v>389</v>
      </c>
      <c r="G291" s="155" t="s">
        <v>136</v>
      </c>
      <c r="H291" s="204">
        <v>44417</v>
      </c>
      <c r="I291" s="143" t="str">
        <f t="shared" si="45"/>
        <v>2021</v>
      </c>
      <c r="J291" s="143" t="str">
        <f t="shared" si="46"/>
        <v>Aug</v>
      </c>
      <c r="K291" s="204">
        <v>44432</v>
      </c>
      <c r="L291" s="151" t="s">
        <v>159</v>
      </c>
      <c r="M291" s="204">
        <v>44466</v>
      </c>
      <c r="N291" s="143" t="str">
        <f t="shared" si="47"/>
        <v>2021</v>
      </c>
      <c r="O291" s="143" t="str">
        <f t="shared" si="48"/>
        <v>Sep</v>
      </c>
      <c r="P291" s="157" t="s">
        <v>167</v>
      </c>
      <c r="Q291" s="146" t="s">
        <v>17</v>
      </c>
      <c r="R291" s="157" t="s">
        <v>54</v>
      </c>
      <c r="S291" s="141" t="s">
        <v>167</v>
      </c>
      <c r="T291" s="204" t="s">
        <v>274</v>
      </c>
      <c r="U291" s="145" t="str">
        <f t="shared" si="49"/>
        <v/>
      </c>
      <c r="V291" s="145" t="str">
        <f t="shared" si="50"/>
        <v/>
      </c>
      <c r="W291" s="141">
        <f t="shared" ca="1" si="44"/>
        <v>773</v>
      </c>
      <c r="X291" s="157" t="s">
        <v>104</v>
      </c>
      <c r="Y291" s="157">
        <f t="shared" ca="1" si="51"/>
        <v>18552</v>
      </c>
      <c r="Z291" s="158">
        <v>370.08</v>
      </c>
      <c r="AA291" s="148">
        <v>55512</v>
      </c>
      <c r="AB291" s="148">
        <f t="shared" si="52"/>
        <v>150</v>
      </c>
      <c r="AC291" s="204"/>
      <c r="AD291" s="157" t="str">
        <f t="shared" si="53"/>
        <v/>
      </c>
      <c r="AE291" s="150" t="str">
        <f t="shared" si="54"/>
        <v/>
      </c>
    </row>
    <row r="292" spans="2:31" x14ac:dyDescent="0.25">
      <c r="B292" s="152">
        <v>17</v>
      </c>
      <c r="C292" s="157" t="s">
        <v>83</v>
      </c>
      <c r="D292" s="154" t="s">
        <v>33</v>
      </c>
      <c r="E292" s="157" t="s">
        <v>115</v>
      </c>
      <c r="F292" s="141">
        <v>390</v>
      </c>
      <c r="G292" s="155" t="s">
        <v>125</v>
      </c>
      <c r="H292" s="204">
        <v>44421</v>
      </c>
      <c r="I292" s="143" t="str">
        <f t="shared" si="45"/>
        <v>2021</v>
      </c>
      <c r="J292" s="143" t="str">
        <f t="shared" si="46"/>
        <v>Aug</v>
      </c>
      <c r="K292" s="204">
        <v>44432</v>
      </c>
      <c r="L292" s="157" t="s">
        <v>161</v>
      </c>
      <c r="M292" s="204">
        <v>44456</v>
      </c>
      <c r="N292" s="143" t="str">
        <f t="shared" si="47"/>
        <v>2021</v>
      </c>
      <c r="O292" s="143" t="str">
        <f t="shared" si="48"/>
        <v>Sep</v>
      </c>
      <c r="P292" s="157" t="s">
        <v>162</v>
      </c>
      <c r="Q292" s="146" t="s">
        <v>17</v>
      </c>
      <c r="R292" s="157" t="s">
        <v>38</v>
      </c>
      <c r="S292" s="141" t="s">
        <v>20</v>
      </c>
      <c r="T292" s="204">
        <v>44579</v>
      </c>
      <c r="U292" s="145" t="str">
        <f t="shared" si="49"/>
        <v>2022</v>
      </c>
      <c r="V292" s="145" t="str">
        <f t="shared" si="50"/>
        <v>Jan</v>
      </c>
      <c r="W292" s="141">
        <f t="shared" ca="1" si="44"/>
        <v>113</v>
      </c>
      <c r="X292" s="157" t="s">
        <v>105</v>
      </c>
      <c r="Y292" s="157">
        <f t="shared" ca="1" si="51"/>
        <v>2712</v>
      </c>
      <c r="Z292" s="158">
        <v>27.12</v>
      </c>
      <c r="AA292" s="148">
        <v>4068</v>
      </c>
      <c r="AB292" s="148">
        <f t="shared" si="52"/>
        <v>150</v>
      </c>
      <c r="AC292" s="204">
        <v>44435</v>
      </c>
      <c r="AD292" s="146" t="str">
        <f t="shared" si="53"/>
        <v>2021</v>
      </c>
      <c r="AE292" s="150" t="str">
        <f t="shared" si="54"/>
        <v>Aug</v>
      </c>
    </row>
    <row r="293" spans="2:31" x14ac:dyDescent="0.25">
      <c r="B293" s="152">
        <v>18</v>
      </c>
      <c r="C293" s="157" t="s">
        <v>84</v>
      </c>
      <c r="D293" s="154" t="s">
        <v>89</v>
      </c>
      <c r="E293" s="157" t="s">
        <v>112</v>
      </c>
      <c r="F293" s="141">
        <v>391</v>
      </c>
      <c r="G293" s="155" t="s">
        <v>126</v>
      </c>
      <c r="H293" s="204">
        <v>44421</v>
      </c>
      <c r="I293" s="143" t="str">
        <f t="shared" si="45"/>
        <v>2021</v>
      </c>
      <c r="J293" s="143" t="str">
        <f t="shared" si="46"/>
        <v>Aug</v>
      </c>
      <c r="K293" s="204">
        <v>44424</v>
      </c>
      <c r="L293" s="157" t="s">
        <v>156</v>
      </c>
      <c r="M293" s="204">
        <v>44473</v>
      </c>
      <c r="N293" s="143" t="str">
        <f t="shared" si="47"/>
        <v>2021</v>
      </c>
      <c r="O293" s="143" t="str">
        <f t="shared" si="48"/>
        <v>Oct</v>
      </c>
      <c r="P293" s="157" t="s">
        <v>165</v>
      </c>
      <c r="Q293" s="146" t="s">
        <v>17</v>
      </c>
      <c r="R293" s="157" t="s">
        <v>40</v>
      </c>
      <c r="S293" s="141" t="s">
        <v>20</v>
      </c>
      <c r="T293" s="204">
        <v>44504</v>
      </c>
      <c r="U293" s="145" t="str">
        <f t="shared" si="49"/>
        <v>2021</v>
      </c>
      <c r="V293" s="145" t="str">
        <f t="shared" si="50"/>
        <v>Nov</v>
      </c>
      <c r="W293" s="141">
        <f t="shared" ca="1" si="44"/>
        <v>60</v>
      </c>
      <c r="X293" s="157" t="s">
        <v>106</v>
      </c>
      <c r="Y293" s="157">
        <f t="shared" ca="1" si="51"/>
        <v>1440</v>
      </c>
      <c r="Z293" s="158">
        <v>14.4</v>
      </c>
      <c r="AA293" s="148">
        <v>2160</v>
      </c>
      <c r="AB293" s="148">
        <f t="shared" si="52"/>
        <v>150</v>
      </c>
      <c r="AC293" s="204">
        <v>44427</v>
      </c>
      <c r="AD293" s="146" t="str">
        <f t="shared" si="53"/>
        <v>2021</v>
      </c>
      <c r="AE293" s="150" t="str">
        <f t="shared" si="54"/>
        <v>Aug</v>
      </c>
    </row>
    <row r="294" spans="2:31" x14ac:dyDescent="0.25">
      <c r="B294" s="152">
        <v>19</v>
      </c>
      <c r="C294" s="157" t="s">
        <v>85</v>
      </c>
      <c r="D294" s="154" t="s">
        <v>90</v>
      </c>
      <c r="E294" s="157" t="s">
        <v>113</v>
      </c>
      <c r="F294" s="141">
        <v>392</v>
      </c>
      <c r="G294" s="155" t="s">
        <v>127</v>
      </c>
      <c r="H294" s="204">
        <v>44421</v>
      </c>
      <c r="I294" s="143" t="str">
        <f t="shared" si="45"/>
        <v>2021</v>
      </c>
      <c r="J294" s="143" t="str">
        <f t="shared" si="46"/>
        <v>Aug</v>
      </c>
      <c r="K294" s="204">
        <v>44430</v>
      </c>
      <c r="L294" s="157" t="s">
        <v>159</v>
      </c>
      <c r="M294" s="204">
        <v>44460</v>
      </c>
      <c r="N294" s="143" t="str">
        <f t="shared" si="47"/>
        <v>2021</v>
      </c>
      <c r="O294" s="143" t="str">
        <f t="shared" si="48"/>
        <v>Sep</v>
      </c>
      <c r="P294" s="157" t="s">
        <v>162</v>
      </c>
      <c r="Q294" s="146" t="s">
        <v>17</v>
      </c>
      <c r="R294" s="157" t="s">
        <v>34</v>
      </c>
      <c r="S294" s="141" t="s">
        <v>20</v>
      </c>
      <c r="T294" s="204">
        <v>44724</v>
      </c>
      <c r="U294" s="145" t="str">
        <f t="shared" si="49"/>
        <v>2022</v>
      </c>
      <c r="V294" s="145" t="str">
        <f t="shared" si="50"/>
        <v>Jun</v>
      </c>
      <c r="W294" s="141">
        <f t="shared" ca="1" si="44"/>
        <v>216</v>
      </c>
      <c r="X294" s="157" t="s">
        <v>107</v>
      </c>
      <c r="Y294" s="157">
        <f t="shared" ca="1" si="51"/>
        <v>5184</v>
      </c>
      <c r="Z294" s="158">
        <v>155.51999999999998</v>
      </c>
      <c r="AA294" s="148">
        <v>23327.999999999996</v>
      </c>
      <c r="AB294" s="148">
        <f t="shared" si="52"/>
        <v>150</v>
      </c>
      <c r="AC294" s="204">
        <v>44433</v>
      </c>
      <c r="AD294" s="146" t="str">
        <f t="shared" si="53"/>
        <v>2021</v>
      </c>
      <c r="AE294" s="150" t="str">
        <f t="shared" si="54"/>
        <v>Aug</v>
      </c>
    </row>
    <row r="295" spans="2:31" x14ac:dyDescent="0.25">
      <c r="B295" s="152">
        <v>20</v>
      </c>
      <c r="C295" s="157" t="s">
        <v>86</v>
      </c>
      <c r="D295" s="154" t="s">
        <v>91</v>
      </c>
      <c r="E295" s="157" t="s">
        <v>114</v>
      </c>
      <c r="F295" s="141">
        <v>393</v>
      </c>
      <c r="G295" s="155" t="s">
        <v>128</v>
      </c>
      <c r="H295" s="204">
        <v>44425</v>
      </c>
      <c r="I295" s="143" t="str">
        <f t="shared" si="45"/>
        <v>2021</v>
      </c>
      <c r="J295" s="143" t="str">
        <f t="shared" si="46"/>
        <v>Aug</v>
      </c>
      <c r="K295" s="204">
        <v>44435</v>
      </c>
      <c r="L295" s="157" t="s">
        <v>157</v>
      </c>
      <c r="M295" s="204">
        <v>44470</v>
      </c>
      <c r="N295" s="143" t="str">
        <f t="shared" si="47"/>
        <v>2021</v>
      </c>
      <c r="O295" s="143" t="str">
        <f t="shared" si="48"/>
        <v>Oct</v>
      </c>
      <c r="P295" s="157" t="s">
        <v>162</v>
      </c>
      <c r="Q295" s="146" t="s">
        <v>267</v>
      </c>
      <c r="R295" s="157" t="s">
        <v>35</v>
      </c>
      <c r="S295" s="141" t="s">
        <v>20</v>
      </c>
      <c r="T295" s="204">
        <v>44696</v>
      </c>
      <c r="U295" s="145" t="str">
        <f t="shared" si="49"/>
        <v>2022</v>
      </c>
      <c r="V295" s="145" t="str">
        <f t="shared" si="50"/>
        <v>May</v>
      </c>
      <c r="W295" s="141">
        <f t="shared" ca="1" si="44"/>
        <v>194</v>
      </c>
      <c r="X295" s="157" t="s">
        <v>108</v>
      </c>
      <c r="Y295" s="157">
        <f t="shared" ca="1" si="51"/>
        <v>4656</v>
      </c>
      <c r="Z295" s="158">
        <v>46.56</v>
      </c>
      <c r="AA295" s="148">
        <v>3492</v>
      </c>
      <c r="AB295" s="148">
        <f t="shared" si="52"/>
        <v>75</v>
      </c>
      <c r="AC295" s="204">
        <v>44438</v>
      </c>
      <c r="AD295" s="146" t="str">
        <f t="shared" si="53"/>
        <v>2021</v>
      </c>
      <c r="AE295" s="150" t="str">
        <f t="shared" si="54"/>
        <v>Aug</v>
      </c>
    </row>
    <row r="296" spans="2:31" x14ac:dyDescent="0.25">
      <c r="B296" s="152">
        <v>21</v>
      </c>
      <c r="C296" s="157" t="s">
        <v>87</v>
      </c>
      <c r="D296" s="154" t="s">
        <v>92</v>
      </c>
      <c r="E296" s="157" t="s">
        <v>115</v>
      </c>
      <c r="F296" s="141">
        <v>394</v>
      </c>
      <c r="G296" s="155" t="s">
        <v>129</v>
      </c>
      <c r="H296" s="204">
        <v>44434</v>
      </c>
      <c r="I296" s="143" t="str">
        <f t="shared" si="45"/>
        <v>2021</v>
      </c>
      <c r="J296" s="143" t="str">
        <f t="shared" si="46"/>
        <v>Aug</v>
      </c>
      <c r="K296" s="204">
        <v>44447</v>
      </c>
      <c r="L296" s="157" t="s">
        <v>157</v>
      </c>
      <c r="M296" s="204">
        <v>44488</v>
      </c>
      <c r="N296" s="143" t="str">
        <f t="shared" si="47"/>
        <v>2021</v>
      </c>
      <c r="O296" s="143" t="str">
        <f t="shared" si="48"/>
        <v>Oct</v>
      </c>
      <c r="P296" s="157" t="s">
        <v>162</v>
      </c>
      <c r="Q296" s="146" t="s">
        <v>17</v>
      </c>
      <c r="R296" s="157" t="s">
        <v>36</v>
      </c>
      <c r="S296" s="141" t="s">
        <v>20</v>
      </c>
      <c r="T296" s="204">
        <v>44570</v>
      </c>
      <c r="U296" s="145" t="str">
        <f t="shared" si="49"/>
        <v>2022</v>
      </c>
      <c r="V296" s="145" t="str">
        <f t="shared" si="50"/>
        <v>Jan</v>
      </c>
      <c r="W296" s="141">
        <f t="shared" ca="1" si="44"/>
        <v>97</v>
      </c>
      <c r="X296" s="157" t="s">
        <v>109</v>
      </c>
      <c r="Y296" s="157">
        <f t="shared" ca="1" si="51"/>
        <v>2328</v>
      </c>
      <c r="Z296" s="158">
        <v>23.28</v>
      </c>
      <c r="AA296" s="148">
        <v>3492</v>
      </c>
      <c r="AB296" s="148">
        <f t="shared" si="52"/>
        <v>150</v>
      </c>
      <c r="AC296" s="204">
        <v>44450</v>
      </c>
      <c r="AD296" s="146" t="str">
        <f t="shared" si="53"/>
        <v>2021</v>
      </c>
      <c r="AE296" s="150" t="str">
        <f t="shared" si="54"/>
        <v>Sep</v>
      </c>
    </row>
    <row r="297" spans="2:31" x14ac:dyDescent="0.25">
      <c r="B297" s="152">
        <v>22</v>
      </c>
      <c r="C297" s="157" t="s">
        <v>88</v>
      </c>
      <c r="D297" s="154" t="s">
        <v>39</v>
      </c>
      <c r="E297" s="157" t="s">
        <v>116</v>
      </c>
      <c r="F297" s="141">
        <v>395</v>
      </c>
      <c r="G297" s="155" t="s">
        <v>137</v>
      </c>
      <c r="H297" s="204">
        <v>44435</v>
      </c>
      <c r="I297" s="143" t="str">
        <f t="shared" si="45"/>
        <v>2021</v>
      </c>
      <c r="J297" s="143" t="str">
        <f t="shared" si="46"/>
        <v>Aug</v>
      </c>
      <c r="K297" s="204">
        <v>44443</v>
      </c>
      <c r="L297" s="157" t="s">
        <v>158</v>
      </c>
      <c r="M297" s="204">
        <v>44484</v>
      </c>
      <c r="N297" s="143" t="str">
        <f t="shared" si="47"/>
        <v>2021</v>
      </c>
      <c r="O297" s="143" t="str">
        <f t="shared" si="48"/>
        <v>Oct</v>
      </c>
      <c r="P297" s="157" t="s">
        <v>165</v>
      </c>
      <c r="Q297" s="146" t="s">
        <v>29</v>
      </c>
      <c r="R297" s="157" t="s">
        <v>37</v>
      </c>
      <c r="S297" s="141" t="s">
        <v>20</v>
      </c>
      <c r="T297" s="204">
        <v>44595</v>
      </c>
      <c r="U297" s="145" t="str">
        <f t="shared" si="49"/>
        <v>2022</v>
      </c>
      <c r="V297" s="145" t="str">
        <f t="shared" si="50"/>
        <v>Feb</v>
      </c>
      <c r="W297" s="141">
        <f t="shared" ca="1" si="44"/>
        <v>115</v>
      </c>
      <c r="X297" s="157" t="s">
        <v>110</v>
      </c>
      <c r="Y297" s="157">
        <f t="shared" ca="1" si="51"/>
        <v>2760</v>
      </c>
      <c r="Z297" s="158">
        <v>55.2</v>
      </c>
      <c r="AA297" s="148">
        <v>1656</v>
      </c>
      <c r="AB297" s="148">
        <f t="shared" si="52"/>
        <v>30</v>
      </c>
      <c r="AC297" s="204">
        <v>44446</v>
      </c>
      <c r="AD297" s="146" t="str">
        <f t="shared" si="53"/>
        <v>2021</v>
      </c>
      <c r="AE297" s="150" t="str">
        <f t="shared" si="54"/>
        <v>Sep</v>
      </c>
    </row>
    <row r="298" spans="2:31" x14ac:dyDescent="0.25">
      <c r="B298" s="152">
        <v>1</v>
      </c>
      <c r="C298" s="153" t="s">
        <v>7</v>
      </c>
      <c r="D298" s="154" t="s">
        <v>8</v>
      </c>
      <c r="E298" s="157" t="s">
        <v>111</v>
      </c>
      <c r="F298" s="141">
        <v>396</v>
      </c>
      <c r="G298" s="155" t="s">
        <v>130</v>
      </c>
      <c r="H298" s="204">
        <v>44438</v>
      </c>
      <c r="I298" s="143" t="str">
        <f t="shared" si="45"/>
        <v>2021</v>
      </c>
      <c r="J298" s="143" t="str">
        <f t="shared" si="46"/>
        <v>Aug</v>
      </c>
      <c r="K298" s="204">
        <v>44443</v>
      </c>
      <c r="L298" s="157" t="s">
        <v>158</v>
      </c>
      <c r="M298" s="204">
        <v>44469</v>
      </c>
      <c r="N298" s="143" t="str">
        <f t="shared" si="47"/>
        <v>2021</v>
      </c>
      <c r="O298" s="143" t="str">
        <f t="shared" si="48"/>
        <v>Sep</v>
      </c>
      <c r="P298" s="157" t="s">
        <v>165</v>
      </c>
      <c r="Q298" s="146" t="s">
        <v>17</v>
      </c>
      <c r="R298" s="157" t="s">
        <v>18</v>
      </c>
      <c r="S298" s="141" t="s">
        <v>20</v>
      </c>
      <c r="T298" s="204">
        <v>44966</v>
      </c>
      <c r="U298" s="145" t="str">
        <f t="shared" si="49"/>
        <v>2023</v>
      </c>
      <c r="V298" s="145" t="str">
        <f t="shared" si="50"/>
        <v>Feb</v>
      </c>
      <c r="W298" s="141">
        <f t="shared" ca="1" si="44"/>
        <v>379</v>
      </c>
      <c r="X298" s="157" t="s">
        <v>89</v>
      </c>
      <c r="Y298" s="157">
        <f t="shared" ca="1" si="51"/>
        <v>9096</v>
      </c>
      <c r="Z298" s="158">
        <v>272.88</v>
      </c>
      <c r="AA298" s="148">
        <v>40932</v>
      </c>
      <c r="AB298" s="148">
        <f t="shared" si="52"/>
        <v>150</v>
      </c>
      <c r="AC298" s="204">
        <v>44446</v>
      </c>
      <c r="AD298" s="146" t="str">
        <f t="shared" si="53"/>
        <v>2021</v>
      </c>
      <c r="AE298" s="150" t="str">
        <f t="shared" si="54"/>
        <v>Sep</v>
      </c>
    </row>
    <row r="299" spans="2:31" x14ac:dyDescent="0.25">
      <c r="B299" s="152">
        <v>2</v>
      </c>
      <c r="C299" s="153" t="s">
        <v>10</v>
      </c>
      <c r="D299" s="154" t="s">
        <v>11</v>
      </c>
      <c r="E299" s="157" t="s">
        <v>112</v>
      </c>
      <c r="F299" s="141">
        <v>397</v>
      </c>
      <c r="G299" s="155" t="s">
        <v>131</v>
      </c>
      <c r="H299" s="204">
        <v>44438</v>
      </c>
      <c r="I299" s="143" t="str">
        <f t="shared" si="45"/>
        <v>2021</v>
      </c>
      <c r="J299" s="143" t="str">
        <f t="shared" si="46"/>
        <v>Aug</v>
      </c>
      <c r="K299" s="204">
        <v>44440</v>
      </c>
      <c r="L299" s="157" t="s">
        <v>161</v>
      </c>
      <c r="M299" s="204">
        <v>44467</v>
      </c>
      <c r="N299" s="143" t="str">
        <f t="shared" si="47"/>
        <v>2021</v>
      </c>
      <c r="O299" s="143" t="str">
        <f t="shared" si="48"/>
        <v>Sep</v>
      </c>
      <c r="P299" s="157" t="s">
        <v>164</v>
      </c>
      <c r="Q299" s="146" t="s">
        <v>266</v>
      </c>
      <c r="R299" s="157" t="s">
        <v>19</v>
      </c>
      <c r="S299" s="141" t="s">
        <v>20</v>
      </c>
      <c r="T299" s="204">
        <v>44521</v>
      </c>
      <c r="U299" s="145" t="str">
        <f t="shared" si="49"/>
        <v>2021</v>
      </c>
      <c r="V299" s="145" t="str">
        <f t="shared" si="50"/>
        <v>Nov</v>
      </c>
      <c r="W299" s="141">
        <f t="shared" ca="1" si="44"/>
        <v>60</v>
      </c>
      <c r="X299" s="157" t="s">
        <v>90</v>
      </c>
      <c r="Y299" s="157">
        <f t="shared" ca="1" si="51"/>
        <v>1440</v>
      </c>
      <c r="Z299" s="158">
        <v>43.199999999999996</v>
      </c>
      <c r="AA299" s="148">
        <v>2160</v>
      </c>
      <c r="AB299" s="148">
        <f t="shared" si="52"/>
        <v>50.000000000000007</v>
      </c>
      <c r="AC299" s="204">
        <v>44443</v>
      </c>
      <c r="AD299" s="146" t="str">
        <f t="shared" si="53"/>
        <v>2021</v>
      </c>
      <c r="AE299" s="150" t="str">
        <f t="shared" si="54"/>
        <v>Sep</v>
      </c>
    </row>
    <row r="300" spans="2:31" x14ac:dyDescent="0.25">
      <c r="B300" s="152">
        <v>3</v>
      </c>
      <c r="C300" s="157" t="s">
        <v>69</v>
      </c>
      <c r="D300" s="154" t="s">
        <v>62</v>
      </c>
      <c r="E300" s="157" t="s">
        <v>113</v>
      </c>
      <c r="F300" s="141">
        <v>398</v>
      </c>
      <c r="G300" s="155" t="s">
        <v>132</v>
      </c>
      <c r="H300" s="204">
        <v>44438</v>
      </c>
      <c r="I300" s="143" t="str">
        <f t="shared" si="45"/>
        <v>2021</v>
      </c>
      <c r="J300" s="143" t="str">
        <f t="shared" si="46"/>
        <v>Aug</v>
      </c>
      <c r="K300" s="204">
        <v>44453</v>
      </c>
      <c r="L300" s="157" t="s">
        <v>159</v>
      </c>
      <c r="M300" s="204">
        <v>44478</v>
      </c>
      <c r="N300" s="143" t="str">
        <f t="shared" si="47"/>
        <v>2021</v>
      </c>
      <c r="O300" s="143" t="str">
        <f t="shared" si="48"/>
        <v>Oct</v>
      </c>
      <c r="P300" s="157" t="s">
        <v>165</v>
      </c>
      <c r="Q300" s="146" t="s">
        <v>17</v>
      </c>
      <c r="R300" s="157" t="s">
        <v>41</v>
      </c>
      <c r="S300" s="141" t="s">
        <v>20</v>
      </c>
      <c r="T300" s="204">
        <v>44833</v>
      </c>
      <c r="U300" s="145" t="str">
        <f t="shared" si="49"/>
        <v>2022</v>
      </c>
      <c r="V300" s="145" t="str">
        <f t="shared" si="50"/>
        <v>Sep</v>
      </c>
      <c r="W300" s="141">
        <f t="shared" ca="1" si="44"/>
        <v>284</v>
      </c>
      <c r="X300" s="157" t="s">
        <v>91</v>
      </c>
      <c r="Y300" s="157">
        <f t="shared" ca="1" si="51"/>
        <v>6816</v>
      </c>
      <c r="Z300" s="158">
        <v>204.48</v>
      </c>
      <c r="AA300" s="148">
        <v>30672</v>
      </c>
      <c r="AB300" s="148">
        <f t="shared" si="52"/>
        <v>150</v>
      </c>
      <c r="AC300" s="204">
        <v>44456</v>
      </c>
      <c r="AD300" s="146" t="str">
        <f t="shared" si="53"/>
        <v>2021</v>
      </c>
      <c r="AE300" s="150" t="str">
        <f t="shared" si="54"/>
        <v>Sep</v>
      </c>
    </row>
    <row r="301" spans="2:31" x14ac:dyDescent="0.25">
      <c r="B301" s="152">
        <v>4</v>
      </c>
      <c r="C301" s="157" t="s">
        <v>70</v>
      </c>
      <c r="D301" s="154" t="s">
        <v>63</v>
      </c>
      <c r="E301" s="157" t="s">
        <v>114</v>
      </c>
      <c r="F301" s="141">
        <v>399</v>
      </c>
      <c r="G301" s="155" t="s">
        <v>137</v>
      </c>
      <c r="H301" s="204">
        <v>44450</v>
      </c>
      <c r="I301" s="143" t="str">
        <f t="shared" si="45"/>
        <v>2021</v>
      </c>
      <c r="J301" s="143" t="str">
        <f t="shared" si="46"/>
        <v>Sep</v>
      </c>
      <c r="K301" s="204">
        <v>44461</v>
      </c>
      <c r="L301" s="157" t="s">
        <v>157</v>
      </c>
      <c r="M301" s="204">
        <v>44486</v>
      </c>
      <c r="N301" s="143" t="str">
        <f t="shared" si="47"/>
        <v>2021</v>
      </c>
      <c r="O301" s="143" t="str">
        <f t="shared" si="48"/>
        <v>Oct</v>
      </c>
      <c r="P301" s="157" t="s">
        <v>164</v>
      </c>
      <c r="Q301" s="146" t="s">
        <v>29</v>
      </c>
      <c r="R301" s="157" t="s">
        <v>42</v>
      </c>
      <c r="S301" s="141" t="s">
        <v>20</v>
      </c>
      <c r="T301" s="204">
        <v>44918</v>
      </c>
      <c r="U301" s="145" t="str">
        <f t="shared" si="49"/>
        <v>2022</v>
      </c>
      <c r="V301" s="145" t="str">
        <f t="shared" si="50"/>
        <v>Dec</v>
      </c>
      <c r="W301" s="141">
        <f t="shared" ca="1" si="44"/>
        <v>335</v>
      </c>
      <c r="X301" s="157" t="s">
        <v>92</v>
      </c>
      <c r="Y301" s="157">
        <f t="shared" ca="1" si="51"/>
        <v>8040</v>
      </c>
      <c r="Z301" s="158">
        <v>241.2</v>
      </c>
      <c r="AA301" s="148">
        <v>7236</v>
      </c>
      <c r="AB301" s="148">
        <f t="shared" si="52"/>
        <v>30</v>
      </c>
      <c r="AC301" s="204">
        <v>44464</v>
      </c>
      <c r="AD301" s="146" t="str">
        <f t="shared" si="53"/>
        <v>2021</v>
      </c>
      <c r="AE301" s="150" t="str">
        <f t="shared" si="54"/>
        <v>Sep</v>
      </c>
    </row>
    <row r="302" spans="2:31" x14ac:dyDescent="0.25">
      <c r="B302" s="152">
        <v>5</v>
      </c>
      <c r="C302" s="157" t="s">
        <v>71</v>
      </c>
      <c r="D302" s="154" t="s">
        <v>64</v>
      </c>
      <c r="E302" s="157" t="s">
        <v>115</v>
      </c>
      <c r="F302" s="141">
        <v>400</v>
      </c>
      <c r="G302" s="155" t="s">
        <v>133</v>
      </c>
      <c r="H302" s="204">
        <v>44455</v>
      </c>
      <c r="I302" s="143" t="str">
        <f t="shared" si="45"/>
        <v>2021</v>
      </c>
      <c r="J302" s="143" t="str">
        <f t="shared" si="46"/>
        <v>Sep</v>
      </c>
      <c r="K302" s="204">
        <v>44463</v>
      </c>
      <c r="L302" s="157" t="s">
        <v>160</v>
      </c>
      <c r="M302" s="204">
        <v>44498</v>
      </c>
      <c r="N302" s="143" t="str">
        <f t="shared" si="47"/>
        <v>2021</v>
      </c>
      <c r="O302" s="143" t="str">
        <f t="shared" si="48"/>
        <v>Oct</v>
      </c>
      <c r="P302" s="157" t="s">
        <v>164</v>
      </c>
      <c r="Q302" s="146" t="s">
        <v>268</v>
      </c>
      <c r="R302" s="157" t="s">
        <v>43</v>
      </c>
      <c r="S302" s="141" t="s">
        <v>20</v>
      </c>
      <c r="T302" s="204">
        <v>44776</v>
      </c>
      <c r="U302" s="145" t="str">
        <f t="shared" si="49"/>
        <v>2022</v>
      </c>
      <c r="V302" s="145" t="str">
        <f t="shared" si="50"/>
        <v>Aug</v>
      </c>
      <c r="W302" s="141">
        <f t="shared" ca="1" si="44"/>
        <v>230</v>
      </c>
      <c r="X302" s="157" t="s">
        <v>93</v>
      </c>
      <c r="Y302" s="157">
        <f t="shared" ca="1" si="51"/>
        <v>5520</v>
      </c>
      <c r="Z302" s="158">
        <v>165.6</v>
      </c>
      <c r="AA302" s="148">
        <v>19872</v>
      </c>
      <c r="AB302" s="148">
        <f t="shared" si="52"/>
        <v>120</v>
      </c>
      <c r="AC302" s="204">
        <v>44466</v>
      </c>
      <c r="AD302" s="146" t="str">
        <f t="shared" si="53"/>
        <v>2021</v>
      </c>
      <c r="AE302" s="150" t="str">
        <f t="shared" si="54"/>
        <v>Sep</v>
      </c>
    </row>
    <row r="303" spans="2:31" x14ac:dyDescent="0.25">
      <c r="B303" s="152">
        <v>6</v>
      </c>
      <c r="C303" s="157" t="s">
        <v>72</v>
      </c>
      <c r="D303" s="154" t="s">
        <v>65</v>
      </c>
      <c r="E303" s="157" t="s">
        <v>116</v>
      </c>
      <c r="F303" s="141">
        <v>401</v>
      </c>
      <c r="G303" s="155" t="s">
        <v>134</v>
      </c>
      <c r="H303" s="204">
        <v>44458</v>
      </c>
      <c r="I303" s="143" t="str">
        <f t="shared" si="45"/>
        <v>2021</v>
      </c>
      <c r="J303" s="143" t="str">
        <f t="shared" si="46"/>
        <v>Sep</v>
      </c>
      <c r="K303" s="204">
        <v>44472</v>
      </c>
      <c r="L303" s="157" t="s">
        <v>159</v>
      </c>
      <c r="M303" s="204">
        <v>44494</v>
      </c>
      <c r="N303" s="143" t="str">
        <f t="shared" si="47"/>
        <v>2021</v>
      </c>
      <c r="O303" s="143" t="str">
        <f t="shared" si="48"/>
        <v>Oct</v>
      </c>
      <c r="P303" s="157" t="s">
        <v>164</v>
      </c>
      <c r="Q303" s="146" t="s">
        <v>17</v>
      </c>
      <c r="R303" s="157" t="s">
        <v>44</v>
      </c>
      <c r="S303" s="141" t="s">
        <v>20</v>
      </c>
      <c r="T303" s="204">
        <v>44888</v>
      </c>
      <c r="U303" s="145" t="str">
        <f t="shared" si="49"/>
        <v>2022</v>
      </c>
      <c r="V303" s="145" t="str">
        <f t="shared" si="50"/>
        <v>Nov</v>
      </c>
      <c r="W303" s="141">
        <f t="shared" ca="1" si="44"/>
        <v>308</v>
      </c>
      <c r="X303" s="157" t="s">
        <v>94</v>
      </c>
      <c r="Y303" s="157">
        <f t="shared" ca="1" si="51"/>
        <v>7392</v>
      </c>
      <c r="Z303" s="158">
        <v>73.92</v>
      </c>
      <c r="AA303" s="148">
        <v>11088</v>
      </c>
      <c r="AB303" s="148">
        <f t="shared" si="52"/>
        <v>150</v>
      </c>
      <c r="AC303" s="204">
        <v>44475</v>
      </c>
      <c r="AD303" s="146" t="str">
        <f t="shared" si="53"/>
        <v>2021</v>
      </c>
      <c r="AE303" s="150" t="str">
        <f t="shared" si="54"/>
        <v>Oct</v>
      </c>
    </row>
    <row r="304" spans="2:31" x14ac:dyDescent="0.25">
      <c r="B304" s="152">
        <v>7</v>
      </c>
      <c r="C304" s="157" t="s">
        <v>73</v>
      </c>
      <c r="D304" s="154" t="s">
        <v>66</v>
      </c>
      <c r="E304" s="157" t="s">
        <v>117</v>
      </c>
      <c r="F304" s="141">
        <v>402</v>
      </c>
      <c r="G304" s="155" t="s">
        <v>137</v>
      </c>
      <c r="H304" s="204">
        <v>44466</v>
      </c>
      <c r="I304" s="143" t="str">
        <f t="shared" si="45"/>
        <v>2021</v>
      </c>
      <c r="J304" s="143" t="str">
        <f t="shared" si="46"/>
        <v>Sep</v>
      </c>
      <c r="K304" s="204">
        <v>44480</v>
      </c>
      <c r="L304" s="157" t="s">
        <v>156</v>
      </c>
      <c r="M304" s="204">
        <v>44513</v>
      </c>
      <c r="N304" s="143" t="str">
        <f t="shared" si="47"/>
        <v>2021</v>
      </c>
      <c r="O304" s="143" t="str">
        <f t="shared" si="48"/>
        <v>Nov</v>
      </c>
      <c r="P304" s="157" t="s">
        <v>162</v>
      </c>
      <c r="Q304" s="146" t="s">
        <v>29</v>
      </c>
      <c r="R304" s="157" t="s">
        <v>45</v>
      </c>
      <c r="S304" s="141" t="s">
        <v>20</v>
      </c>
      <c r="T304" s="204">
        <v>44522</v>
      </c>
      <c r="U304" s="145" t="str">
        <f t="shared" si="49"/>
        <v>2021</v>
      </c>
      <c r="V304" s="145" t="str">
        <f t="shared" si="50"/>
        <v>Nov</v>
      </c>
      <c r="W304" s="141">
        <f t="shared" ca="1" si="44"/>
        <v>41</v>
      </c>
      <c r="X304" s="157" t="s">
        <v>95</v>
      </c>
      <c r="Y304" s="157">
        <f t="shared" ca="1" si="51"/>
        <v>984</v>
      </c>
      <c r="Z304" s="158">
        <v>19.68</v>
      </c>
      <c r="AA304" s="148">
        <v>590.4</v>
      </c>
      <c r="AB304" s="148">
        <f t="shared" si="52"/>
        <v>30</v>
      </c>
      <c r="AC304" s="204">
        <v>44483</v>
      </c>
      <c r="AD304" s="146" t="str">
        <f t="shared" si="53"/>
        <v>2021</v>
      </c>
      <c r="AE304" s="150" t="str">
        <f t="shared" si="54"/>
        <v>Oct</v>
      </c>
    </row>
    <row r="305" spans="2:31" x14ac:dyDescent="0.25">
      <c r="B305" s="152">
        <v>8</v>
      </c>
      <c r="C305" s="157" t="s">
        <v>74</v>
      </c>
      <c r="D305" s="154" t="s">
        <v>67</v>
      </c>
      <c r="E305" s="157" t="s">
        <v>118</v>
      </c>
      <c r="F305" s="141">
        <v>403</v>
      </c>
      <c r="G305" s="155" t="s">
        <v>135</v>
      </c>
      <c r="H305" s="204">
        <v>44471</v>
      </c>
      <c r="I305" s="143" t="str">
        <f t="shared" si="45"/>
        <v>2021</v>
      </c>
      <c r="J305" s="143" t="str">
        <f t="shared" si="46"/>
        <v>Oct</v>
      </c>
      <c r="K305" s="204">
        <v>44482</v>
      </c>
      <c r="L305" s="157" t="s">
        <v>157</v>
      </c>
      <c r="M305" s="204">
        <v>44526</v>
      </c>
      <c r="N305" s="143" t="str">
        <f t="shared" si="47"/>
        <v>2021</v>
      </c>
      <c r="O305" s="143" t="str">
        <f t="shared" si="48"/>
        <v>Nov</v>
      </c>
      <c r="P305" s="157" t="s">
        <v>162</v>
      </c>
      <c r="Q305" s="146" t="s">
        <v>269</v>
      </c>
      <c r="R305" s="157" t="s">
        <v>46</v>
      </c>
      <c r="S305" s="141" t="s">
        <v>20</v>
      </c>
      <c r="T305" s="204">
        <v>44836</v>
      </c>
      <c r="U305" s="145" t="str">
        <f t="shared" si="49"/>
        <v>2022</v>
      </c>
      <c r="V305" s="145" t="str">
        <f t="shared" si="50"/>
        <v>Oct</v>
      </c>
      <c r="W305" s="141">
        <f t="shared" ca="1" si="44"/>
        <v>260</v>
      </c>
      <c r="X305" s="157" t="s">
        <v>96</v>
      </c>
      <c r="Y305" s="157">
        <f t="shared" ca="1" si="51"/>
        <v>6240</v>
      </c>
      <c r="Z305" s="158">
        <v>187.2</v>
      </c>
      <c r="AA305" s="148">
        <v>9360</v>
      </c>
      <c r="AB305" s="148">
        <f t="shared" si="52"/>
        <v>50</v>
      </c>
      <c r="AC305" s="204">
        <v>44485</v>
      </c>
      <c r="AD305" s="146" t="str">
        <f t="shared" si="53"/>
        <v>2021</v>
      </c>
      <c r="AE305" s="150" t="str">
        <f t="shared" si="54"/>
        <v>Oct</v>
      </c>
    </row>
    <row r="306" spans="2:31" x14ac:dyDescent="0.25">
      <c r="B306" s="152">
        <v>9</v>
      </c>
      <c r="C306" s="157" t="s">
        <v>75</v>
      </c>
      <c r="D306" s="154" t="s">
        <v>68</v>
      </c>
      <c r="E306" s="157" t="s">
        <v>115</v>
      </c>
      <c r="F306" s="141">
        <v>404</v>
      </c>
      <c r="G306" s="155" t="s">
        <v>136</v>
      </c>
      <c r="H306" s="204">
        <v>44473</v>
      </c>
      <c r="I306" s="143" t="str">
        <f t="shared" si="45"/>
        <v>2021</v>
      </c>
      <c r="J306" s="143" t="str">
        <f t="shared" si="46"/>
        <v>Oct</v>
      </c>
      <c r="K306" s="204">
        <v>44483</v>
      </c>
      <c r="L306" s="151" t="s">
        <v>159</v>
      </c>
      <c r="M306" s="204">
        <v>44515</v>
      </c>
      <c r="N306" s="143" t="str">
        <f t="shared" si="47"/>
        <v>2021</v>
      </c>
      <c r="O306" s="143" t="str">
        <f t="shared" si="48"/>
        <v>Nov</v>
      </c>
      <c r="P306" s="157" t="s">
        <v>167</v>
      </c>
      <c r="Q306" s="146" t="s">
        <v>17</v>
      </c>
      <c r="R306" s="157" t="s">
        <v>47</v>
      </c>
      <c r="S306" s="141" t="s">
        <v>167</v>
      </c>
      <c r="T306" s="204" t="s">
        <v>274</v>
      </c>
      <c r="U306" s="145" t="str">
        <f t="shared" si="49"/>
        <v/>
      </c>
      <c r="V306" s="145" t="str">
        <f t="shared" si="50"/>
        <v/>
      </c>
      <c r="W306" s="141">
        <f t="shared" ca="1" si="44"/>
        <v>733</v>
      </c>
      <c r="X306" s="157" t="s">
        <v>97</v>
      </c>
      <c r="Y306" s="157">
        <f t="shared" ca="1" si="51"/>
        <v>17592</v>
      </c>
      <c r="Z306" s="158">
        <v>350.88</v>
      </c>
      <c r="AA306" s="148">
        <v>52632</v>
      </c>
      <c r="AB306" s="148">
        <f t="shared" si="52"/>
        <v>150</v>
      </c>
      <c r="AC306" s="204"/>
      <c r="AD306" s="157" t="str">
        <f t="shared" si="53"/>
        <v/>
      </c>
      <c r="AE306" s="150" t="str">
        <f t="shared" si="54"/>
        <v/>
      </c>
    </row>
    <row r="307" spans="2:31" x14ac:dyDescent="0.25">
      <c r="B307" s="152">
        <v>10</v>
      </c>
      <c r="C307" s="157" t="s">
        <v>76</v>
      </c>
      <c r="D307" s="154" t="s">
        <v>55</v>
      </c>
      <c r="E307" s="157" t="s">
        <v>116</v>
      </c>
      <c r="F307" s="141">
        <v>405</v>
      </c>
      <c r="G307" s="155" t="s">
        <v>122</v>
      </c>
      <c r="H307" s="204">
        <v>44478</v>
      </c>
      <c r="I307" s="143" t="str">
        <f t="shared" si="45"/>
        <v>2021</v>
      </c>
      <c r="J307" s="143" t="str">
        <f t="shared" si="46"/>
        <v>Oct</v>
      </c>
      <c r="K307" s="204">
        <v>44491</v>
      </c>
      <c r="L307" s="157" t="s">
        <v>161</v>
      </c>
      <c r="M307" s="204">
        <v>44521</v>
      </c>
      <c r="N307" s="143" t="str">
        <f t="shared" si="47"/>
        <v>2021</v>
      </c>
      <c r="O307" s="143" t="str">
        <f t="shared" si="48"/>
        <v>Nov</v>
      </c>
      <c r="P307" s="157" t="s">
        <v>162</v>
      </c>
      <c r="Q307" s="146" t="s">
        <v>265</v>
      </c>
      <c r="R307" s="157" t="s">
        <v>48</v>
      </c>
      <c r="S307" s="141" t="s">
        <v>20</v>
      </c>
      <c r="T307" s="204">
        <v>44513</v>
      </c>
      <c r="U307" s="145" t="str">
        <f t="shared" si="49"/>
        <v>2021</v>
      </c>
      <c r="V307" s="145" t="str">
        <f t="shared" si="50"/>
        <v>Nov</v>
      </c>
      <c r="W307" s="141">
        <f t="shared" ca="1" si="44"/>
        <v>25</v>
      </c>
      <c r="X307" s="157" t="s">
        <v>98</v>
      </c>
      <c r="Y307" s="157">
        <f t="shared" ca="1" si="51"/>
        <v>600</v>
      </c>
      <c r="Z307" s="158">
        <v>6</v>
      </c>
      <c r="AA307" s="148">
        <v>600</v>
      </c>
      <c r="AB307" s="148">
        <f t="shared" si="52"/>
        <v>100</v>
      </c>
      <c r="AC307" s="204">
        <v>44494</v>
      </c>
      <c r="AD307" s="146" t="str">
        <f t="shared" si="53"/>
        <v>2021</v>
      </c>
      <c r="AE307" s="150" t="str">
        <f t="shared" si="54"/>
        <v>Oct</v>
      </c>
    </row>
    <row r="308" spans="2:31" x14ac:dyDescent="0.25">
      <c r="B308" s="152">
        <v>11</v>
      </c>
      <c r="C308" s="157" t="s">
        <v>77</v>
      </c>
      <c r="D308" s="154" t="s">
        <v>56</v>
      </c>
      <c r="E308" s="157" t="s">
        <v>117</v>
      </c>
      <c r="F308" s="141">
        <v>406</v>
      </c>
      <c r="G308" s="155" t="s">
        <v>123</v>
      </c>
      <c r="H308" s="204">
        <v>44479</v>
      </c>
      <c r="I308" s="143" t="str">
        <f t="shared" si="45"/>
        <v>2021</v>
      </c>
      <c r="J308" s="143" t="str">
        <f t="shared" si="46"/>
        <v>Oct</v>
      </c>
      <c r="K308" s="204">
        <v>44494</v>
      </c>
      <c r="L308" s="157" t="s">
        <v>157</v>
      </c>
      <c r="M308" s="204">
        <v>44505</v>
      </c>
      <c r="N308" s="143" t="str">
        <f t="shared" si="47"/>
        <v>2021</v>
      </c>
      <c r="O308" s="143" t="str">
        <f t="shared" si="48"/>
        <v>Nov</v>
      </c>
      <c r="P308" s="157" t="s">
        <v>164</v>
      </c>
      <c r="Q308" s="146" t="s">
        <v>266</v>
      </c>
      <c r="R308" s="157" t="s">
        <v>49</v>
      </c>
      <c r="S308" s="141" t="s">
        <v>20</v>
      </c>
      <c r="T308" s="204">
        <v>45019</v>
      </c>
      <c r="U308" s="145" t="str">
        <f t="shared" si="49"/>
        <v>2023</v>
      </c>
      <c r="V308" s="145" t="str">
        <f t="shared" si="50"/>
        <v>Apr</v>
      </c>
      <c r="W308" s="141">
        <f t="shared" ca="1" si="44"/>
        <v>386</v>
      </c>
      <c r="X308" s="157" t="s">
        <v>99</v>
      </c>
      <c r="Y308" s="157">
        <f t="shared" ca="1" si="51"/>
        <v>9264</v>
      </c>
      <c r="Z308" s="158">
        <v>92.64</v>
      </c>
      <c r="AA308" s="148">
        <v>4632</v>
      </c>
      <c r="AB308" s="148">
        <f t="shared" si="52"/>
        <v>50</v>
      </c>
      <c r="AC308" s="204">
        <v>44497</v>
      </c>
      <c r="AD308" s="146" t="str">
        <f t="shared" si="53"/>
        <v>2021</v>
      </c>
      <c r="AE308" s="150" t="str">
        <f t="shared" si="54"/>
        <v>Oct</v>
      </c>
    </row>
    <row r="309" spans="2:31" x14ac:dyDescent="0.25">
      <c r="B309" s="152">
        <v>12</v>
      </c>
      <c r="C309" s="157" t="s">
        <v>78</v>
      </c>
      <c r="D309" s="154" t="s">
        <v>57</v>
      </c>
      <c r="E309" s="157" t="s">
        <v>118</v>
      </c>
      <c r="F309" s="141">
        <v>407</v>
      </c>
      <c r="G309" s="155" t="s">
        <v>120</v>
      </c>
      <c r="H309" s="204">
        <v>44482</v>
      </c>
      <c r="I309" s="143" t="str">
        <f t="shared" si="45"/>
        <v>2021</v>
      </c>
      <c r="J309" s="143" t="str">
        <f t="shared" si="46"/>
        <v>Oct</v>
      </c>
      <c r="K309" s="204">
        <v>44482</v>
      </c>
      <c r="L309" s="157" t="s">
        <v>161</v>
      </c>
      <c r="M309" s="204">
        <v>44528</v>
      </c>
      <c r="N309" s="143" t="str">
        <f t="shared" si="47"/>
        <v>2021</v>
      </c>
      <c r="O309" s="143" t="str">
        <f t="shared" si="48"/>
        <v>Nov</v>
      </c>
      <c r="P309" s="157" t="s">
        <v>162</v>
      </c>
      <c r="Q309" s="146" t="s">
        <v>17</v>
      </c>
      <c r="R309" s="157" t="s">
        <v>50</v>
      </c>
      <c r="S309" s="141" t="s">
        <v>20</v>
      </c>
      <c r="T309" s="204">
        <v>44668</v>
      </c>
      <c r="U309" s="145" t="str">
        <f t="shared" si="49"/>
        <v>2022</v>
      </c>
      <c r="V309" s="145" t="str">
        <f t="shared" si="50"/>
        <v>Apr</v>
      </c>
      <c r="W309" s="141">
        <f t="shared" ca="1" si="44"/>
        <v>133</v>
      </c>
      <c r="X309" s="157" t="s">
        <v>100</v>
      </c>
      <c r="Y309" s="157">
        <f t="shared" ca="1" si="51"/>
        <v>3192</v>
      </c>
      <c r="Z309" s="158">
        <v>95.759999999999991</v>
      </c>
      <c r="AA309" s="148">
        <v>14363.999999999998</v>
      </c>
      <c r="AB309" s="148">
        <f t="shared" si="52"/>
        <v>150</v>
      </c>
      <c r="AC309" s="204">
        <v>44485</v>
      </c>
      <c r="AD309" s="146" t="str">
        <f t="shared" si="53"/>
        <v>2021</v>
      </c>
      <c r="AE309" s="150" t="str">
        <f t="shared" si="54"/>
        <v>Oct</v>
      </c>
    </row>
    <row r="310" spans="2:31" x14ac:dyDescent="0.25">
      <c r="B310" s="152">
        <v>13</v>
      </c>
      <c r="C310" s="157" t="s">
        <v>79</v>
      </c>
      <c r="D310" s="154" t="s">
        <v>58</v>
      </c>
      <c r="E310" s="157" t="s">
        <v>111</v>
      </c>
      <c r="F310" s="141">
        <v>408</v>
      </c>
      <c r="G310" s="155" t="s">
        <v>121</v>
      </c>
      <c r="H310" s="204">
        <v>44483</v>
      </c>
      <c r="I310" s="143" t="str">
        <f t="shared" si="45"/>
        <v>2021</v>
      </c>
      <c r="J310" s="143" t="str">
        <f t="shared" si="46"/>
        <v>Oct</v>
      </c>
      <c r="K310" s="204">
        <v>44494</v>
      </c>
      <c r="L310" s="157" t="s">
        <v>160</v>
      </c>
      <c r="M310" s="204">
        <v>44520</v>
      </c>
      <c r="N310" s="143" t="str">
        <f t="shared" si="47"/>
        <v>2021</v>
      </c>
      <c r="O310" s="143" t="str">
        <f t="shared" si="48"/>
        <v>Nov</v>
      </c>
      <c r="P310" s="157" t="s">
        <v>164</v>
      </c>
      <c r="Q310" s="146" t="s">
        <v>264</v>
      </c>
      <c r="R310" s="157" t="s">
        <v>51</v>
      </c>
      <c r="S310" s="141" t="s">
        <v>20</v>
      </c>
      <c r="T310" s="204">
        <v>44802</v>
      </c>
      <c r="U310" s="145" t="str">
        <f t="shared" si="49"/>
        <v>2022</v>
      </c>
      <c r="V310" s="145" t="str">
        <f t="shared" si="50"/>
        <v>Aug</v>
      </c>
      <c r="W310" s="141">
        <f t="shared" ca="1" si="44"/>
        <v>228</v>
      </c>
      <c r="X310" s="157" t="s">
        <v>101</v>
      </c>
      <c r="Y310" s="157">
        <f t="shared" ca="1" si="51"/>
        <v>5472</v>
      </c>
      <c r="Z310" s="158">
        <v>164.16</v>
      </c>
      <c r="AA310" s="148">
        <v>4924.8</v>
      </c>
      <c r="AB310" s="148">
        <f t="shared" si="52"/>
        <v>30</v>
      </c>
      <c r="AC310" s="204">
        <v>44497</v>
      </c>
      <c r="AD310" s="146" t="str">
        <f t="shared" si="53"/>
        <v>2021</v>
      </c>
      <c r="AE310" s="150" t="str">
        <f t="shared" si="54"/>
        <v>Oct</v>
      </c>
    </row>
    <row r="311" spans="2:31" x14ac:dyDescent="0.25">
      <c r="B311" s="152">
        <v>10</v>
      </c>
      <c r="C311" s="157" t="s">
        <v>76</v>
      </c>
      <c r="D311" s="154" t="s">
        <v>55</v>
      </c>
      <c r="E311" s="157" t="s">
        <v>116</v>
      </c>
      <c r="F311" s="141">
        <v>409</v>
      </c>
      <c r="G311" s="155" t="s">
        <v>122</v>
      </c>
      <c r="H311" s="204">
        <v>44484</v>
      </c>
      <c r="I311" s="143" t="str">
        <f t="shared" si="45"/>
        <v>2021</v>
      </c>
      <c r="J311" s="143" t="str">
        <f t="shared" si="46"/>
        <v>Oct</v>
      </c>
      <c r="K311" s="204">
        <v>44493</v>
      </c>
      <c r="L311" s="157" t="s">
        <v>161</v>
      </c>
      <c r="M311" s="204">
        <v>44518</v>
      </c>
      <c r="N311" s="143" t="str">
        <f t="shared" si="47"/>
        <v>2021</v>
      </c>
      <c r="O311" s="143" t="str">
        <f t="shared" si="48"/>
        <v>Nov</v>
      </c>
      <c r="P311" s="157" t="s">
        <v>162</v>
      </c>
      <c r="Q311" s="146" t="s">
        <v>265</v>
      </c>
      <c r="R311" s="157" t="s">
        <v>48</v>
      </c>
      <c r="S311" s="141" t="s">
        <v>20</v>
      </c>
      <c r="T311" s="204">
        <v>45003</v>
      </c>
      <c r="U311" s="145" t="str">
        <f t="shared" si="49"/>
        <v>2023</v>
      </c>
      <c r="V311" s="145" t="str">
        <f t="shared" si="50"/>
        <v>Mar</v>
      </c>
      <c r="W311" s="141">
        <f t="shared" ca="1" si="44"/>
        <v>371</v>
      </c>
      <c r="X311" s="157" t="s">
        <v>98</v>
      </c>
      <c r="Y311" s="157">
        <f t="shared" ca="1" si="51"/>
        <v>8904</v>
      </c>
      <c r="Z311" s="158">
        <v>89.04</v>
      </c>
      <c r="AA311" s="148">
        <v>8904</v>
      </c>
      <c r="AB311" s="148">
        <f t="shared" si="52"/>
        <v>100</v>
      </c>
      <c r="AC311" s="204">
        <v>44496</v>
      </c>
      <c r="AD311" s="146" t="str">
        <f t="shared" si="53"/>
        <v>2021</v>
      </c>
      <c r="AE311" s="150" t="str">
        <f t="shared" si="54"/>
        <v>Oct</v>
      </c>
    </row>
    <row r="312" spans="2:31" x14ac:dyDescent="0.25">
      <c r="B312" s="152">
        <v>11</v>
      </c>
      <c r="C312" s="157" t="s">
        <v>77</v>
      </c>
      <c r="D312" s="154" t="s">
        <v>56</v>
      </c>
      <c r="E312" s="157" t="s">
        <v>117</v>
      </c>
      <c r="F312" s="141">
        <v>410</v>
      </c>
      <c r="G312" s="155" t="s">
        <v>123</v>
      </c>
      <c r="H312" s="204">
        <v>44487</v>
      </c>
      <c r="I312" s="143" t="str">
        <f t="shared" si="45"/>
        <v>2021</v>
      </c>
      <c r="J312" s="143" t="str">
        <f t="shared" si="46"/>
        <v>Oct</v>
      </c>
      <c r="K312" s="204">
        <v>44495</v>
      </c>
      <c r="L312" s="157" t="s">
        <v>157</v>
      </c>
      <c r="M312" s="204">
        <v>44530</v>
      </c>
      <c r="N312" s="143" t="str">
        <f t="shared" si="47"/>
        <v>2021</v>
      </c>
      <c r="O312" s="143" t="str">
        <f t="shared" si="48"/>
        <v>Nov</v>
      </c>
      <c r="P312" s="157" t="s">
        <v>162</v>
      </c>
      <c r="Q312" s="146" t="s">
        <v>266</v>
      </c>
      <c r="R312" s="157" t="s">
        <v>49</v>
      </c>
      <c r="S312" s="141" t="s">
        <v>20</v>
      </c>
      <c r="T312" s="204">
        <v>44703</v>
      </c>
      <c r="U312" s="145" t="str">
        <f t="shared" si="49"/>
        <v>2022</v>
      </c>
      <c r="V312" s="145" t="str">
        <f t="shared" si="50"/>
        <v>May</v>
      </c>
      <c r="W312" s="141">
        <f t="shared" ca="1" si="44"/>
        <v>155</v>
      </c>
      <c r="X312" s="157" t="s">
        <v>99</v>
      </c>
      <c r="Y312" s="157">
        <f t="shared" ca="1" si="51"/>
        <v>3720</v>
      </c>
      <c r="Z312" s="158">
        <v>111.6</v>
      </c>
      <c r="AA312" s="148">
        <v>5580</v>
      </c>
      <c r="AB312" s="148">
        <f t="shared" si="52"/>
        <v>50</v>
      </c>
      <c r="AC312" s="204">
        <v>44498</v>
      </c>
      <c r="AD312" s="146" t="str">
        <f t="shared" si="53"/>
        <v>2021</v>
      </c>
      <c r="AE312" s="150" t="str">
        <f t="shared" si="54"/>
        <v>Oct</v>
      </c>
    </row>
    <row r="313" spans="2:31" x14ac:dyDescent="0.25">
      <c r="B313" s="152">
        <v>12</v>
      </c>
      <c r="C313" s="157" t="s">
        <v>78</v>
      </c>
      <c r="D313" s="154" t="s">
        <v>57</v>
      </c>
      <c r="E313" s="157" t="s">
        <v>118</v>
      </c>
      <c r="F313" s="141">
        <v>411</v>
      </c>
      <c r="G313" s="155" t="s">
        <v>138</v>
      </c>
      <c r="H313" s="204">
        <v>44493</v>
      </c>
      <c r="I313" s="143" t="str">
        <f t="shared" si="45"/>
        <v>2021</v>
      </c>
      <c r="J313" s="143" t="str">
        <f t="shared" si="46"/>
        <v>Oct</v>
      </c>
      <c r="K313" s="204">
        <v>44498</v>
      </c>
      <c r="L313" s="157" t="s">
        <v>159</v>
      </c>
      <c r="M313" s="204">
        <v>44519</v>
      </c>
      <c r="N313" s="143" t="str">
        <f t="shared" si="47"/>
        <v>2021</v>
      </c>
      <c r="O313" s="143" t="str">
        <f t="shared" si="48"/>
        <v>Nov</v>
      </c>
      <c r="P313" s="157" t="s">
        <v>165</v>
      </c>
      <c r="Q313" s="146" t="s">
        <v>270</v>
      </c>
      <c r="R313" s="157" t="s">
        <v>50</v>
      </c>
      <c r="S313" s="141" t="s">
        <v>20</v>
      </c>
      <c r="T313" s="204">
        <v>44973</v>
      </c>
      <c r="U313" s="145" t="str">
        <f t="shared" si="49"/>
        <v>2023</v>
      </c>
      <c r="V313" s="145" t="str">
        <f t="shared" si="50"/>
        <v>Feb</v>
      </c>
      <c r="W313" s="141">
        <f t="shared" ca="1" si="44"/>
        <v>344</v>
      </c>
      <c r="X313" s="157" t="s">
        <v>100</v>
      </c>
      <c r="Y313" s="157">
        <f t="shared" ca="1" si="51"/>
        <v>8256</v>
      </c>
      <c r="Z313" s="158">
        <v>82.56</v>
      </c>
      <c r="AA313" s="148">
        <v>2476.8000000000002</v>
      </c>
      <c r="AB313" s="148">
        <f t="shared" si="52"/>
        <v>30</v>
      </c>
      <c r="AC313" s="204">
        <v>44501</v>
      </c>
      <c r="AD313" s="146" t="str">
        <f t="shared" si="53"/>
        <v>2021</v>
      </c>
      <c r="AE313" s="150" t="str">
        <f t="shared" si="54"/>
        <v>Nov</v>
      </c>
    </row>
    <row r="314" spans="2:31" x14ac:dyDescent="0.25">
      <c r="B314" s="152">
        <v>13</v>
      </c>
      <c r="C314" s="157" t="s">
        <v>79</v>
      </c>
      <c r="D314" s="154" t="s">
        <v>58</v>
      </c>
      <c r="E314" s="157" t="s">
        <v>111</v>
      </c>
      <c r="F314" s="141">
        <v>412</v>
      </c>
      <c r="G314" s="155" t="s">
        <v>124</v>
      </c>
      <c r="H314" s="204">
        <v>44495</v>
      </c>
      <c r="I314" s="143" t="str">
        <f t="shared" si="45"/>
        <v>2021</v>
      </c>
      <c r="J314" s="143" t="str">
        <f t="shared" si="46"/>
        <v>Oct</v>
      </c>
      <c r="K314" s="204">
        <v>44506</v>
      </c>
      <c r="L314" s="157" t="s">
        <v>157</v>
      </c>
      <c r="M314" s="204">
        <v>44531</v>
      </c>
      <c r="N314" s="143" t="str">
        <f t="shared" si="47"/>
        <v>2021</v>
      </c>
      <c r="O314" s="143" t="str">
        <f t="shared" si="48"/>
        <v>Dec</v>
      </c>
      <c r="P314" s="157" t="s">
        <v>164</v>
      </c>
      <c r="Q314" s="146" t="s">
        <v>17</v>
      </c>
      <c r="R314" s="157" t="s">
        <v>51</v>
      </c>
      <c r="S314" s="141" t="s">
        <v>20</v>
      </c>
      <c r="T314" s="204">
        <v>44542</v>
      </c>
      <c r="U314" s="145" t="str">
        <f t="shared" si="49"/>
        <v>2021</v>
      </c>
      <c r="V314" s="145" t="str">
        <f t="shared" si="50"/>
        <v>Dec</v>
      </c>
      <c r="W314" s="141">
        <f t="shared" ca="1" si="44"/>
        <v>34</v>
      </c>
      <c r="X314" s="157" t="s">
        <v>101</v>
      </c>
      <c r="Y314" s="157">
        <f t="shared" ca="1" si="51"/>
        <v>816</v>
      </c>
      <c r="Z314" s="158">
        <v>24.48</v>
      </c>
      <c r="AA314" s="148">
        <v>3672</v>
      </c>
      <c r="AB314" s="148">
        <f t="shared" si="52"/>
        <v>150</v>
      </c>
      <c r="AC314" s="204">
        <v>44509</v>
      </c>
      <c r="AD314" s="146" t="str">
        <f t="shared" si="53"/>
        <v>2021</v>
      </c>
      <c r="AE314" s="150" t="str">
        <f t="shared" si="54"/>
        <v>Nov</v>
      </c>
    </row>
    <row r="315" spans="2:31" x14ac:dyDescent="0.25">
      <c r="B315" s="152">
        <v>14</v>
      </c>
      <c r="C315" s="157" t="s">
        <v>80</v>
      </c>
      <c r="D315" s="154" t="s">
        <v>59</v>
      </c>
      <c r="E315" s="157" t="s">
        <v>112</v>
      </c>
      <c r="F315" s="141">
        <v>413</v>
      </c>
      <c r="G315" s="155" t="s">
        <v>138</v>
      </c>
      <c r="H315" s="204">
        <v>44495</v>
      </c>
      <c r="I315" s="143" t="str">
        <f t="shared" si="45"/>
        <v>2021</v>
      </c>
      <c r="J315" s="143" t="str">
        <f t="shared" si="46"/>
        <v>Oct</v>
      </c>
      <c r="K315" s="204">
        <v>44499</v>
      </c>
      <c r="L315" s="157" t="s">
        <v>160</v>
      </c>
      <c r="M315" s="204">
        <v>44527</v>
      </c>
      <c r="N315" s="143" t="str">
        <f t="shared" si="47"/>
        <v>2021</v>
      </c>
      <c r="O315" s="143" t="str">
        <f t="shared" si="48"/>
        <v>Nov</v>
      </c>
      <c r="P315" s="157" t="s">
        <v>162</v>
      </c>
      <c r="Q315" s="146" t="s">
        <v>270</v>
      </c>
      <c r="R315" s="157" t="s">
        <v>52</v>
      </c>
      <c r="S315" s="141" t="s">
        <v>20</v>
      </c>
      <c r="T315" s="204">
        <v>44620</v>
      </c>
      <c r="U315" s="145" t="str">
        <f t="shared" si="49"/>
        <v>2022</v>
      </c>
      <c r="V315" s="145" t="str">
        <f t="shared" si="50"/>
        <v>Feb</v>
      </c>
      <c r="W315" s="141">
        <f t="shared" ca="1" si="44"/>
        <v>90</v>
      </c>
      <c r="X315" s="157" t="s">
        <v>102</v>
      </c>
      <c r="Y315" s="157">
        <f t="shared" ca="1" si="51"/>
        <v>2160</v>
      </c>
      <c r="Z315" s="158">
        <v>64.8</v>
      </c>
      <c r="AA315" s="148">
        <v>1944</v>
      </c>
      <c r="AB315" s="148">
        <f t="shared" si="52"/>
        <v>30</v>
      </c>
      <c r="AC315" s="204">
        <v>44502</v>
      </c>
      <c r="AD315" s="146" t="str">
        <f t="shared" si="53"/>
        <v>2021</v>
      </c>
      <c r="AE315" s="150" t="str">
        <f t="shared" si="54"/>
        <v>Nov</v>
      </c>
    </row>
    <row r="316" spans="2:31" x14ac:dyDescent="0.25">
      <c r="B316" s="152">
        <v>15</v>
      </c>
      <c r="C316" s="157" t="s">
        <v>81</v>
      </c>
      <c r="D316" s="154" t="s">
        <v>60</v>
      </c>
      <c r="E316" s="157" t="s">
        <v>113</v>
      </c>
      <c r="F316" s="141">
        <v>414</v>
      </c>
      <c r="G316" s="155" t="s">
        <v>125</v>
      </c>
      <c r="H316" s="204">
        <v>44498</v>
      </c>
      <c r="I316" s="143" t="str">
        <f t="shared" si="45"/>
        <v>2021</v>
      </c>
      <c r="J316" s="143" t="str">
        <f t="shared" si="46"/>
        <v>Oct</v>
      </c>
      <c r="K316" s="204">
        <v>44509</v>
      </c>
      <c r="L316" s="157" t="s">
        <v>157</v>
      </c>
      <c r="M316" s="204">
        <v>44547</v>
      </c>
      <c r="N316" s="143" t="str">
        <f t="shared" si="47"/>
        <v>2021</v>
      </c>
      <c r="O316" s="143" t="str">
        <f t="shared" si="48"/>
        <v>Dec</v>
      </c>
      <c r="P316" s="157" t="s">
        <v>162</v>
      </c>
      <c r="Q316" s="146" t="s">
        <v>17</v>
      </c>
      <c r="R316" s="157" t="s">
        <v>53</v>
      </c>
      <c r="S316" s="141" t="s">
        <v>20</v>
      </c>
      <c r="T316" s="204">
        <v>44934</v>
      </c>
      <c r="U316" s="145" t="str">
        <f t="shared" si="49"/>
        <v>2023</v>
      </c>
      <c r="V316" s="145" t="str">
        <f t="shared" si="50"/>
        <v>Jan</v>
      </c>
      <c r="W316" s="141">
        <f t="shared" ca="1" si="44"/>
        <v>311</v>
      </c>
      <c r="X316" s="157" t="s">
        <v>103</v>
      </c>
      <c r="Y316" s="157">
        <f t="shared" ca="1" si="51"/>
        <v>7464</v>
      </c>
      <c r="Z316" s="158">
        <v>223.92</v>
      </c>
      <c r="AA316" s="148">
        <v>33588</v>
      </c>
      <c r="AB316" s="148">
        <f t="shared" si="52"/>
        <v>150</v>
      </c>
      <c r="AC316" s="204">
        <v>44512</v>
      </c>
      <c r="AD316" s="146" t="str">
        <f t="shared" si="53"/>
        <v>2021</v>
      </c>
      <c r="AE316" s="150" t="str">
        <f t="shared" si="54"/>
        <v>Nov</v>
      </c>
    </row>
    <row r="317" spans="2:31" x14ac:dyDescent="0.25">
      <c r="B317" s="152">
        <v>16</v>
      </c>
      <c r="C317" s="157" t="s">
        <v>82</v>
      </c>
      <c r="D317" s="154" t="s">
        <v>61</v>
      </c>
      <c r="E317" s="157" t="s">
        <v>114</v>
      </c>
      <c r="F317" s="141">
        <v>415</v>
      </c>
      <c r="G317" s="155" t="s">
        <v>126</v>
      </c>
      <c r="H317" s="204">
        <v>44498</v>
      </c>
      <c r="I317" s="143" t="str">
        <f t="shared" si="45"/>
        <v>2021</v>
      </c>
      <c r="J317" s="143" t="str">
        <f t="shared" si="46"/>
        <v>Oct</v>
      </c>
      <c r="K317" s="204">
        <v>44505</v>
      </c>
      <c r="L317" s="157" t="s">
        <v>156</v>
      </c>
      <c r="M317" s="204">
        <v>44533</v>
      </c>
      <c r="N317" s="143" t="str">
        <f t="shared" si="47"/>
        <v>2021</v>
      </c>
      <c r="O317" s="143" t="str">
        <f t="shared" si="48"/>
        <v>Dec</v>
      </c>
      <c r="P317" s="157" t="s">
        <v>162</v>
      </c>
      <c r="Q317" s="146" t="s">
        <v>17</v>
      </c>
      <c r="R317" s="157" t="s">
        <v>54</v>
      </c>
      <c r="S317" s="141" t="s">
        <v>20</v>
      </c>
      <c r="T317" s="204">
        <v>44781</v>
      </c>
      <c r="U317" s="145" t="str">
        <f t="shared" si="49"/>
        <v>2022</v>
      </c>
      <c r="V317" s="145" t="str">
        <f t="shared" si="50"/>
        <v>Aug</v>
      </c>
      <c r="W317" s="141">
        <f t="shared" ca="1" si="44"/>
        <v>202</v>
      </c>
      <c r="X317" s="157" t="s">
        <v>104</v>
      </c>
      <c r="Y317" s="157">
        <f t="shared" ca="1" si="51"/>
        <v>4848</v>
      </c>
      <c r="Z317" s="158">
        <v>96.960000000000008</v>
      </c>
      <c r="AA317" s="148">
        <v>14544.000000000002</v>
      </c>
      <c r="AB317" s="148">
        <f t="shared" si="52"/>
        <v>150</v>
      </c>
      <c r="AC317" s="204">
        <v>44508</v>
      </c>
      <c r="AD317" s="146" t="str">
        <f t="shared" si="53"/>
        <v>2021</v>
      </c>
      <c r="AE317" s="150" t="str">
        <f t="shared" si="54"/>
        <v>Nov</v>
      </c>
    </row>
    <row r="318" spans="2:31" x14ac:dyDescent="0.25">
      <c r="B318" s="152">
        <v>17</v>
      </c>
      <c r="C318" s="157" t="s">
        <v>83</v>
      </c>
      <c r="D318" s="154" t="s">
        <v>33</v>
      </c>
      <c r="E318" s="157" t="s">
        <v>115</v>
      </c>
      <c r="F318" s="141">
        <v>416</v>
      </c>
      <c r="G318" s="155" t="s">
        <v>127</v>
      </c>
      <c r="H318" s="204">
        <v>44500</v>
      </c>
      <c r="I318" s="143" t="str">
        <f t="shared" si="45"/>
        <v>2021</v>
      </c>
      <c r="J318" s="143" t="str">
        <f t="shared" si="46"/>
        <v>Oct</v>
      </c>
      <c r="K318" s="204">
        <v>44504</v>
      </c>
      <c r="L318" s="157" t="s">
        <v>158</v>
      </c>
      <c r="M318" s="204">
        <v>44545</v>
      </c>
      <c r="N318" s="143" t="str">
        <f t="shared" si="47"/>
        <v>2021</v>
      </c>
      <c r="O318" s="143" t="str">
        <f t="shared" si="48"/>
        <v>Dec</v>
      </c>
      <c r="P318" s="157" t="s">
        <v>162</v>
      </c>
      <c r="Q318" s="146" t="s">
        <v>17</v>
      </c>
      <c r="R318" s="157" t="s">
        <v>38</v>
      </c>
      <c r="S318" s="141" t="s">
        <v>20</v>
      </c>
      <c r="T318" s="204">
        <v>45051</v>
      </c>
      <c r="U318" s="145" t="str">
        <f t="shared" si="49"/>
        <v>2023</v>
      </c>
      <c r="V318" s="145" t="str">
        <f t="shared" si="50"/>
        <v>May</v>
      </c>
      <c r="W318" s="141">
        <f t="shared" ca="1" si="44"/>
        <v>395</v>
      </c>
      <c r="X318" s="157" t="s">
        <v>105</v>
      </c>
      <c r="Y318" s="157">
        <f t="shared" ca="1" si="51"/>
        <v>9480</v>
      </c>
      <c r="Z318" s="158">
        <v>94.8</v>
      </c>
      <c r="AA318" s="148">
        <v>14220</v>
      </c>
      <c r="AB318" s="148">
        <f t="shared" si="52"/>
        <v>150</v>
      </c>
      <c r="AC318" s="204">
        <v>44507</v>
      </c>
      <c r="AD318" s="146" t="str">
        <f t="shared" si="53"/>
        <v>2021</v>
      </c>
      <c r="AE318" s="150" t="str">
        <f t="shared" si="54"/>
        <v>Nov</v>
      </c>
    </row>
    <row r="319" spans="2:31" x14ac:dyDescent="0.25">
      <c r="B319" s="152">
        <v>18</v>
      </c>
      <c r="C319" s="157" t="s">
        <v>84</v>
      </c>
      <c r="D319" s="154" t="s">
        <v>89</v>
      </c>
      <c r="E319" s="157" t="s">
        <v>112</v>
      </c>
      <c r="F319" s="141">
        <v>417</v>
      </c>
      <c r="G319" s="155" t="s">
        <v>128</v>
      </c>
      <c r="H319" s="204">
        <v>44505</v>
      </c>
      <c r="I319" s="143" t="str">
        <f t="shared" si="45"/>
        <v>2021</v>
      </c>
      <c r="J319" s="143" t="str">
        <f t="shared" si="46"/>
        <v>Nov</v>
      </c>
      <c r="K319" s="204">
        <v>44507</v>
      </c>
      <c r="L319" s="157" t="s">
        <v>159</v>
      </c>
      <c r="M319" s="204">
        <v>44547</v>
      </c>
      <c r="N319" s="143" t="str">
        <f t="shared" si="47"/>
        <v>2021</v>
      </c>
      <c r="O319" s="143" t="str">
        <f t="shared" si="48"/>
        <v>Dec</v>
      </c>
      <c r="P319" s="157" t="s">
        <v>165</v>
      </c>
      <c r="Q319" s="146" t="s">
        <v>267</v>
      </c>
      <c r="R319" s="157" t="s">
        <v>40</v>
      </c>
      <c r="S319" s="141" t="s">
        <v>20</v>
      </c>
      <c r="T319" s="204">
        <v>44838</v>
      </c>
      <c r="U319" s="145" t="str">
        <f t="shared" si="49"/>
        <v>2022</v>
      </c>
      <c r="V319" s="145" t="str">
        <f t="shared" si="50"/>
        <v>Oct</v>
      </c>
      <c r="W319" s="141">
        <f t="shared" ca="1" si="44"/>
        <v>238</v>
      </c>
      <c r="X319" s="157" t="s">
        <v>106</v>
      </c>
      <c r="Y319" s="157">
        <f t="shared" ca="1" si="51"/>
        <v>5712</v>
      </c>
      <c r="Z319" s="158">
        <v>171.35999999999999</v>
      </c>
      <c r="AA319" s="148">
        <v>12851.999999999998</v>
      </c>
      <c r="AB319" s="148">
        <f t="shared" si="52"/>
        <v>75</v>
      </c>
      <c r="AC319" s="204">
        <v>44510</v>
      </c>
      <c r="AD319" s="146" t="str">
        <f t="shared" si="53"/>
        <v>2021</v>
      </c>
      <c r="AE319" s="150" t="str">
        <f t="shared" si="54"/>
        <v>Nov</v>
      </c>
    </row>
    <row r="320" spans="2:31" x14ac:dyDescent="0.25">
      <c r="B320" s="152">
        <v>19</v>
      </c>
      <c r="C320" s="157" t="s">
        <v>85</v>
      </c>
      <c r="D320" s="154" t="s">
        <v>90</v>
      </c>
      <c r="E320" s="157" t="s">
        <v>113</v>
      </c>
      <c r="F320" s="141">
        <v>418</v>
      </c>
      <c r="G320" s="155" t="s">
        <v>129</v>
      </c>
      <c r="H320" s="204">
        <v>44508</v>
      </c>
      <c r="I320" s="143" t="str">
        <f t="shared" si="45"/>
        <v>2021</v>
      </c>
      <c r="J320" s="143" t="str">
        <f t="shared" si="46"/>
        <v>Nov</v>
      </c>
      <c r="K320" s="204">
        <v>44519</v>
      </c>
      <c r="L320" s="157" t="s">
        <v>158</v>
      </c>
      <c r="M320" s="204">
        <v>44554</v>
      </c>
      <c r="N320" s="143" t="str">
        <f t="shared" si="47"/>
        <v>2021</v>
      </c>
      <c r="O320" s="143" t="str">
        <f t="shared" si="48"/>
        <v>Dec</v>
      </c>
      <c r="P320" s="157" t="s">
        <v>165</v>
      </c>
      <c r="Q320" s="146" t="s">
        <v>17</v>
      </c>
      <c r="R320" s="157" t="s">
        <v>34</v>
      </c>
      <c r="S320" s="141" t="s">
        <v>20</v>
      </c>
      <c r="T320" s="204">
        <v>44654</v>
      </c>
      <c r="U320" s="145" t="str">
        <f t="shared" si="49"/>
        <v>2022</v>
      </c>
      <c r="V320" s="145" t="str">
        <f t="shared" si="50"/>
        <v>Apr</v>
      </c>
      <c r="W320" s="141">
        <f t="shared" ca="1" si="44"/>
        <v>105</v>
      </c>
      <c r="X320" s="157" t="s">
        <v>107</v>
      </c>
      <c r="Y320" s="157">
        <f t="shared" ca="1" si="51"/>
        <v>2520</v>
      </c>
      <c r="Z320" s="158">
        <v>25.2</v>
      </c>
      <c r="AA320" s="148">
        <v>3780</v>
      </c>
      <c r="AB320" s="148">
        <f t="shared" si="52"/>
        <v>150</v>
      </c>
      <c r="AC320" s="204">
        <v>44522</v>
      </c>
      <c r="AD320" s="146" t="str">
        <f t="shared" si="53"/>
        <v>2021</v>
      </c>
      <c r="AE320" s="150" t="str">
        <f t="shared" si="54"/>
        <v>Nov</v>
      </c>
    </row>
    <row r="321" spans="2:31" x14ac:dyDescent="0.25">
      <c r="B321" s="152">
        <v>20</v>
      </c>
      <c r="C321" s="157" t="s">
        <v>86</v>
      </c>
      <c r="D321" s="154" t="s">
        <v>91</v>
      </c>
      <c r="E321" s="157" t="s">
        <v>114</v>
      </c>
      <c r="F321" s="141">
        <v>419</v>
      </c>
      <c r="G321" s="155" t="s">
        <v>138</v>
      </c>
      <c r="H321" s="204">
        <v>44509</v>
      </c>
      <c r="I321" s="143" t="str">
        <f t="shared" si="45"/>
        <v>2021</v>
      </c>
      <c r="J321" s="143" t="str">
        <f t="shared" si="46"/>
        <v>Nov</v>
      </c>
      <c r="K321" s="204">
        <v>44523</v>
      </c>
      <c r="L321" s="157" t="s">
        <v>159</v>
      </c>
      <c r="M321" s="204">
        <v>44536</v>
      </c>
      <c r="N321" s="143" t="str">
        <f t="shared" si="47"/>
        <v>2021</v>
      </c>
      <c r="O321" s="143" t="str">
        <f t="shared" si="48"/>
        <v>Dec</v>
      </c>
      <c r="P321" s="157" t="s">
        <v>167</v>
      </c>
      <c r="Q321" s="146" t="s">
        <v>270</v>
      </c>
      <c r="R321" s="157" t="s">
        <v>35</v>
      </c>
      <c r="S321" s="141" t="s">
        <v>167</v>
      </c>
      <c r="T321" s="204" t="s">
        <v>274</v>
      </c>
      <c r="U321" s="145" t="str">
        <f t="shared" si="49"/>
        <v/>
      </c>
      <c r="V321" s="145" t="str">
        <f t="shared" si="50"/>
        <v/>
      </c>
      <c r="W321" s="141">
        <f t="shared" ca="1" si="44"/>
        <v>707</v>
      </c>
      <c r="X321" s="157" t="s">
        <v>108</v>
      </c>
      <c r="Y321" s="157">
        <f t="shared" ca="1" si="51"/>
        <v>16968</v>
      </c>
      <c r="Z321" s="158">
        <v>169.20000000000002</v>
      </c>
      <c r="AA321" s="148">
        <v>5076.0000000000009</v>
      </c>
      <c r="AB321" s="148">
        <f t="shared" si="52"/>
        <v>30.000000000000004</v>
      </c>
      <c r="AC321" s="204"/>
      <c r="AD321" s="157" t="str">
        <f t="shared" si="53"/>
        <v/>
      </c>
      <c r="AE321" s="150" t="str">
        <f t="shared" si="54"/>
        <v/>
      </c>
    </row>
    <row r="322" spans="2:31" x14ac:dyDescent="0.25">
      <c r="B322" s="152">
        <v>21</v>
      </c>
      <c r="C322" s="157" t="s">
        <v>87</v>
      </c>
      <c r="D322" s="154" t="s">
        <v>92</v>
      </c>
      <c r="E322" s="157" t="s">
        <v>115</v>
      </c>
      <c r="F322" s="141">
        <v>420</v>
      </c>
      <c r="G322" s="155" t="s">
        <v>130</v>
      </c>
      <c r="H322" s="204">
        <v>44510</v>
      </c>
      <c r="I322" s="143" t="str">
        <f t="shared" si="45"/>
        <v>2021</v>
      </c>
      <c r="J322" s="143" t="str">
        <f t="shared" si="46"/>
        <v>Nov</v>
      </c>
      <c r="K322" s="204">
        <v>44512</v>
      </c>
      <c r="L322" s="157" t="s">
        <v>159</v>
      </c>
      <c r="M322" s="204">
        <v>44551</v>
      </c>
      <c r="N322" s="143" t="str">
        <f t="shared" si="47"/>
        <v>2021</v>
      </c>
      <c r="O322" s="143" t="str">
        <f t="shared" si="48"/>
        <v>Dec</v>
      </c>
      <c r="P322" s="157" t="s">
        <v>164</v>
      </c>
      <c r="Q322" s="146" t="s">
        <v>17</v>
      </c>
      <c r="R322" s="157" t="s">
        <v>36</v>
      </c>
      <c r="S322" s="141" t="s">
        <v>20</v>
      </c>
      <c r="T322" s="204">
        <v>44684</v>
      </c>
      <c r="U322" s="145" t="str">
        <f t="shared" si="49"/>
        <v>2022</v>
      </c>
      <c r="V322" s="145" t="str">
        <f t="shared" si="50"/>
        <v>May</v>
      </c>
      <c r="W322" s="141">
        <f t="shared" ca="1" si="44"/>
        <v>125</v>
      </c>
      <c r="X322" s="157" t="s">
        <v>109</v>
      </c>
      <c r="Y322" s="157">
        <f t="shared" ca="1" si="51"/>
        <v>3000</v>
      </c>
      <c r="Z322" s="158">
        <v>60</v>
      </c>
      <c r="AA322" s="148">
        <v>9000</v>
      </c>
      <c r="AB322" s="148">
        <f t="shared" si="52"/>
        <v>150</v>
      </c>
      <c r="AC322" s="204">
        <v>44515</v>
      </c>
      <c r="AD322" s="146" t="str">
        <f t="shared" si="53"/>
        <v>2021</v>
      </c>
      <c r="AE322" s="150" t="str">
        <f t="shared" si="54"/>
        <v>Nov</v>
      </c>
    </row>
    <row r="323" spans="2:31" x14ac:dyDescent="0.25">
      <c r="B323" s="152">
        <v>22</v>
      </c>
      <c r="C323" s="157" t="s">
        <v>88</v>
      </c>
      <c r="D323" s="154" t="s">
        <v>39</v>
      </c>
      <c r="E323" s="157" t="s">
        <v>116</v>
      </c>
      <c r="F323" s="141">
        <v>421</v>
      </c>
      <c r="G323" s="155" t="s">
        <v>131</v>
      </c>
      <c r="H323" s="204">
        <v>44510</v>
      </c>
      <c r="I323" s="143" t="str">
        <f t="shared" si="45"/>
        <v>2021</v>
      </c>
      <c r="J323" s="143" t="str">
        <f t="shared" si="46"/>
        <v>Nov</v>
      </c>
      <c r="K323" s="204">
        <v>44525</v>
      </c>
      <c r="L323" s="157" t="s">
        <v>157</v>
      </c>
      <c r="M323" s="204">
        <v>44539</v>
      </c>
      <c r="N323" s="143" t="str">
        <f t="shared" si="47"/>
        <v>2021</v>
      </c>
      <c r="O323" s="143" t="str">
        <f t="shared" si="48"/>
        <v>Dec</v>
      </c>
      <c r="P323" s="157" t="s">
        <v>164</v>
      </c>
      <c r="Q323" s="146" t="s">
        <v>266</v>
      </c>
      <c r="R323" s="157" t="s">
        <v>37</v>
      </c>
      <c r="S323" s="141" t="s">
        <v>20</v>
      </c>
      <c r="T323" s="204">
        <v>44558</v>
      </c>
      <c r="U323" s="145" t="str">
        <f t="shared" si="49"/>
        <v>2021</v>
      </c>
      <c r="V323" s="145" t="str">
        <f t="shared" si="50"/>
        <v>Dec</v>
      </c>
      <c r="W323" s="141">
        <f t="shared" ref="W323:W386" ca="1" si="55">IF($T323="",NETWORKDAYS($H323,TODAY()),NETWORKDAYS($H323,$T323))</f>
        <v>35</v>
      </c>
      <c r="X323" s="157" t="s">
        <v>110</v>
      </c>
      <c r="Y323" s="157">
        <f t="shared" ca="1" si="51"/>
        <v>840</v>
      </c>
      <c r="Z323" s="158">
        <v>16.8</v>
      </c>
      <c r="AA323" s="148">
        <v>840</v>
      </c>
      <c r="AB323" s="148">
        <f t="shared" si="52"/>
        <v>50</v>
      </c>
      <c r="AC323" s="204">
        <v>44528</v>
      </c>
      <c r="AD323" s="146" t="str">
        <f t="shared" si="53"/>
        <v>2021</v>
      </c>
      <c r="AE323" s="150" t="str">
        <f t="shared" si="54"/>
        <v>Nov</v>
      </c>
    </row>
    <row r="324" spans="2:31" x14ac:dyDescent="0.25">
      <c r="B324" s="152">
        <v>1</v>
      </c>
      <c r="C324" s="153" t="s">
        <v>7</v>
      </c>
      <c r="D324" s="154" t="s">
        <v>8</v>
      </c>
      <c r="E324" s="157" t="s">
        <v>111</v>
      </c>
      <c r="F324" s="141">
        <v>422</v>
      </c>
      <c r="G324" s="155" t="s">
        <v>132</v>
      </c>
      <c r="H324" s="204">
        <v>44513</v>
      </c>
      <c r="I324" s="143" t="str">
        <f t="shared" ref="I324:I387" si="56">TEXT($H324,"YYYY")</f>
        <v>2021</v>
      </c>
      <c r="J324" s="143" t="str">
        <f t="shared" ref="J324:J387" si="57">TEXT($H324,"MMM")</f>
        <v>Nov</v>
      </c>
      <c r="K324" s="204">
        <v>44525</v>
      </c>
      <c r="L324" s="157" t="s">
        <v>161</v>
      </c>
      <c r="M324" s="204">
        <v>44552</v>
      </c>
      <c r="N324" s="143" t="str">
        <f t="shared" ref="N324:N387" si="58">TEXT($M324,"YYYY")</f>
        <v>2021</v>
      </c>
      <c r="O324" s="143" t="str">
        <f t="shared" ref="O324:O387" si="59">TEXT($M324,"MMM")</f>
        <v>Dec</v>
      </c>
      <c r="P324" s="157" t="s">
        <v>165</v>
      </c>
      <c r="Q324" s="146" t="s">
        <v>17</v>
      </c>
      <c r="R324" s="157" t="s">
        <v>18</v>
      </c>
      <c r="S324" s="141" t="s">
        <v>20</v>
      </c>
      <c r="T324" s="204">
        <v>44910</v>
      </c>
      <c r="U324" s="145" t="str">
        <f t="shared" ref="U324:U387" si="60">IF($T324="","",TEXT($T324,"YYYY"))</f>
        <v>2022</v>
      </c>
      <c r="V324" s="145" t="str">
        <f t="shared" ref="V324:V387" si="61">IF($T324="","",TEXT($T324,"MMM"))</f>
        <v>Dec</v>
      </c>
      <c r="W324" s="141">
        <f t="shared" ca="1" si="55"/>
        <v>284</v>
      </c>
      <c r="X324" s="157" t="s">
        <v>89</v>
      </c>
      <c r="Y324" s="157">
        <f t="shared" ref="Y324:Y387" ca="1" si="62">W324*24</f>
        <v>6816</v>
      </c>
      <c r="Z324" s="158">
        <v>68.16</v>
      </c>
      <c r="AA324" s="148">
        <v>10224</v>
      </c>
      <c r="AB324" s="148">
        <f t="shared" ref="AB324:AB387" si="63">AA324/Z324</f>
        <v>150</v>
      </c>
      <c r="AC324" s="204">
        <v>44528</v>
      </c>
      <c r="AD324" s="146" t="str">
        <f t="shared" ref="AD324:AD387" si="64">IF(AC324="","",TEXT(AC324,"yyyy"))</f>
        <v>2021</v>
      </c>
      <c r="AE324" s="150" t="str">
        <f t="shared" ref="AE324:AE387" si="65">IF(AC324="","",TEXT(AC324,"mmm"))</f>
        <v>Nov</v>
      </c>
    </row>
    <row r="325" spans="2:31" x14ac:dyDescent="0.25">
      <c r="B325" s="152">
        <v>2</v>
      </c>
      <c r="C325" s="153" t="s">
        <v>10</v>
      </c>
      <c r="D325" s="154" t="s">
        <v>11</v>
      </c>
      <c r="E325" s="157" t="s">
        <v>112</v>
      </c>
      <c r="F325" s="141">
        <v>423</v>
      </c>
      <c r="G325" s="155" t="s">
        <v>139</v>
      </c>
      <c r="H325" s="204">
        <v>44517</v>
      </c>
      <c r="I325" s="143" t="str">
        <f t="shared" si="56"/>
        <v>2021</v>
      </c>
      <c r="J325" s="143" t="str">
        <f t="shared" si="57"/>
        <v>Nov</v>
      </c>
      <c r="K325" s="204">
        <v>44529</v>
      </c>
      <c r="L325" s="157" t="s">
        <v>157</v>
      </c>
      <c r="M325" s="204">
        <v>44573</v>
      </c>
      <c r="N325" s="143" t="str">
        <f t="shared" si="58"/>
        <v>2022</v>
      </c>
      <c r="O325" s="143" t="str">
        <f t="shared" si="59"/>
        <v>Jan</v>
      </c>
      <c r="P325" s="157" t="s">
        <v>162</v>
      </c>
      <c r="Q325" s="146" t="s">
        <v>271</v>
      </c>
      <c r="R325" s="157" t="s">
        <v>19</v>
      </c>
      <c r="S325" s="141" t="s">
        <v>20</v>
      </c>
      <c r="T325" s="204">
        <v>44960</v>
      </c>
      <c r="U325" s="145" t="str">
        <f t="shared" si="60"/>
        <v>2023</v>
      </c>
      <c r="V325" s="145" t="str">
        <f t="shared" si="61"/>
        <v>Feb</v>
      </c>
      <c r="W325" s="141">
        <f t="shared" ca="1" si="55"/>
        <v>318</v>
      </c>
      <c r="X325" s="157" t="s">
        <v>90</v>
      </c>
      <c r="Y325" s="157">
        <f t="shared" ca="1" si="62"/>
        <v>7632</v>
      </c>
      <c r="Z325" s="158">
        <v>152.64000000000001</v>
      </c>
      <c r="AA325" s="148">
        <v>9158.4000000000015</v>
      </c>
      <c r="AB325" s="148">
        <f t="shared" si="63"/>
        <v>60.000000000000007</v>
      </c>
      <c r="AC325" s="204">
        <v>44532</v>
      </c>
      <c r="AD325" s="146" t="str">
        <f t="shared" si="64"/>
        <v>2021</v>
      </c>
      <c r="AE325" s="150" t="str">
        <f t="shared" si="65"/>
        <v>Dec</v>
      </c>
    </row>
    <row r="326" spans="2:31" x14ac:dyDescent="0.25">
      <c r="B326" s="152">
        <v>3</v>
      </c>
      <c r="C326" s="157" t="s">
        <v>69</v>
      </c>
      <c r="D326" s="154" t="s">
        <v>62</v>
      </c>
      <c r="E326" s="157" t="s">
        <v>113</v>
      </c>
      <c r="F326" s="141">
        <v>424</v>
      </c>
      <c r="G326" s="155" t="s">
        <v>133</v>
      </c>
      <c r="H326" s="204">
        <v>44518</v>
      </c>
      <c r="I326" s="143" t="str">
        <f t="shared" si="56"/>
        <v>2021</v>
      </c>
      <c r="J326" s="143" t="str">
        <f t="shared" si="57"/>
        <v>Nov</v>
      </c>
      <c r="K326" s="204">
        <v>44529</v>
      </c>
      <c r="L326" s="157" t="s">
        <v>158</v>
      </c>
      <c r="M326" s="204">
        <v>44559</v>
      </c>
      <c r="N326" s="143" t="str">
        <f t="shared" si="58"/>
        <v>2021</v>
      </c>
      <c r="O326" s="143" t="str">
        <f t="shared" si="59"/>
        <v>Dec</v>
      </c>
      <c r="P326" s="157" t="s">
        <v>162</v>
      </c>
      <c r="Q326" s="146" t="s">
        <v>268</v>
      </c>
      <c r="R326" s="157" t="s">
        <v>41</v>
      </c>
      <c r="S326" s="141" t="s">
        <v>20</v>
      </c>
      <c r="T326" s="204">
        <v>44710</v>
      </c>
      <c r="U326" s="145" t="str">
        <f t="shared" si="60"/>
        <v>2022</v>
      </c>
      <c r="V326" s="145" t="str">
        <f t="shared" si="61"/>
        <v>May</v>
      </c>
      <c r="W326" s="141">
        <f t="shared" ca="1" si="55"/>
        <v>137</v>
      </c>
      <c r="X326" s="157" t="s">
        <v>91</v>
      </c>
      <c r="Y326" s="157">
        <f t="shared" ca="1" si="62"/>
        <v>3288</v>
      </c>
      <c r="Z326" s="158">
        <v>32.880000000000003</v>
      </c>
      <c r="AA326" s="148">
        <v>3945.6000000000004</v>
      </c>
      <c r="AB326" s="148">
        <f t="shared" si="63"/>
        <v>120</v>
      </c>
      <c r="AC326" s="204">
        <v>44532</v>
      </c>
      <c r="AD326" s="146" t="str">
        <f t="shared" si="64"/>
        <v>2021</v>
      </c>
      <c r="AE326" s="150" t="str">
        <f t="shared" si="65"/>
        <v>Dec</v>
      </c>
    </row>
    <row r="327" spans="2:31" x14ac:dyDescent="0.25">
      <c r="B327" s="152">
        <v>4</v>
      </c>
      <c r="C327" s="157" t="s">
        <v>70</v>
      </c>
      <c r="D327" s="154" t="s">
        <v>63</v>
      </c>
      <c r="E327" s="157" t="s">
        <v>114</v>
      </c>
      <c r="F327" s="141">
        <v>425</v>
      </c>
      <c r="G327" s="154" t="s">
        <v>119</v>
      </c>
      <c r="H327" s="204">
        <v>44519</v>
      </c>
      <c r="I327" s="143" t="str">
        <f t="shared" si="56"/>
        <v>2021</v>
      </c>
      <c r="J327" s="143" t="str">
        <f t="shared" si="57"/>
        <v>Nov</v>
      </c>
      <c r="K327" s="204">
        <v>44534</v>
      </c>
      <c r="L327" s="157" t="s">
        <v>157</v>
      </c>
      <c r="M327" s="204">
        <v>44554</v>
      </c>
      <c r="N327" s="143" t="str">
        <f t="shared" si="58"/>
        <v>2021</v>
      </c>
      <c r="O327" s="143" t="str">
        <f t="shared" si="59"/>
        <v>Dec</v>
      </c>
      <c r="P327" s="157" t="s">
        <v>162</v>
      </c>
      <c r="Q327" s="146" t="s">
        <v>17</v>
      </c>
      <c r="R327" s="157" t="s">
        <v>42</v>
      </c>
      <c r="S327" s="141" t="s">
        <v>20</v>
      </c>
      <c r="T327" s="204">
        <v>44976</v>
      </c>
      <c r="U327" s="145" t="str">
        <f t="shared" si="60"/>
        <v>2023</v>
      </c>
      <c r="V327" s="145" t="str">
        <f t="shared" si="61"/>
        <v>Feb</v>
      </c>
      <c r="W327" s="141">
        <f t="shared" ca="1" si="55"/>
        <v>326</v>
      </c>
      <c r="X327" s="157" t="s">
        <v>92</v>
      </c>
      <c r="Y327" s="157">
        <f t="shared" ca="1" si="62"/>
        <v>7824</v>
      </c>
      <c r="Z327" s="158">
        <v>78.239999999999995</v>
      </c>
      <c r="AA327" s="148">
        <v>11736</v>
      </c>
      <c r="AB327" s="148">
        <f t="shared" si="63"/>
        <v>150</v>
      </c>
      <c r="AC327" s="204">
        <v>44537</v>
      </c>
      <c r="AD327" s="146" t="str">
        <f t="shared" si="64"/>
        <v>2021</v>
      </c>
      <c r="AE327" s="150" t="str">
        <f t="shared" si="65"/>
        <v>Dec</v>
      </c>
    </row>
    <row r="328" spans="2:31" x14ac:dyDescent="0.25">
      <c r="B328" s="152">
        <v>5</v>
      </c>
      <c r="C328" s="157" t="s">
        <v>71</v>
      </c>
      <c r="D328" s="154" t="s">
        <v>64</v>
      </c>
      <c r="E328" s="157" t="s">
        <v>115</v>
      </c>
      <c r="F328" s="141">
        <v>426</v>
      </c>
      <c r="G328" s="155" t="s">
        <v>139</v>
      </c>
      <c r="H328" s="204">
        <v>44523</v>
      </c>
      <c r="I328" s="143" t="str">
        <f t="shared" si="56"/>
        <v>2021</v>
      </c>
      <c r="J328" s="143" t="str">
        <f t="shared" si="57"/>
        <v>Nov</v>
      </c>
      <c r="K328" s="204">
        <v>44536</v>
      </c>
      <c r="L328" s="157" t="s">
        <v>158</v>
      </c>
      <c r="M328" s="204">
        <v>44566</v>
      </c>
      <c r="N328" s="143" t="str">
        <f t="shared" si="58"/>
        <v>2022</v>
      </c>
      <c r="O328" s="143" t="str">
        <f t="shared" si="59"/>
        <v>Jan</v>
      </c>
      <c r="P328" s="157" t="s">
        <v>165</v>
      </c>
      <c r="Q328" s="146" t="s">
        <v>271</v>
      </c>
      <c r="R328" s="157" t="s">
        <v>43</v>
      </c>
      <c r="S328" s="141" t="s">
        <v>20</v>
      </c>
      <c r="T328" s="204">
        <v>44599</v>
      </c>
      <c r="U328" s="145" t="str">
        <f t="shared" si="60"/>
        <v>2022</v>
      </c>
      <c r="V328" s="145" t="str">
        <f t="shared" si="61"/>
        <v>Feb</v>
      </c>
      <c r="W328" s="141">
        <f t="shared" ca="1" si="55"/>
        <v>55</v>
      </c>
      <c r="X328" s="157" t="s">
        <v>93</v>
      </c>
      <c r="Y328" s="157">
        <f t="shared" ca="1" si="62"/>
        <v>1320</v>
      </c>
      <c r="Z328" s="158">
        <v>13.200000000000001</v>
      </c>
      <c r="AA328" s="148">
        <v>792.00000000000011</v>
      </c>
      <c r="AB328" s="148">
        <f t="shared" si="63"/>
        <v>60.000000000000007</v>
      </c>
      <c r="AC328" s="204">
        <v>44539</v>
      </c>
      <c r="AD328" s="146" t="str">
        <f t="shared" si="64"/>
        <v>2021</v>
      </c>
      <c r="AE328" s="150" t="str">
        <f t="shared" si="65"/>
        <v>Dec</v>
      </c>
    </row>
    <row r="329" spans="2:31" x14ac:dyDescent="0.25">
      <c r="B329" s="152">
        <v>6</v>
      </c>
      <c r="C329" s="157" t="s">
        <v>72</v>
      </c>
      <c r="D329" s="154" t="s">
        <v>65</v>
      </c>
      <c r="E329" s="157" t="s">
        <v>116</v>
      </c>
      <c r="F329" s="141">
        <v>427</v>
      </c>
      <c r="G329" s="155" t="s">
        <v>139</v>
      </c>
      <c r="H329" s="204">
        <v>44527</v>
      </c>
      <c r="I329" s="143" t="str">
        <f t="shared" si="56"/>
        <v>2021</v>
      </c>
      <c r="J329" s="143" t="str">
        <f t="shared" si="57"/>
        <v>Nov</v>
      </c>
      <c r="K329" s="204">
        <v>44530</v>
      </c>
      <c r="L329" s="157" t="s">
        <v>160</v>
      </c>
      <c r="M329" s="204">
        <v>44565</v>
      </c>
      <c r="N329" s="143" t="str">
        <f t="shared" si="58"/>
        <v>2022</v>
      </c>
      <c r="O329" s="143" t="str">
        <f t="shared" si="59"/>
        <v>Jan</v>
      </c>
      <c r="P329" s="157" t="s">
        <v>165</v>
      </c>
      <c r="Q329" s="146" t="s">
        <v>271</v>
      </c>
      <c r="R329" s="157" t="s">
        <v>44</v>
      </c>
      <c r="S329" s="141" t="s">
        <v>20</v>
      </c>
      <c r="T329" s="204">
        <v>44849</v>
      </c>
      <c r="U329" s="145" t="str">
        <f t="shared" si="60"/>
        <v>2022</v>
      </c>
      <c r="V329" s="145" t="str">
        <f t="shared" si="61"/>
        <v>Oct</v>
      </c>
      <c r="W329" s="141">
        <f t="shared" ca="1" si="55"/>
        <v>230</v>
      </c>
      <c r="X329" s="157" t="s">
        <v>94</v>
      </c>
      <c r="Y329" s="157">
        <f t="shared" ca="1" si="62"/>
        <v>5520</v>
      </c>
      <c r="Z329" s="158">
        <v>165.6</v>
      </c>
      <c r="AA329" s="148">
        <v>9936</v>
      </c>
      <c r="AB329" s="148">
        <f t="shared" si="63"/>
        <v>60</v>
      </c>
      <c r="AC329" s="204">
        <v>44533</v>
      </c>
      <c r="AD329" s="146" t="str">
        <f t="shared" si="64"/>
        <v>2021</v>
      </c>
      <c r="AE329" s="150" t="str">
        <f t="shared" si="65"/>
        <v>Dec</v>
      </c>
    </row>
    <row r="330" spans="2:31" x14ac:dyDescent="0.25">
      <c r="B330" s="152">
        <v>7</v>
      </c>
      <c r="C330" s="157" t="s">
        <v>73</v>
      </c>
      <c r="D330" s="154" t="s">
        <v>66</v>
      </c>
      <c r="E330" s="157" t="s">
        <v>117</v>
      </c>
      <c r="F330" s="141">
        <v>428</v>
      </c>
      <c r="G330" s="155" t="s">
        <v>139</v>
      </c>
      <c r="H330" s="204">
        <v>44528</v>
      </c>
      <c r="I330" s="143" t="str">
        <f t="shared" si="56"/>
        <v>2021</v>
      </c>
      <c r="J330" s="143" t="str">
        <f t="shared" si="57"/>
        <v>Nov</v>
      </c>
      <c r="K330" s="204">
        <v>44533</v>
      </c>
      <c r="L330" s="157" t="s">
        <v>158</v>
      </c>
      <c r="M330" s="204">
        <v>44565</v>
      </c>
      <c r="N330" s="143" t="str">
        <f t="shared" si="58"/>
        <v>2022</v>
      </c>
      <c r="O330" s="143" t="str">
        <f t="shared" si="59"/>
        <v>Jan</v>
      </c>
      <c r="P330" s="157" t="s">
        <v>162</v>
      </c>
      <c r="Q330" s="146" t="s">
        <v>271</v>
      </c>
      <c r="R330" s="157" t="s">
        <v>45</v>
      </c>
      <c r="S330" s="141" t="s">
        <v>20</v>
      </c>
      <c r="T330" s="204">
        <v>44623</v>
      </c>
      <c r="U330" s="145" t="str">
        <f t="shared" si="60"/>
        <v>2022</v>
      </c>
      <c r="V330" s="145" t="str">
        <f t="shared" si="61"/>
        <v>Mar</v>
      </c>
      <c r="W330" s="141">
        <f t="shared" ca="1" si="55"/>
        <v>69</v>
      </c>
      <c r="X330" s="157" t="s">
        <v>95</v>
      </c>
      <c r="Y330" s="157">
        <f t="shared" ca="1" si="62"/>
        <v>1656</v>
      </c>
      <c r="Z330" s="158">
        <v>49.68</v>
      </c>
      <c r="AA330" s="148">
        <v>2980.8</v>
      </c>
      <c r="AB330" s="148">
        <f t="shared" si="63"/>
        <v>60.000000000000007</v>
      </c>
      <c r="AC330" s="204">
        <v>44536</v>
      </c>
      <c r="AD330" s="146" t="str">
        <f t="shared" si="64"/>
        <v>2021</v>
      </c>
      <c r="AE330" s="150" t="str">
        <f t="shared" si="65"/>
        <v>Dec</v>
      </c>
    </row>
    <row r="331" spans="2:31" x14ac:dyDescent="0.25">
      <c r="B331" s="152">
        <v>21</v>
      </c>
      <c r="C331" s="157" t="s">
        <v>87</v>
      </c>
      <c r="D331" s="154" t="s">
        <v>92</v>
      </c>
      <c r="E331" s="157" t="s">
        <v>115</v>
      </c>
      <c r="F331" s="141">
        <v>429</v>
      </c>
      <c r="G331" s="155" t="s">
        <v>120</v>
      </c>
      <c r="H331" s="204">
        <v>44529</v>
      </c>
      <c r="I331" s="143" t="str">
        <f t="shared" si="56"/>
        <v>2021</v>
      </c>
      <c r="J331" s="143" t="str">
        <f t="shared" si="57"/>
        <v>Nov</v>
      </c>
      <c r="K331" s="204">
        <v>44533</v>
      </c>
      <c r="L331" s="151" t="s">
        <v>160</v>
      </c>
      <c r="M331" s="204">
        <v>44575</v>
      </c>
      <c r="N331" s="143" t="str">
        <f t="shared" si="58"/>
        <v>2022</v>
      </c>
      <c r="O331" s="143" t="str">
        <f t="shared" si="59"/>
        <v>Jan</v>
      </c>
      <c r="P331" s="157" t="s">
        <v>167</v>
      </c>
      <c r="Q331" s="146" t="s">
        <v>17</v>
      </c>
      <c r="R331" s="157" t="s">
        <v>36</v>
      </c>
      <c r="S331" s="141" t="s">
        <v>167</v>
      </c>
      <c r="T331" s="204" t="s">
        <v>274</v>
      </c>
      <c r="U331" s="145" t="str">
        <f t="shared" si="60"/>
        <v/>
      </c>
      <c r="V331" s="145" t="str">
        <f t="shared" si="61"/>
        <v/>
      </c>
      <c r="W331" s="141">
        <f t="shared" ca="1" si="55"/>
        <v>693</v>
      </c>
      <c r="X331" s="157" t="s">
        <v>109</v>
      </c>
      <c r="Y331" s="157">
        <f t="shared" ca="1" si="62"/>
        <v>16632</v>
      </c>
      <c r="Z331" s="158">
        <v>497.52</v>
      </c>
      <c r="AA331" s="148">
        <v>74628</v>
      </c>
      <c r="AB331" s="148">
        <f t="shared" si="63"/>
        <v>150</v>
      </c>
      <c r="AC331" s="204"/>
      <c r="AD331" s="157" t="str">
        <f t="shared" si="64"/>
        <v/>
      </c>
      <c r="AE331" s="150" t="str">
        <f t="shared" si="65"/>
        <v/>
      </c>
    </row>
    <row r="332" spans="2:31" x14ac:dyDescent="0.25">
      <c r="B332" s="152">
        <v>22</v>
      </c>
      <c r="C332" s="157" t="s">
        <v>88</v>
      </c>
      <c r="D332" s="154" t="s">
        <v>39</v>
      </c>
      <c r="E332" s="157" t="s">
        <v>116</v>
      </c>
      <c r="F332" s="141">
        <v>430</v>
      </c>
      <c r="G332" s="155" t="s">
        <v>121</v>
      </c>
      <c r="H332" s="204">
        <v>44531</v>
      </c>
      <c r="I332" s="143" t="str">
        <f t="shared" si="56"/>
        <v>2021</v>
      </c>
      <c r="J332" s="143" t="str">
        <f t="shared" si="57"/>
        <v>Dec</v>
      </c>
      <c r="K332" s="204">
        <v>44545</v>
      </c>
      <c r="L332" s="157" t="s">
        <v>158</v>
      </c>
      <c r="M332" s="204">
        <v>44568</v>
      </c>
      <c r="N332" s="143" t="str">
        <f t="shared" si="58"/>
        <v>2022</v>
      </c>
      <c r="O332" s="143" t="str">
        <f t="shared" si="59"/>
        <v>Jan</v>
      </c>
      <c r="P332" s="157" t="s">
        <v>162</v>
      </c>
      <c r="Q332" s="146" t="s">
        <v>264</v>
      </c>
      <c r="R332" s="157" t="s">
        <v>37</v>
      </c>
      <c r="S332" s="141" t="s">
        <v>20</v>
      </c>
      <c r="T332" s="204">
        <v>44948</v>
      </c>
      <c r="U332" s="145" t="str">
        <f t="shared" si="60"/>
        <v>2023</v>
      </c>
      <c r="V332" s="145" t="str">
        <f t="shared" si="61"/>
        <v>Jan</v>
      </c>
      <c r="W332" s="141">
        <f t="shared" ca="1" si="55"/>
        <v>298</v>
      </c>
      <c r="X332" s="157" t="s">
        <v>110</v>
      </c>
      <c r="Y332" s="157">
        <f t="shared" ca="1" si="62"/>
        <v>7152</v>
      </c>
      <c r="Z332" s="158">
        <v>71.52</v>
      </c>
      <c r="AA332" s="148">
        <v>2145.6</v>
      </c>
      <c r="AB332" s="148">
        <f t="shared" si="63"/>
        <v>30</v>
      </c>
      <c r="AC332" s="204">
        <v>44548</v>
      </c>
      <c r="AD332" s="146" t="str">
        <f t="shared" si="64"/>
        <v>2021</v>
      </c>
      <c r="AE332" s="150" t="str">
        <f t="shared" si="65"/>
        <v>Dec</v>
      </c>
    </row>
    <row r="333" spans="2:31" x14ac:dyDescent="0.25">
      <c r="B333" s="152">
        <v>1</v>
      </c>
      <c r="C333" s="153" t="s">
        <v>7</v>
      </c>
      <c r="D333" s="154" t="s">
        <v>8</v>
      </c>
      <c r="E333" s="157" t="s">
        <v>111</v>
      </c>
      <c r="F333" s="141">
        <v>431</v>
      </c>
      <c r="G333" s="155" t="s">
        <v>122</v>
      </c>
      <c r="H333" s="204">
        <v>44534</v>
      </c>
      <c r="I333" s="143" t="str">
        <f t="shared" si="56"/>
        <v>2021</v>
      </c>
      <c r="J333" s="143" t="str">
        <f t="shared" si="57"/>
        <v>Dec</v>
      </c>
      <c r="K333" s="204">
        <v>44549</v>
      </c>
      <c r="L333" s="157" t="s">
        <v>159</v>
      </c>
      <c r="M333" s="204">
        <v>44585</v>
      </c>
      <c r="N333" s="143" t="str">
        <f t="shared" si="58"/>
        <v>2022</v>
      </c>
      <c r="O333" s="143" t="str">
        <f t="shared" si="59"/>
        <v>Jan</v>
      </c>
      <c r="P333" s="157" t="s">
        <v>164</v>
      </c>
      <c r="Q333" s="146" t="s">
        <v>265</v>
      </c>
      <c r="R333" s="157" t="s">
        <v>18</v>
      </c>
      <c r="S333" s="141" t="s">
        <v>20</v>
      </c>
      <c r="T333" s="204">
        <v>44628</v>
      </c>
      <c r="U333" s="145" t="str">
        <f t="shared" si="60"/>
        <v>2022</v>
      </c>
      <c r="V333" s="145" t="str">
        <f t="shared" si="61"/>
        <v>Mar</v>
      </c>
      <c r="W333" s="141">
        <f t="shared" ca="1" si="55"/>
        <v>67</v>
      </c>
      <c r="X333" s="157" t="s">
        <v>89</v>
      </c>
      <c r="Y333" s="157">
        <f t="shared" ca="1" si="62"/>
        <v>1608</v>
      </c>
      <c r="Z333" s="158">
        <v>32.160000000000004</v>
      </c>
      <c r="AA333" s="148">
        <v>3216.0000000000005</v>
      </c>
      <c r="AB333" s="148">
        <f t="shared" si="63"/>
        <v>100</v>
      </c>
      <c r="AC333" s="204">
        <v>44552</v>
      </c>
      <c r="AD333" s="146" t="str">
        <f t="shared" si="64"/>
        <v>2021</v>
      </c>
      <c r="AE333" s="150" t="str">
        <f t="shared" si="65"/>
        <v>Dec</v>
      </c>
    </row>
    <row r="334" spans="2:31" x14ac:dyDescent="0.25">
      <c r="B334" s="152">
        <v>2</v>
      </c>
      <c r="C334" s="153" t="s">
        <v>10</v>
      </c>
      <c r="D334" s="154" t="s">
        <v>11</v>
      </c>
      <c r="E334" s="157" t="s">
        <v>112</v>
      </c>
      <c r="F334" s="141">
        <v>432</v>
      </c>
      <c r="G334" s="155" t="s">
        <v>123</v>
      </c>
      <c r="H334" s="204">
        <v>44548</v>
      </c>
      <c r="I334" s="143" t="str">
        <f t="shared" si="56"/>
        <v>2021</v>
      </c>
      <c r="J334" s="143" t="str">
        <f t="shared" si="57"/>
        <v>Dec</v>
      </c>
      <c r="K334" s="204">
        <v>44562</v>
      </c>
      <c r="L334" s="157" t="s">
        <v>157</v>
      </c>
      <c r="M334" s="204">
        <v>44586</v>
      </c>
      <c r="N334" s="143" t="str">
        <f t="shared" si="58"/>
        <v>2022</v>
      </c>
      <c r="O334" s="143" t="str">
        <f t="shared" si="59"/>
        <v>Jan</v>
      </c>
      <c r="P334" s="157" t="s">
        <v>162</v>
      </c>
      <c r="Q334" s="146" t="s">
        <v>266</v>
      </c>
      <c r="R334" s="157" t="s">
        <v>19</v>
      </c>
      <c r="S334" s="141" t="s">
        <v>20</v>
      </c>
      <c r="T334" s="204">
        <v>44799</v>
      </c>
      <c r="U334" s="145" t="str">
        <f t="shared" si="60"/>
        <v>2022</v>
      </c>
      <c r="V334" s="145" t="str">
        <f t="shared" si="61"/>
        <v>Aug</v>
      </c>
      <c r="W334" s="141">
        <f t="shared" ca="1" si="55"/>
        <v>180</v>
      </c>
      <c r="X334" s="157" t="s">
        <v>90</v>
      </c>
      <c r="Y334" s="157">
        <f t="shared" ca="1" si="62"/>
        <v>4320</v>
      </c>
      <c r="Z334" s="158">
        <v>86.4</v>
      </c>
      <c r="AA334" s="148">
        <v>4320</v>
      </c>
      <c r="AB334" s="148">
        <f t="shared" si="63"/>
        <v>50</v>
      </c>
      <c r="AC334" s="204">
        <v>44565</v>
      </c>
      <c r="AD334" s="146" t="str">
        <f t="shared" si="64"/>
        <v>2022</v>
      </c>
      <c r="AE334" s="150" t="str">
        <f t="shared" si="65"/>
        <v>Jan</v>
      </c>
    </row>
    <row r="335" spans="2:31" x14ac:dyDescent="0.25">
      <c r="B335" s="152">
        <v>3</v>
      </c>
      <c r="C335" s="157" t="s">
        <v>69</v>
      </c>
      <c r="D335" s="154" t="s">
        <v>62</v>
      </c>
      <c r="E335" s="157" t="s">
        <v>113</v>
      </c>
      <c r="F335" s="141">
        <v>433</v>
      </c>
      <c r="G335" s="155" t="s">
        <v>139</v>
      </c>
      <c r="H335" s="204">
        <v>44552</v>
      </c>
      <c r="I335" s="143" t="str">
        <f t="shared" si="56"/>
        <v>2021</v>
      </c>
      <c r="J335" s="143" t="str">
        <f t="shared" si="57"/>
        <v>Dec</v>
      </c>
      <c r="K335" s="204">
        <v>44557</v>
      </c>
      <c r="L335" s="157" t="s">
        <v>161</v>
      </c>
      <c r="M335" s="204">
        <v>44595</v>
      </c>
      <c r="N335" s="143" t="str">
        <f t="shared" si="58"/>
        <v>2022</v>
      </c>
      <c r="O335" s="143" t="str">
        <f t="shared" si="59"/>
        <v>Feb</v>
      </c>
      <c r="P335" s="157" t="s">
        <v>162</v>
      </c>
      <c r="Q335" s="146" t="s">
        <v>271</v>
      </c>
      <c r="R335" s="157" t="s">
        <v>41</v>
      </c>
      <c r="S335" s="141" t="s">
        <v>20</v>
      </c>
      <c r="T335" s="204">
        <v>44969</v>
      </c>
      <c r="U335" s="145" t="str">
        <f t="shared" si="60"/>
        <v>2023</v>
      </c>
      <c r="V335" s="145" t="str">
        <f t="shared" si="61"/>
        <v>Feb</v>
      </c>
      <c r="W335" s="141">
        <f t="shared" ca="1" si="55"/>
        <v>298</v>
      </c>
      <c r="X335" s="157" t="s">
        <v>91</v>
      </c>
      <c r="Y335" s="157">
        <f t="shared" ca="1" si="62"/>
        <v>7152</v>
      </c>
      <c r="Z335" s="158">
        <v>143.04</v>
      </c>
      <c r="AA335" s="148">
        <v>8582.4</v>
      </c>
      <c r="AB335" s="148">
        <f t="shared" si="63"/>
        <v>60</v>
      </c>
      <c r="AC335" s="204">
        <v>44560</v>
      </c>
      <c r="AD335" s="146" t="str">
        <f t="shared" si="64"/>
        <v>2021</v>
      </c>
      <c r="AE335" s="150" t="str">
        <f t="shared" si="65"/>
        <v>Dec</v>
      </c>
    </row>
    <row r="336" spans="2:31" x14ac:dyDescent="0.25">
      <c r="B336" s="152">
        <v>4</v>
      </c>
      <c r="C336" s="157" t="s">
        <v>70</v>
      </c>
      <c r="D336" s="154" t="s">
        <v>63</v>
      </c>
      <c r="E336" s="157" t="s">
        <v>114</v>
      </c>
      <c r="F336" s="141">
        <v>434</v>
      </c>
      <c r="G336" s="155" t="s">
        <v>124</v>
      </c>
      <c r="H336" s="204">
        <v>44555</v>
      </c>
      <c r="I336" s="143" t="str">
        <f t="shared" si="56"/>
        <v>2021</v>
      </c>
      <c r="J336" s="143" t="str">
        <f t="shared" si="57"/>
        <v>Dec</v>
      </c>
      <c r="K336" s="204">
        <v>44570</v>
      </c>
      <c r="L336" s="157" t="s">
        <v>161</v>
      </c>
      <c r="M336" s="204">
        <v>44601</v>
      </c>
      <c r="N336" s="143" t="str">
        <f t="shared" si="58"/>
        <v>2022</v>
      </c>
      <c r="O336" s="143" t="str">
        <f t="shared" si="59"/>
        <v>Feb</v>
      </c>
      <c r="P336" s="157" t="s">
        <v>162</v>
      </c>
      <c r="Q336" s="146" t="s">
        <v>17</v>
      </c>
      <c r="R336" s="157" t="s">
        <v>42</v>
      </c>
      <c r="S336" s="141" t="s">
        <v>20</v>
      </c>
      <c r="T336" s="204">
        <v>45068</v>
      </c>
      <c r="U336" s="145" t="str">
        <f t="shared" si="60"/>
        <v>2023</v>
      </c>
      <c r="V336" s="145" t="str">
        <f t="shared" si="61"/>
        <v>May</v>
      </c>
      <c r="W336" s="141">
        <f t="shared" ca="1" si="55"/>
        <v>366</v>
      </c>
      <c r="X336" s="157" t="s">
        <v>92</v>
      </c>
      <c r="Y336" s="157">
        <f t="shared" ca="1" si="62"/>
        <v>8784</v>
      </c>
      <c r="Z336" s="158">
        <v>175.68</v>
      </c>
      <c r="AA336" s="148">
        <v>26352</v>
      </c>
      <c r="AB336" s="148">
        <f t="shared" si="63"/>
        <v>150</v>
      </c>
      <c r="AC336" s="204">
        <v>44573</v>
      </c>
      <c r="AD336" s="146" t="str">
        <f t="shared" si="64"/>
        <v>2022</v>
      </c>
      <c r="AE336" s="150" t="str">
        <f t="shared" si="65"/>
        <v>Jan</v>
      </c>
    </row>
    <row r="337" spans="2:31" x14ac:dyDescent="0.25">
      <c r="B337" s="152">
        <v>5</v>
      </c>
      <c r="C337" s="157" t="s">
        <v>71</v>
      </c>
      <c r="D337" s="154" t="s">
        <v>64</v>
      </c>
      <c r="E337" s="157" t="s">
        <v>115</v>
      </c>
      <c r="F337" s="141">
        <v>435</v>
      </c>
      <c r="G337" s="155" t="s">
        <v>139</v>
      </c>
      <c r="H337" s="204">
        <v>44558</v>
      </c>
      <c r="I337" s="143" t="str">
        <f t="shared" si="56"/>
        <v>2021</v>
      </c>
      <c r="J337" s="143" t="str">
        <f t="shared" si="57"/>
        <v>Dec</v>
      </c>
      <c r="K337" s="204">
        <v>44560</v>
      </c>
      <c r="L337" s="157" t="s">
        <v>156</v>
      </c>
      <c r="M337" s="204">
        <v>44604</v>
      </c>
      <c r="N337" s="143" t="str">
        <f t="shared" si="58"/>
        <v>2022</v>
      </c>
      <c r="O337" s="143" t="str">
        <f t="shared" si="59"/>
        <v>Feb</v>
      </c>
      <c r="P337" s="157" t="s">
        <v>165</v>
      </c>
      <c r="Q337" s="146" t="s">
        <v>271</v>
      </c>
      <c r="R337" s="157" t="s">
        <v>43</v>
      </c>
      <c r="S337" s="141" t="s">
        <v>20</v>
      </c>
      <c r="T337" s="204">
        <v>44657</v>
      </c>
      <c r="U337" s="145" t="str">
        <f t="shared" si="60"/>
        <v>2022</v>
      </c>
      <c r="V337" s="145" t="str">
        <f t="shared" si="61"/>
        <v>Apr</v>
      </c>
      <c r="W337" s="141">
        <f t="shared" ca="1" si="55"/>
        <v>72</v>
      </c>
      <c r="X337" s="157" t="s">
        <v>93</v>
      </c>
      <c r="Y337" s="157">
        <f t="shared" ca="1" si="62"/>
        <v>1728</v>
      </c>
      <c r="Z337" s="158">
        <v>51.839999999999996</v>
      </c>
      <c r="AA337" s="148">
        <v>3110.3999999999996</v>
      </c>
      <c r="AB337" s="148">
        <f t="shared" si="63"/>
        <v>60</v>
      </c>
      <c r="AC337" s="204">
        <v>44563</v>
      </c>
      <c r="AD337" s="146" t="str">
        <f t="shared" si="64"/>
        <v>2022</v>
      </c>
      <c r="AE337" s="150" t="str">
        <f t="shared" si="65"/>
        <v>Jan</v>
      </c>
    </row>
    <row r="338" spans="2:31" x14ac:dyDescent="0.25">
      <c r="B338" s="152">
        <v>6</v>
      </c>
      <c r="C338" s="157" t="s">
        <v>72</v>
      </c>
      <c r="D338" s="154" t="s">
        <v>65</v>
      </c>
      <c r="E338" s="157" t="s">
        <v>116</v>
      </c>
      <c r="F338" s="141">
        <v>436</v>
      </c>
      <c r="G338" s="155" t="s">
        <v>125</v>
      </c>
      <c r="H338" s="204">
        <v>44559</v>
      </c>
      <c r="I338" s="143" t="str">
        <f t="shared" si="56"/>
        <v>2021</v>
      </c>
      <c r="J338" s="143" t="str">
        <f t="shared" si="57"/>
        <v>Dec</v>
      </c>
      <c r="K338" s="204">
        <v>44560</v>
      </c>
      <c r="L338" s="157" t="s">
        <v>156</v>
      </c>
      <c r="M338" s="204">
        <v>44614</v>
      </c>
      <c r="N338" s="143" t="str">
        <f t="shared" si="58"/>
        <v>2022</v>
      </c>
      <c r="O338" s="143" t="str">
        <f t="shared" si="59"/>
        <v>Feb</v>
      </c>
      <c r="P338" s="157" t="s">
        <v>162</v>
      </c>
      <c r="Q338" s="146" t="s">
        <v>17</v>
      </c>
      <c r="R338" s="157" t="s">
        <v>44</v>
      </c>
      <c r="S338" s="141" t="s">
        <v>20</v>
      </c>
      <c r="T338" s="204">
        <v>44656</v>
      </c>
      <c r="U338" s="145" t="str">
        <f t="shared" si="60"/>
        <v>2022</v>
      </c>
      <c r="V338" s="145" t="str">
        <f t="shared" si="61"/>
        <v>Apr</v>
      </c>
      <c r="W338" s="141">
        <f t="shared" ca="1" si="55"/>
        <v>70</v>
      </c>
      <c r="X338" s="157" t="s">
        <v>94</v>
      </c>
      <c r="Y338" s="157">
        <f t="shared" ca="1" si="62"/>
        <v>1680</v>
      </c>
      <c r="Z338" s="158">
        <v>16.8</v>
      </c>
      <c r="AA338" s="148">
        <v>2520</v>
      </c>
      <c r="AB338" s="148">
        <f t="shared" si="63"/>
        <v>150</v>
      </c>
      <c r="AC338" s="204">
        <v>44563</v>
      </c>
      <c r="AD338" s="146" t="str">
        <f t="shared" si="64"/>
        <v>2022</v>
      </c>
      <c r="AE338" s="150" t="str">
        <f t="shared" si="65"/>
        <v>Jan</v>
      </c>
    </row>
    <row r="339" spans="2:31" x14ac:dyDescent="0.25">
      <c r="B339" s="152">
        <v>7</v>
      </c>
      <c r="C339" s="157" t="s">
        <v>73</v>
      </c>
      <c r="D339" s="154" t="s">
        <v>66</v>
      </c>
      <c r="E339" s="157" t="s">
        <v>117</v>
      </c>
      <c r="F339" s="141">
        <v>437</v>
      </c>
      <c r="G339" s="155" t="s">
        <v>126</v>
      </c>
      <c r="H339" s="204">
        <v>44560</v>
      </c>
      <c r="I339" s="143" t="str">
        <f t="shared" si="56"/>
        <v>2021</v>
      </c>
      <c r="J339" s="143" t="str">
        <f t="shared" si="57"/>
        <v>Dec</v>
      </c>
      <c r="K339" s="204">
        <v>44569</v>
      </c>
      <c r="L339" s="157" t="s">
        <v>160</v>
      </c>
      <c r="M339" s="204">
        <v>44603</v>
      </c>
      <c r="N339" s="143" t="str">
        <f t="shared" si="58"/>
        <v>2022</v>
      </c>
      <c r="O339" s="143" t="str">
        <f t="shared" si="59"/>
        <v>Feb</v>
      </c>
      <c r="P339" s="157" t="s">
        <v>165</v>
      </c>
      <c r="Q339" s="146" t="s">
        <v>17</v>
      </c>
      <c r="R339" s="157" t="s">
        <v>45</v>
      </c>
      <c r="S339" s="141" t="s">
        <v>20</v>
      </c>
      <c r="T339" s="204">
        <v>44778</v>
      </c>
      <c r="U339" s="145" t="str">
        <f t="shared" si="60"/>
        <v>2022</v>
      </c>
      <c r="V339" s="145" t="str">
        <f t="shared" si="61"/>
        <v>Aug</v>
      </c>
      <c r="W339" s="141">
        <f t="shared" ca="1" si="55"/>
        <v>157</v>
      </c>
      <c r="X339" s="157" t="s">
        <v>95</v>
      </c>
      <c r="Y339" s="157">
        <f t="shared" ca="1" si="62"/>
        <v>3768</v>
      </c>
      <c r="Z339" s="158">
        <v>37.68</v>
      </c>
      <c r="AA339" s="148">
        <v>5652</v>
      </c>
      <c r="AB339" s="148">
        <f t="shared" si="63"/>
        <v>150</v>
      </c>
      <c r="AC339" s="204">
        <v>44572</v>
      </c>
      <c r="AD339" s="146" t="str">
        <f t="shared" si="64"/>
        <v>2022</v>
      </c>
      <c r="AE339" s="150" t="str">
        <f t="shared" si="65"/>
        <v>Jan</v>
      </c>
    </row>
    <row r="340" spans="2:31" x14ac:dyDescent="0.25">
      <c r="B340" s="152">
        <v>8</v>
      </c>
      <c r="C340" s="157" t="s">
        <v>74</v>
      </c>
      <c r="D340" s="154" t="s">
        <v>67</v>
      </c>
      <c r="E340" s="157" t="s">
        <v>118</v>
      </c>
      <c r="F340" s="141">
        <v>438</v>
      </c>
      <c r="G340" s="155" t="s">
        <v>127</v>
      </c>
      <c r="H340" s="204">
        <v>44565</v>
      </c>
      <c r="I340" s="143" t="str">
        <f t="shared" si="56"/>
        <v>2022</v>
      </c>
      <c r="J340" s="143" t="str">
        <f t="shared" si="57"/>
        <v>Jan</v>
      </c>
      <c r="K340" s="204">
        <v>44565</v>
      </c>
      <c r="L340" s="157" t="s">
        <v>161</v>
      </c>
      <c r="M340" s="204">
        <v>44606</v>
      </c>
      <c r="N340" s="143" t="str">
        <f t="shared" si="58"/>
        <v>2022</v>
      </c>
      <c r="O340" s="143" t="str">
        <f t="shared" si="59"/>
        <v>Feb</v>
      </c>
      <c r="P340" s="157" t="s">
        <v>167</v>
      </c>
      <c r="Q340" s="146" t="s">
        <v>17</v>
      </c>
      <c r="R340" s="157" t="s">
        <v>46</v>
      </c>
      <c r="S340" s="141" t="s">
        <v>167</v>
      </c>
      <c r="T340" s="204" t="s">
        <v>274</v>
      </c>
      <c r="U340" s="145" t="str">
        <f t="shared" si="60"/>
        <v/>
      </c>
      <c r="V340" s="145" t="str">
        <f t="shared" si="61"/>
        <v/>
      </c>
      <c r="W340" s="141">
        <f t="shared" ca="1" si="55"/>
        <v>667</v>
      </c>
      <c r="X340" s="157" t="s">
        <v>96</v>
      </c>
      <c r="Y340" s="157">
        <f t="shared" ca="1" si="62"/>
        <v>16008</v>
      </c>
      <c r="Z340" s="158">
        <v>478.79999999999995</v>
      </c>
      <c r="AA340" s="148">
        <v>71820</v>
      </c>
      <c r="AB340" s="148">
        <f t="shared" si="63"/>
        <v>150.00000000000003</v>
      </c>
      <c r="AC340" s="204"/>
      <c r="AD340" s="157" t="str">
        <f t="shared" si="64"/>
        <v/>
      </c>
      <c r="AE340" s="150" t="str">
        <f t="shared" si="65"/>
        <v/>
      </c>
    </row>
    <row r="341" spans="2:31" x14ac:dyDescent="0.25">
      <c r="B341" s="152">
        <v>9</v>
      </c>
      <c r="C341" s="157" t="s">
        <v>75</v>
      </c>
      <c r="D341" s="154" t="s">
        <v>68</v>
      </c>
      <c r="E341" s="157" t="s">
        <v>115</v>
      </c>
      <c r="F341" s="141">
        <v>439</v>
      </c>
      <c r="G341" s="155" t="s">
        <v>128</v>
      </c>
      <c r="H341" s="204">
        <v>44566</v>
      </c>
      <c r="I341" s="143" t="str">
        <f t="shared" si="56"/>
        <v>2022</v>
      </c>
      <c r="J341" s="143" t="str">
        <f t="shared" si="57"/>
        <v>Jan</v>
      </c>
      <c r="K341" s="204">
        <v>44577</v>
      </c>
      <c r="L341" s="157" t="s">
        <v>159</v>
      </c>
      <c r="M341" s="204">
        <v>44610</v>
      </c>
      <c r="N341" s="143" t="str">
        <f t="shared" si="58"/>
        <v>2022</v>
      </c>
      <c r="O341" s="143" t="str">
        <f t="shared" si="59"/>
        <v>Feb</v>
      </c>
      <c r="P341" s="157" t="s">
        <v>164</v>
      </c>
      <c r="Q341" s="146" t="s">
        <v>267</v>
      </c>
      <c r="R341" s="157" t="s">
        <v>47</v>
      </c>
      <c r="S341" s="141" t="s">
        <v>20</v>
      </c>
      <c r="T341" s="204">
        <v>44904</v>
      </c>
      <c r="U341" s="145" t="str">
        <f t="shared" si="60"/>
        <v>2022</v>
      </c>
      <c r="V341" s="145" t="str">
        <f t="shared" si="61"/>
        <v>Dec</v>
      </c>
      <c r="W341" s="141">
        <f t="shared" ca="1" si="55"/>
        <v>243</v>
      </c>
      <c r="X341" s="157" t="s">
        <v>97</v>
      </c>
      <c r="Y341" s="157">
        <f t="shared" ca="1" si="62"/>
        <v>5832</v>
      </c>
      <c r="Z341" s="158">
        <v>174.95999999999998</v>
      </c>
      <c r="AA341" s="148">
        <v>13121.999999999998</v>
      </c>
      <c r="AB341" s="148">
        <f t="shared" si="63"/>
        <v>75</v>
      </c>
      <c r="AC341" s="204">
        <v>44580</v>
      </c>
      <c r="AD341" s="146" t="str">
        <f t="shared" si="64"/>
        <v>2022</v>
      </c>
      <c r="AE341" s="150" t="str">
        <f t="shared" si="65"/>
        <v>Jan</v>
      </c>
    </row>
    <row r="342" spans="2:31" x14ac:dyDescent="0.25">
      <c r="B342" s="152">
        <v>10</v>
      </c>
      <c r="C342" s="157" t="s">
        <v>76</v>
      </c>
      <c r="D342" s="154" t="s">
        <v>55</v>
      </c>
      <c r="E342" s="157" t="s">
        <v>116</v>
      </c>
      <c r="F342" s="141">
        <v>440</v>
      </c>
      <c r="G342" s="155" t="s">
        <v>129</v>
      </c>
      <c r="H342" s="204">
        <v>44566</v>
      </c>
      <c r="I342" s="143" t="str">
        <f t="shared" si="56"/>
        <v>2022</v>
      </c>
      <c r="J342" s="143" t="str">
        <f t="shared" si="57"/>
        <v>Jan</v>
      </c>
      <c r="K342" s="204">
        <v>44578</v>
      </c>
      <c r="L342" s="157" t="s">
        <v>160</v>
      </c>
      <c r="M342" s="204">
        <v>44603</v>
      </c>
      <c r="N342" s="143" t="str">
        <f t="shared" si="58"/>
        <v>2022</v>
      </c>
      <c r="O342" s="143" t="str">
        <f t="shared" si="59"/>
        <v>Feb</v>
      </c>
      <c r="P342" s="157" t="s">
        <v>164</v>
      </c>
      <c r="Q342" s="146" t="s">
        <v>17</v>
      </c>
      <c r="R342" s="157" t="s">
        <v>48</v>
      </c>
      <c r="S342" s="141" t="s">
        <v>20</v>
      </c>
      <c r="T342" s="204">
        <v>44937</v>
      </c>
      <c r="U342" s="145" t="str">
        <f t="shared" si="60"/>
        <v>2023</v>
      </c>
      <c r="V342" s="145" t="str">
        <f t="shared" si="61"/>
        <v>Jan</v>
      </c>
      <c r="W342" s="141">
        <f t="shared" ca="1" si="55"/>
        <v>266</v>
      </c>
      <c r="X342" s="157" t="s">
        <v>98</v>
      </c>
      <c r="Y342" s="157">
        <f t="shared" ca="1" si="62"/>
        <v>6384</v>
      </c>
      <c r="Z342" s="158">
        <v>191.51999999999998</v>
      </c>
      <c r="AA342" s="148">
        <v>28727.999999999996</v>
      </c>
      <c r="AB342" s="148">
        <f t="shared" si="63"/>
        <v>150</v>
      </c>
      <c r="AC342" s="204">
        <v>44581</v>
      </c>
      <c r="AD342" s="146" t="str">
        <f t="shared" si="64"/>
        <v>2022</v>
      </c>
      <c r="AE342" s="150" t="str">
        <f t="shared" si="65"/>
        <v>Jan</v>
      </c>
    </row>
    <row r="343" spans="2:31" x14ac:dyDescent="0.25">
      <c r="B343" s="152">
        <v>11</v>
      </c>
      <c r="C343" s="157" t="s">
        <v>77</v>
      </c>
      <c r="D343" s="154" t="s">
        <v>56</v>
      </c>
      <c r="E343" s="157" t="s">
        <v>117</v>
      </c>
      <c r="F343" s="141">
        <v>441</v>
      </c>
      <c r="G343" s="155" t="s">
        <v>140</v>
      </c>
      <c r="H343" s="204">
        <v>44570</v>
      </c>
      <c r="I343" s="143" t="str">
        <f t="shared" si="56"/>
        <v>2022</v>
      </c>
      <c r="J343" s="143" t="str">
        <f t="shared" si="57"/>
        <v>Jan</v>
      </c>
      <c r="K343" s="204">
        <v>44579</v>
      </c>
      <c r="L343" s="157" t="s">
        <v>157</v>
      </c>
      <c r="M343" s="204">
        <v>44623</v>
      </c>
      <c r="N343" s="143" t="str">
        <f t="shared" si="58"/>
        <v>2022</v>
      </c>
      <c r="O343" s="143" t="str">
        <f t="shared" si="59"/>
        <v>Mar</v>
      </c>
      <c r="P343" s="157" t="s">
        <v>162</v>
      </c>
      <c r="Q343" s="146" t="s">
        <v>266</v>
      </c>
      <c r="R343" s="157" t="s">
        <v>49</v>
      </c>
      <c r="S343" s="141" t="s">
        <v>20</v>
      </c>
      <c r="T343" s="204">
        <v>44863</v>
      </c>
      <c r="U343" s="145" t="str">
        <f t="shared" si="60"/>
        <v>2022</v>
      </c>
      <c r="V343" s="145" t="str">
        <f t="shared" si="61"/>
        <v>Oct</v>
      </c>
      <c r="W343" s="141">
        <f t="shared" ca="1" si="55"/>
        <v>210</v>
      </c>
      <c r="X343" s="157" t="s">
        <v>99</v>
      </c>
      <c r="Y343" s="157">
        <f t="shared" ca="1" si="62"/>
        <v>5040</v>
      </c>
      <c r="Z343" s="158">
        <v>50.4</v>
      </c>
      <c r="AA343" s="148">
        <v>2520</v>
      </c>
      <c r="AB343" s="148">
        <f t="shared" si="63"/>
        <v>50</v>
      </c>
      <c r="AC343" s="204">
        <v>44582</v>
      </c>
      <c r="AD343" s="146" t="str">
        <f t="shared" si="64"/>
        <v>2022</v>
      </c>
      <c r="AE343" s="150" t="str">
        <f t="shared" si="65"/>
        <v>Jan</v>
      </c>
    </row>
    <row r="344" spans="2:31" x14ac:dyDescent="0.25">
      <c r="B344" s="152">
        <v>12</v>
      </c>
      <c r="C344" s="157" t="s">
        <v>78</v>
      </c>
      <c r="D344" s="154" t="s">
        <v>57</v>
      </c>
      <c r="E344" s="157" t="s">
        <v>118</v>
      </c>
      <c r="F344" s="141">
        <v>442</v>
      </c>
      <c r="G344" s="155" t="s">
        <v>130</v>
      </c>
      <c r="H344" s="204">
        <v>44571</v>
      </c>
      <c r="I344" s="143" t="str">
        <f t="shared" si="56"/>
        <v>2022</v>
      </c>
      <c r="J344" s="143" t="str">
        <f t="shared" si="57"/>
        <v>Jan</v>
      </c>
      <c r="K344" s="204">
        <v>44584</v>
      </c>
      <c r="L344" s="157" t="s">
        <v>161</v>
      </c>
      <c r="M344" s="204">
        <v>44614</v>
      </c>
      <c r="N344" s="143" t="str">
        <f t="shared" si="58"/>
        <v>2022</v>
      </c>
      <c r="O344" s="143" t="str">
        <f t="shared" si="59"/>
        <v>Feb</v>
      </c>
      <c r="P344" s="157" t="s">
        <v>165</v>
      </c>
      <c r="Q344" s="146" t="s">
        <v>17</v>
      </c>
      <c r="R344" s="157" t="s">
        <v>50</v>
      </c>
      <c r="S344" s="141" t="s">
        <v>20</v>
      </c>
      <c r="T344" s="204">
        <v>44778</v>
      </c>
      <c r="U344" s="145" t="str">
        <f t="shared" si="60"/>
        <v>2022</v>
      </c>
      <c r="V344" s="145" t="str">
        <f t="shared" si="61"/>
        <v>Aug</v>
      </c>
      <c r="W344" s="141">
        <f t="shared" ca="1" si="55"/>
        <v>150</v>
      </c>
      <c r="X344" s="157" t="s">
        <v>100</v>
      </c>
      <c r="Y344" s="157">
        <f t="shared" ca="1" si="62"/>
        <v>3600</v>
      </c>
      <c r="Z344" s="158">
        <v>36</v>
      </c>
      <c r="AA344" s="148">
        <v>5400</v>
      </c>
      <c r="AB344" s="148">
        <f t="shared" si="63"/>
        <v>150</v>
      </c>
      <c r="AC344" s="204">
        <v>44587</v>
      </c>
      <c r="AD344" s="146" t="str">
        <f t="shared" si="64"/>
        <v>2022</v>
      </c>
      <c r="AE344" s="150" t="str">
        <f t="shared" si="65"/>
        <v>Jan</v>
      </c>
    </row>
    <row r="345" spans="2:31" x14ac:dyDescent="0.25">
      <c r="B345" s="152">
        <v>1</v>
      </c>
      <c r="C345" s="153" t="s">
        <v>7</v>
      </c>
      <c r="D345" s="154" t="s">
        <v>8</v>
      </c>
      <c r="E345" s="157" t="s">
        <v>111</v>
      </c>
      <c r="F345" s="141">
        <v>443</v>
      </c>
      <c r="G345" s="155" t="s">
        <v>131</v>
      </c>
      <c r="H345" s="204">
        <v>44582</v>
      </c>
      <c r="I345" s="143" t="str">
        <f t="shared" si="56"/>
        <v>2022</v>
      </c>
      <c r="J345" s="143" t="str">
        <f t="shared" si="57"/>
        <v>Jan</v>
      </c>
      <c r="K345" s="204">
        <v>44582</v>
      </c>
      <c r="L345" s="157" t="s">
        <v>156</v>
      </c>
      <c r="M345" s="204">
        <v>44614</v>
      </c>
      <c r="N345" s="143" t="str">
        <f t="shared" si="58"/>
        <v>2022</v>
      </c>
      <c r="O345" s="143" t="str">
        <f t="shared" si="59"/>
        <v>Feb</v>
      </c>
      <c r="P345" s="157" t="s">
        <v>165</v>
      </c>
      <c r="Q345" s="146" t="s">
        <v>266</v>
      </c>
      <c r="R345" s="157" t="s">
        <v>18</v>
      </c>
      <c r="S345" s="141" t="s">
        <v>20</v>
      </c>
      <c r="T345" s="204">
        <v>45027</v>
      </c>
      <c r="U345" s="145" t="str">
        <f t="shared" si="60"/>
        <v>2023</v>
      </c>
      <c r="V345" s="145" t="str">
        <f t="shared" si="61"/>
        <v>Apr</v>
      </c>
      <c r="W345" s="141">
        <f t="shared" ca="1" si="55"/>
        <v>318</v>
      </c>
      <c r="X345" s="157" t="s">
        <v>89</v>
      </c>
      <c r="Y345" s="157">
        <f t="shared" ca="1" si="62"/>
        <v>7632</v>
      </c>
      <c r="Z345" s="158">
        <v>228.95999999999998</v>
      </c>
      <c r="AA345" s="148">
        <v>11447.999999999998</v>
      </c>
      <c r="AB345" s="148">
        <f t="shared" si="63"/>
        <v>50</v>
      </c>
      <c r="AC345" s="204">
        <v>44585</v>
      </c>
      <c r="AD345" s="146" t="str">
        <f t="shared" si="64"/>
        <v>2022</v>
      </c>
      <c r="AE345" s="150" t="str">
        <f t="shared" si="65"/>
        <v>Jan</v>
      </c>
    </row>
    <row r="346" spans="2:31" x14ac:dyDescent="0.25">
      <c r="B346" s="152">
        <v>2</v>
      </c>
      <c r="C346" s="153" t="s">
        <v>10</v>
      </c>
      <c r="D346" s="154" t="s">
        <v>11</v>
      </c>
      <c r="E346" s="157" t="s">
        <v>112</v>
      </c>
      <c r="F346" s="141">
        <v>444</v>
      </c>
      <c r="G346" s="155" t="s">
        <v>132</v>
      </c>
      <c r="H346" s="204">
        <v>44582</v>
      </c>
      <c r="I346" s="143" t="str">
        <f t="shared" si="56"/>
        <v>2022</v>
      </c>
      <c r="J346" s="143" t="str">
        <f t="shared" si="57"/>
        <v>Jan</v>
      </c>
      <c r="K346" s="204">
        <v>44590</v>
      </c>
      <c r="L346" s="151" t="s">
        <v>161</v>
      </c>
      <c r="M346" s="204">
        <v>44634</v>
      </c>
      <c r="N346" s="143" t="str">
        <f t="shared" si="58"/>
        <v>2022</v>
      </c>
      <c r="O346" s="143" t="str">
        <f t="shared" si="59"/>
        <v>Mar</v>
      </c>
      <c r="P346" s="157" t="s">
        <v>167</v>
      </c>
      <c r="Q346" s="146" t="s">
        <v>17</v>
      </c>
      <c r="R346" s="157" t="s">
        <v>19</v>
      </c>
      <c r="S346" s="141" t="s">
        <v>167</v>
      </c>
      <c r="T346" s="204" t="s">
        <v>274</v>
      </c>
      <c r="U346" s="145" t="str">
        <f t="shared" si="60"/>
        <v/>
      </c>
      <c r="V346" s="145" t="str">
        <f t="shared" si="61"/>
        <v/>
      </c>
      <c r="W346" s="141">
        <f t="shared" ca="1" si="55"/>
        <v>654</v>
      </c>
      <c r="X346" s="157" t="s">
        <v>90</v>
      </c>
      <c r="Y346" s="157">
        <f t="shared" ca="1" si="62"/>
        <v>15696</v>
      </c>
      <c r="Z346" s="158">
        <v>156.47999999999999</v>
      </c>
      <c r="AA346" s="148">
        <v>23472</v>
      </c>
      <c r="AB346" s="148">
        <f t="shared" si="63"/>
        <v>150</v>
      </c>
      <c r="AC346" s="204"/>
      <c r="AD346" s="157" t="str">
        <f t="shared" si="64"/>
        <v/>
      </c>
      <c r="AE346" s="150" t="str">
        <f t="shared" si="65"/>
        <v/>
      </c>
    </row>
    <row r="347" spans="2:31" x14ac:dyDescent="0.25">
      <c r="B347" s="152">
        <v>3</v>
      </c>
      <c r="C347" s="157" t="s">
        <v>69</v>
      </c>
      <c r="D347" s="154" t="s">
        <v>62</v>
      </c>
      <c r="E347" s="157" t="s">
        <v>113</v>
      </c>
      <c r="F347" s="141">
        <v>445</v>
      </c>
      <c r="G347" s="155" t="s">
        <v>140</v>
      </c>
      <c r="H347" s="204">
        <v>44584</v>
      </c>
      <c r="I347" s="143" t="str">
        <f t="shared" si="56"/>
        <v>2022</v>
      </c>
      <c r="J347" s="143" t="str">
        <f t="shared" si="57"/>
        <v>Jan</v>
      </c>
      <c r="K347" s="204">
        <v>44594</v>
      </c>
      <c r="L347" s="157" t="s">
        <v>161</v>
      </c>
      <c r="M347" s="204">
        <v>44616</v>
      </c>
      <c r="N347" s="143" t="str">
        <f t="shared" si="58"/>
        <v>2022</v>
      </c>
      <c r="O347" s="143" t="str">
        <f t="shared" si="59"/>
        <v>Feb</v>
      </c>
      <c r="P347" s="157" t="s">
        <v>164</v>
      </c>
      <c r="Q347" s="146" t="s">
        <v>266</v>
      </c>
      <c r="R347" s="157" t="s">
        <v>41</v>
      </c>
      <c r="S347" s="141" t="s">
        <v>20</v>
      </c>
      <c r="T347" s="204">
        <v>44928</v>
      </c>
      <c r="U347" s="145" t="str">
        <f t="shared" si="60"/>
        <v>2023</v>
      </c>
      <c r="V347" s="145" t="str">
        <f t="shared" si="61"/>
        <v>Jan</v>
      </c>
      <c r="W347" s="141">
        <f t="shared" ca="1" si="55"/>
        <v>246</v>
      </c>
      <c r="X347" s="157" t="s">
        <v>91</v>
      </c>
      <c r="Y347" s="157">
        <f t="shared" ca="1" si="62"/>
        <v>5904</v>
      </c>
      <c r="Z347" s="158">
        <v>118.08</v>
      </c>
      <c r="AA347" s="148">
        <v>5904</v>
      </c>
      <c r="AB347" s="148">
        <f t="shared" si="63"/>
        <v>50</v>
      </c>
      <c r="AC347" s="204">
        <v>44597</v>
      </c>
      <c r="AD347" s="146" t="str">
        <f t="shared" si="64"/>
        <v>2022</v>
      </c>
      <c r="AE347" s="150" t="str">
        <f t="shared" si="65"/>
        <v>Feb</v>
      </c>
    </row>
    <row r="348" spans="2:31" x14ac:dyDescent="0.25">
      <c r="B348" s="152">
        <v>4</v>
      </c>
      <c r="C348" s="157" t="s">
        <v>70</v>
      </c>
      <c r="D348" s="154" t="s">
        <v>63</v>
      </c>
      <c r="E348" s="157" t="s">
        <v>114</v>
      </c>
      <c r="F348" s="141">
        <v>446</v>
      </c>
      <c r="G348" s="155" t="s">
        <v>133</v>
      </c>
      <c r="H348" s="204">
        <v>44586</v>
      </c>
      <c r="I348" s="143" t="str">
        <f t="shared" si="56"/>
        <v>2022</v>
      </c>
      <c r="J348" s="143" t="str">
        <f t="shared" si="57"/>
        <v>Jan</v>
      </c>
      <c r="K348" s="204">
        <v>44595</v>
      </c>
      <c r="L348" s="157" t="s">
        <v>157</v>
      </c>
      <c r="M348" s="204">
        <v>44624</v>
      </c>
      <c r="N348" s="143" t="str">
        <f t="shared" si="58"/>
        <v>2022</v>
      </c>
      <c r="O348" s="143" t="str">
        <f t="shared" si="59"/>
        <v>Mar</v>
      </c>
      <c r="P348" s="157" t="s">
        <v>162</v>
      </c>
      <c r="Q348" s="146" t="s">
        <v>268</v>
      </c>
      <c r="R348" s="157" t="s">
        <v>42</v>
      </c>
      <c r="S348" s="141" t="s">
        <v>20</v>
      </c>
      <c r="T348" s="204">
        <v>44983</v>
      </c>
      <c r="U348" s="145" t="str">
        <f t="shared" si="60"/>
        <v>2023</v>
      </c>
      <c r="V348" s="145" t="str">
        <f t="shared" si="61"/>
        <v>Feb</v>
      </c>
      <c r="W348" s="141">
        <f t="shared" ca="1" si="55"/>
        <v>284</v>
      </c>
      <c r="X348" s="157" t="s">
        <v>92</v>
      </c>
      <c r="Y348" s="157">
        <f t="shared" ca="1" si="62"/>
        <v>6816</v>
      </c>
      <c r="Z348" s="158">
        <v>68.16</v>
      </c>
      <c r="AA348" s="148">
        <v>8179.2</v>
      </c>
      <c r="AB348" s="148">
        <f t="shared" si="63"/>
        <v>120</v>
      </c>
      <c r="AC348" s="204">
        <v>44598</v>
      </c>
      <c r="AD348" s="146" t="str">
        <f t="shared" si="64"/>
        <v>2022</v>
      </c>
      <c r="AE348" s="150" t="str">
        <f t="shared" si="65"/>
        <v>Feb</v>
      </c>
    </row>
    <row r="349" spans="2:31" x14ac:dyDescent="0.25">
      <c r="B349" s="152">
        <v>5</v>
      </c>
      <c r="C349" s="157" t="s">
        <v>71</v>
      </c>
      <c r="D349" s="154" t="s">
        <v>64</v>
      </c>
      <c r="E349" s="157" t="s">
        <v>115</v>
      </c>
      <c r="F349" s="141">
        <v>447</v>
      </c>
      <c r="G349" s="155" t="s">
        <v>134</v>
      </c>
      <c r="H349" s="204">
        <v>44588</v>
      </c>
      <c r="I349" s="143" t="str">
        <f t="shared" si="56"/>
        <v>2022</v>
      </c>
      <c r="J349" s="143" t="str">
        <f t="shared" si="57"/>
        <v>Jan</v>
      </c>
      <c r="K349" s="204">
        <v>44591</v>
      </c>
      <c r="L349" s="157" t="s">
        <v>158</v>
      </c>
      <c r="M349" s="204">
        <v>44634</v>
      </c>
      <c r="N349" s="143" t="str">
        <f t="shared" si="58"/>
        <v>2022</v>
      </c>
      <c r="O349" s="143" t="str">
        <f t="shared" si="59"/>
        <v>Mar</v>
      </c>
      <c r="P349" s="157" t="s">
        <v>164</v>
      </c>
      <c r="Q349" s="146" t="s">
        <v>17</v>
      </c>
      <c r="R349" s="157" t="s">
        <v>43</v>
      </c>
      <c r="S349" s="141" t="s">
        <v>20</v>
      </c>
      <c r="T349" s="204">
        <v>45119</v>
      </c>
      <c r="U349" s="145" t="str">
        <f t="shared" si="60"/>
        <v>2023</v>
      </c>
      <c r="V349" s="145" t="str">
        <f t="shared" si="61"/>
        <v>Jul</v>
      </c>
      <c r="W349" s="141">
        <f t="shared" ca="1" si="55"/>
        <v>380</v>
      </c>
      <c r="X349" s="157" t="s">
        <v>93</v>
      </c>
      <c r="Y349" s="157">
        <f t="shared" ca="1" si="62"/>
        <v>9120</v>
      </c>
      <c r="Z349" s="158">
        <v>273.59999999999997</v>
      </c>
      <c r="AA349" s="148">
        <v>41039.999999999993</v>
      </c>
      <c r="AB349" s="148">
        <f t="shared" si="63"/>
        <v>150</v>
      </c>
      <c r="AC349" s="204">
        <v>44594</v>
      </c>
      <c r="AD349" s="146" t="str">
        <f t="shared" si="64"/>
        <v>2022</v>
      </c>
      <c r="AE349" s="150" t="str">
        <f t="shared" si="65"/>
        <v>Feb</v>
      </c>
    </row>
    <row r="350" spans="2:31" x14ac:dyDescent="0.25">
      <c r="B350" s="152">
        <v>6</v>
      </c>
      <c r="C350" s="157" t="s">
        <v>72</v>
      </c>
      <c r="D350" s="154" t="s">
        <v>65</v>
      </c>
      <c r="E350" s="157" t="s">
        <v>116</v>
      </c>
      <c r="F350" s="141">
        <v>448</v>
      </c>
      <c r="G350" s="155" t="s">
        <v>140</v>
      </c>
      <c r="H350" s="204">
        <v>44588</v>
      </c>
      <c r="I350" s="143" t="str">
        <f t="shared" si="56"/>
        <v>2022</v>
      </c>
      <c r="J350" s="143" t="str">
        <f t="shared" si="57"/>
        <v>Jan</v>
      </c>
      <c r="K350" s="204">
        <v>44589</v>
      </c>
      <c r="L350" s="157" t="s">
        <v>159</v>
      </c>
      <c r="M350" s="204">
        <v>44646</v>
      </c>
      <c r="N350" s="143" t="str">
        <f t="shared" si="58"/>
        <v>2022</v>
      </c>
      <c r="O350" s="143" t="str">
        <f t="shared" si="59"/>
        <v>Mar</v>
      </c>
      <c r="P350" s="157" t="s">
        <v>164</v>
      </c>
      <c r="Q350" s="146" t="s">
        <v>266</v>
      </c>
      <c r="R350" s="157" t="s">
        <v>44</v>
      </c>
      <c r="S350" s="141" t="s">
        <v>20</v>
      </c>
      <c r="T350" s="204">
        <v>44894</v>
      </c>
      <c r="U350" s="145" t="str">
        <f t="shared" si="60"/>
        <v>2022</v>
      </c>
      <c r="V350" s="145" t="str">
        <f t="shared" si="61"/>
        <v>Nov</v>
      </c>
      <c r="W350" s="141">
        <f t="shared" ca="1" si="55"/>
        <v>219</v>
      </c>
      <c r="X350" s="157" t="s">
        <v>94</v>
      </c>
      <c r="Y350" s="157">
        <f t="shared" ca="1" si="62"/>
        <v>5256</v>
      </c>
      <c r="Z350" s="158">
        <v>105.12</v>
      </c>
      <c r="AA350" s="148">
        <v>5256</v>
      </c>
      <c r="AB350" s="148">
        <f t="shared" si="63"/>
        <v>50</v>
      </c>
      <c r="AC350" s="204">
        <v>44592</v>
      </c>
      <c r="AD350" s="146" t="str">
        <f t="shared" si="64"/>
        <v>2022</v>
      </c>
      <c r="AE350" s="150" t="str">
        <f t="shared" si="65"/>
        <v>Jan</v>
      </c>
    </row>
    <row r="351" spans="2:31" x14ac:dyDescent="0.25">
      <c r="B351" s="152">
        <v>7</v>
      </c>
      <c r="C351" s="157" t="s">
        <v>73</v>
      </c>
      <c r="D351" s="154" t="s">
        <v>66</v>
      </c>
      <c r="E351" s="157" t="s">
        <v>117</v>
      </c>
      <c r="F351" s="141">
        <v>449</v>
      </c>
      <c r="G351" s="155" t="s">
        <v>135</v>
      </c>
      <c r="H351" s="204">
        <v>44590</v>
      </c>
      <c r="I351" s="143" t="str">
        <f t="shared" si="56"/>
        <v>2022</v>
      </c>
      <c r="J351" s="143" t="str">
        <f t="shared" si="57"/>
        <v>Jan</v>
      </c>
      <c r="K351" s="204">
        <v>44602</v>
      </c>
      <c r="L351" s="157" t="s">
        <v>157</v>
      </c>
      <c r="M351" s="204">
        <v>44629</v>
      </c>
      <c r="N351" s="143" t="str">
        <f t="shared" si="58"/>
        <v>2022</v>
      </c>
      <c r="O351" s="143" t="str">
        <f t="shared" si="59"/>
        <v>Mar</v>
      </c>
      <c r="P351" s="157" t="s">
        <v>165</v>
      </c>
      <c r="Q351" s="146" t="s">
        <v>269</v>
      </c>
      <c r="R351" s="157" t="s">
        <v>45</v>
      </c>
      <c r="S351" s="141" t="s">
        <v>20</v>
      </c>
      <c r="T351" s="204">
        <v>44857</v>
      </c>
      <c r="U351" s="145" t="str">
        <f t="shared" si="60"/>
        <v>2022</v>
      </c>
      <c r="V351" s="145" t="str">
        <f t="shared" si="61"/>
        <v>Oct</v>
      </c>
      <c r="W351" s="141">
        <f t="shared" ca="1" si="55"/>
        <v>190</v>
      </c>
      <c r="X351" s="157" t="s">
        <v>95</v>
      </c>
      <c r="Y351" s="157">
        <f t="shared" ca="1" si="62"/>
        <v>4560</v>
      </c>
      <c r="Z351" s="158">
        <v>136.79999999999998</v>
      </c>
      <c r="AA351" s="148">
        <v>6839.9999999999991</v>
      </c>
      <c r="AB351" s="148">
        <f t="shared" si="63"/>
        <v>50</v>
      </c>
      <c r="AC351" s="204">
        <v>44605</v>
      </c>
      <c r="AD351" s="146" t="str">
        <f t="shared" si="64"/>
        <v>2022</v>
      </c>
      <c r="AE351" s="150" t="str">
        <f t="shared" si="65"/>
        <v>Feb</v>
      </c>
    </row>
    <row r="352" spans="2:31" x14ac:dyDescent="0.25">
      <c r="B352" s="152">
        <v>8</v>
      </c>
      <c r="C352" s="157" t="s">
        <v>74</v>
      </c>
      <c r="D352" s="154" t="s">
        <v>67</v>
      </c>
      <c r="E352" s="157" t="s">
        <v>118</v>
      </c>
      <c r="F352" s="141">
        <v>450</v>
      </c>
      <c r="G352" s="155" t="s">
        <v>136</v>
      </c>
      <c r="H352" s="204">
        <v>44591</v>
      </c>
      <c r="I352" s="143" t="str">
        <f t="shared" si="56"/>
        <v>2022</v>
      </c>
      <c r="J352" s="143" t="str">
        <f t="shared" si="57"/>
        <v>Jan</v>
      </c>
      <c r="K352" s="204">
        <v>44595</v>
      </c>
      <c r="L352" s="151" t="s">
        <v>159</v>
      </c>
      <c r="M352" s="204">
        <v>44643</v>
      </c>
      <c r="N352" s="143" t="str">
        <f t="shared" si="58"/>
        <v>2022</v>
      </c>
      <c r="O352" s="143" t="str">
        <f t="shared" si="59"/>
        <v>Mar</v>
      </c>
      <c r="P352" s="157" t="s">
        <v>167</v>
      </c>
      <c r="Q352" s="146" t="s">
        <v>17</v>
      </c>
      <c r="R352" s="157" t="s">
        <v>46</v>
      </c>
      <c r="S352" s="141" t="s">
        <v>167</v>
      </c>
      <c r="T352" s="204" t="s">
        <v>274</v>
      </c>
      <c r="U352" s="145" t="str">
        <f t="shared" si="60"/>
        <v/>
      </c>
      <c r="V352" s="145" t="str">
        <f t="shared" si="61"/>
        <v/>
      </c>
      <c r="W352" s="141">
        <f t="shared" ca="1" si="55"/>
        <v>648</v>
      </c>
      <c r="X352" s="157" t="s">
        <v>96</v>
      </c>
      <c r="Y352" s="157">
        <f t="shared" ca="1" si="62"/>
        <v>15552</v>
      </c>
      <c r="Z352" s="158">
        <v>310.08</v>
      </c>
      <c r="AA352" s="148">
        <v>46512</v>
      </c>
      <c r="AB352" s="148">
        <f t="shared" si="63"/>
        <v>150</v>
      </c>
      <c r="AC352" s="204"/>
      <c r="AD352" s="157" t="str">
        <f t="shared" si="64"/>
        <v/>
      </c>
      <c r="AE352" s="150" t="str">
        <f t="shared" si="65"/>
        <v/>
      </c>
    </row>
    <row r="353" spans="2:31" x14ac:dyDescent="0.25">
      <c r="B353" s="152">
        <v>5</v>
      </c>
      <c r="C353" s="157" t="s">
        <v>71</v>
      </c>
      <c r="D353" s="154" t="s">
        <v>64</v>
      </c>
      <c r="E353" s="157" t="s">
        <v>115</v>
      </c>
      <c r="F353" s="141">
        <v>451</v>
      </c>
      <c r="G353" s="155" t="s">
        <v>137</v>
      </c>
      <c r="H353" s="204">
        <v>44595</v>
      </c>
      <c r="I353" s="143" t="str">
        <f t="shared" si="56"/>
        <v>2022</v>
      </c>
      <c r="J353" s="143" t="str">
        <f t="shared" si="57"/>
        <v>Feb</v>
      </c>
      <c r="K353" s="204">
        <v>44598</v>
      </c>
      <c r="L353" s="157" t="s">
        <v>160</v>
      </c>
      <c r="M353" s="204">
        <v>44619</v>
      </c>
      <c r="N353" s="143" t="str">
        <f t="shared" si="58"/>
        <v>2022</v>
      </c>
      <c r="O353" s="143" t="str">
        <f t="shared" si="59"/>
        <v>Feb</v>
      </c>
      <c r="P353" s="157" t="s">
        <v>162</v>
      </c>
      <c r="Q353" s="146" t="s">
        <v>29</v>
      </c>
      <c r="R353" s="157" t="s">
        <v>43</v>
      </c>
      <c r="S353" s="141" t="s">
        <v>20</v>
      </c>
      <c r="T353" s="204">
        <v>45069</v>
      </c>
      <c r="U353" s="145" t="str">
        <f t="shared" si="60"/>
        <v>2023</v>
      </c>
      <c r="V353" s="145" t="str">
        <f t="shared" si="61"/>
        <v>May</v>
      </c>
      <c r="W353" s="141">
        <f t="shared" ca="1" si="55"/>
        <v>339</v>
      </c>
      <c r="X353" s="157" t="s">
        <v>93</v>
      </c>
      <c r="Y353" s="157">
        <f t="shared" ca="1" si="62"/>
        <v>8136</v>
      </c>
      <c r="Z353" s="158">
        <v>162.72</v>
      </c>
      <c r="AA353" s="148">
        <v>4881.6000000000004</v>
      </c>
      <c r="AB353" s="148">
        <f t="shared" si="63"/>
        <v>30.000000000000004</v>
      </c>
      <c r="AC353" s="204">
        <v>44601</v>
      </c>
      <c r="AD353" s="146" t="str">
        <f t="shared" si="64"/>
        <v>2022</v>
      </c>
      <c r="AE353" s="150" t="str">
        <f t="shared" si="65"/>
        <v>Feb</v>
      </c>
    </row>
    <row r="354" spans="2:31" x14ac:dyDescent="0.25">
      <c r="B354" s="152">
        <v>6</v>
      </c>
      <c r="C354" s="157" t="s">
        <v>72</v>
      </c>
      <c r="D354" s="154" t="s">
        <v>65</v>
      </c>
      <c r="E354" s="157" t="s">
        <v>116</v>
      </c>
      <c r="F354" s="141">
        <v>452</v>
      </c>
      <c r="G354" s="155" t="s">
        <v>138</v>
      </c>
      <c r="H354" s="204">
        <v>44605</v>
      </c>
      <c r="I354" s="143" t="str">
        <f t="shared" si="56"/>
        <v>2022</v>
      </c>
      <c r="J354" s="143" t="str">
        <f t="shared" si="57"/>
        <v>Feb</v>
      </c>
      <c r="K354" s="204">
        <v>44605</v>
      </c>
      <c r="L354" s="157" t="s">
        <v>156</v>
      </c>
      <c r="M354" s="204">
        <v>44649</v>
      </c>
      <c r="N354" s="143" t="str">
        <f t="shared" si="58"/>
        <v>2022</v>
      </c>
      <c r="O354" s="143" t="str">
        <f t="shared" si="59"/>
        <v>Mar</v>
      </c>
      <c r="P354" s="157" t="s">
        <v>162</v>
      </c>
      <c r="Q354" s="146" t="s">
        <v>270</v>
      </c>
      <c r="R354" s="157" t="s">
        <v>44</v>
      </c>
      <c r="S354" s="141" t="s">
        <v>20</v>
      </c>
      <c r="T354" s="204">
        <v>44947</v>
      </c>
      <c r="U354" s="145" t="str">
        <f t="shared" si="60"/>
        <v>2023</v>
      </c>
      <c r="V354" s="145" t="str">
        <f t="shared" si="61"/>
        <v>Jan</v>
      </c>
      <c r="W354" s="141">
        <f t="shared" ca="1" si="55"/>
        <v>245</v>
      </c>
      <c r="X354" s="157" t="s">
        <v>94</v>
      </c>
      <c r="Y354" s="157">
        <f t="shared" ca="1" si="62"/>
        <v>5880</v>
      </c>
      <c r="Z354" s="158">
        <v>117.60000000000001</v>
      </c>
      <c r="AA354" s="148">
        <v>3528.0000000000005</v>
      </c>
      <c r="AB354" s="148">
        <f t="shared" si="63"/>
        <v>30</v>
      </c>
      <c r="AC354" s="204">
        <v>44608</v>
      </c>
      <c r="AD354" s="146" t="str">
        <f t="shared" si="64"/>
        <v>2022</v>
      </c>
      <c r="AE354" s="150" t="str">
        <f t="shared" si="65"/>
        <v>Feb</v>
      </c>
    </row>
    <row r="355" spans="2:31" x14ac:dyDescent="0.25">
      <c r="B355" s="152">
        <v>7</v>
      </c>
      <c r="C355" s="157" t="s">
        <v>73</v>
      </c>
      <c r="D355" s="154" t="s">
        <v>66</v>
      </c>
      <c r="E355" s="157" t="s">
        <v>117</v>
      </c>
      <c r="F355" s="141">
        <v>453</v>
      </c>
      <c r="G355" s="155" t="s">
        <v>139</v>
      </c>
      <c r="H355" s="204">
        <v>44608</v>
      </c>
      <c r="I355" s="143" t="str">
        <f t="shared" si="56"/>
        <v>2022</v>
      </c>
      <c r="J355" s="143" t="str">
        <f t="shared" si="57"/>
        <v>Feb</v>
      </c>
      <c r="K355" s="204">
        <v>44611</v>
      </c>
      <c r="L355" s="157" t="s">
        <v>158</v>
      </c>
      <c r="M355" s="204">
        <v>44654</v>
      </c>
      <c r="N355" s="143" t="str">
        <f t="shared" si="58"/>
        <v>2022</v>
      </c>
      <c r="O355" s="143" t="str">
        <f t="shared" si="59"/>
        <v>Apr</v>
      </c>
      <c r="P355" s="157" t="s">
        <v>164</v>
      </c>
      <c r="Q355" s="146" t="s">
        <v>271</v>
      </c>
      <c r="R355" s="157" t="s">
        <v>45</v>
      </c>
      <c r="S355" s="141" t="s">
        <v>20</v>
      </c>
      <c r="T355" s="204">
        <v>44908</v>
      </c>
      <c r="U355" s="145" t="str">
        <f t="shared" si="60"/>
        <v>2022</v>
      </c>
      <c r="V355" s="145" t="str">
        <f t="shared" si="61"/>
        <v>Dec</v>
      </c>
      <c r="W355" s="141">
        <f t="shared" ca="1" si="55"/>
        <v>215</v>
      </c>
      <c r="X355" s="157" t="s">
        <v>95</v>
      </c>
      <c r="Y355" s="157">
        <f t="shared" ca="1" si="62"/>
        <v>5160</v>
      </c>
      <c r="Z355" s="158">
        <v>103.2</v>
      </c>
      <c r="AA355" s="148">
        <v>6192</v>
      </c>
      <c r="AB355" s="148">
        <f t="shared" si="63"/>
        <v>60</v>
      </c>
      <c r="AC355" s="204">
        <v>44614</v>
      </c>
      <c r="AD355" s="146" t="str">
        <f t="shared" si="64"/>
        <v>2022</v>
      </c>
      <c r="AE355" s="150" t="str">
        <f t="shared" si="65"/>
        <v>Feb</v>
      </c>
    </row>
    <row r="356" spans="2:31" x14ac:dyDescent="0.25">
      <c r="B356" s="152">
        <v>8</v>
      </c>
      <c r="C356" s="157" t="s">
        <v>74</v>
      </c>
      <c r="D356" s="154" t="s">
        <v>67</v>
      </c>
      <c r="E356" s="157" t="s">
        <v>118</v>
      </c>
      <c r="F356" s="141">
        <v>454</v>
      </c>
      <c r="G356" s="155" t="s">
        <v>140</v>
      </c>
      <c r="H356" s="204">
        <v>44608</v>
      </c>
      <c r="I356" s="143" t="str">
        <f t="shared" si="56"/>
        <v>2022</v>
      </c>
      <c r="J356" s="143" t="str">
        <f t="shared" si="57"/>
        <v>Feb</v>
      </c>
      <c r="K356" s="204">
        <v>44609</v>
      </c>
      <c r="L356" s="157" t="s">
        <v>160</v>
      </c>
      <c r="M356" s="204">
        <v>44655</v>
      </c>
      <c r="N356" s="143" t="str">
        <f t="shared" si="58"/>
        <v>2022</v>
      </c>
      <c r="O356" s="143" t="str">
        <f t="shared" si="59"/>
        <v>Apr</v>
      </c>
      <c r="P356" s="157" t="s">
        <v>165</v>
      </c>
      <c r="Q356" s="146" t="s">
        <v>266</v>
      </c>
      <c r="R356" s="157" t="s">
        <v>46</v>
      </c>
      <c r="S356" s="141" t="s">
        <v>20</v>
      </c>
      <c r="T356" s="204">
        <v>44779</v>
      </c>
      <c r="U356" s="145" t="str">
        <f t="shared" si="60"/>
        <v>2022</v>
      </c>
      <c r="V356" s="145" t="str">
        <f t="shared" si="61"/>
        <v>Aug</v>
      </c>
      <c r="W356" s="141">
        <f t="shared" ca="1" si="55"/>
        <v>123</v>
      </c>
      <c r="X356" s="157" t="s">
        <v>96</v>
      </c>
      <c r="Y356" s="157">
        <f t="shared" ca="1" si="62"/>
        <v>2952</v>
      </c>
      <c r="Z356" s="158">
        <v>88.56</v>
      </c>
      <c r="AA356" s="148">
        <v>4428</v>
      </c>
      <c r="AB356" s="148">
        <f t="shared" si="63"/>
        <v>50</v>
      </c>
      <c r="AC356" s="204">
        <v>44612</v>
      </c>
      <c r="AD356" s="146" t="str">
        <f t="shared" si="64"/>
        <v>2022</v>
      </c>
      <c r="AE356" s="150" t="str">
        <f t="shared" si="65"/>
        <v>Feb</v>
      </c>
    </row>
    <row r="357" spans="2:31" x14ac:dyDescent="0.25">
      <c r="B357" s="152">
        <v>9</v>
      </c>
      <c r="C357" s="157" t="s">
        <v>75</v>
      </c>
      <c r="D357" s="154" t="s">
        <v>68</v>
      </c>
      <c r="E357" s="157" t="s">
        <v>115</v>
      </c>
      <c r="F357" s="141">
        <v>455</v>
      </c>
      <c r="G357" s="155" t="s">
        <v>141</v>
      </c>
      <c r="H357" s="204">
        <v>44610</v>
      </c>
      <c r="I357" s="143" t="str">
        <f t="shared" si="56"/>
        <v>2022</v>
      </c>
      <c r="J357" s="143" t="str">
        <f t="shared" si="57"/>
        <v>Feb</v>
      </c>
      <c r="K357" s="204">
        <v>44611</v>
      </c>
      <c r="L357" s="157" t="s">
        <v>161</v>
      </c>
      <c r="M357" s="204">
        <v>44646</v>
      </c>
      <c r="N357" s="143" t="str">
        <f t="shared" si="58"/>
        <v>2022</v>
      </c>
      <c r="O357" s="143" t="str">
        <f t="shared" si="59"/>
        <v>Mar</v>
      </c>
      <c r="P357" s="157" t="s">
        <v>162</v>
      </c>
      <c r="Q357" s="146" t="s">
        <v>17</v>
      </c>
      <c r="R357" s="157" t="s">
        <v>47</v>
      </c>
      <c r="S357" s="141" t="s">
        <v>20</v>
      </c>
      <c r="T357" s="204">
        <v>44900</v>
      </c>
      <c r="U357" s="145" t="str">
        <f t="shared" si="60"/>
        <v>2022</v>
      </c>
      <c r="V357" s="145" t="str">
        <f t="shared" si="61"/>
        <v>Dec</v>
      </c>
      <c r="W357" s="141">
        <f t="shared" ca="1" si="55"/>
        <v>207</v>
      </c>
      <c r="X357" s="157" t="s">
        <v>97</v>
      </c>
      <c r="Y357" s="157">
        <f t="shared" ca="1" si="62"/>
        <v>4968</v>
      </c>
      <c r="Z357" s="158">
        <v>49.68</v>
      </c>
      <c r="AA357" s="148">
        <v>7452</v>
      </c>
      <c r="AB357" s="148">
        <f t="shared" si="63"/>
        <v>150</v>
      </c>
      <c r="AC357" s="204">
        <v>44614</v>
      </c>
      <c r="AD357" s="146" t="str">
        <f t="shared" si="64"/>
        <v>2022</v>
      </c>
      <c r="AE357" s="150" t="str">
        <f t="shared" si="65"/>
        <v>Feb</v>
      </c>
    </row>
    <row r="358" spans="2:31" x14ac:dyDescent="0.25">
      <c r="B358" s="152">
        <v>10</v>
      </c>
      <c r="C358" s="157" t="s">
        <v>76</v>
      </c>
      <c r="D358" s="154" t="s">
        <v>55</v>
      </c>
      <c r="E358" s="157" t="s">
        <v>116</v>
      </c>
      <c r="F358" s="141">
        <v>456</v>
      </c>
      <c r="G358" s="155" t="s">
        <v>142</v>
      </c>
      <c r="H358" s="204">
        <v>44611</v>
      </c>
      <c r="I358" s="143" t="str">
        <f t="shared" si="56"/>
        <v>2022</v>
      </c>
      <c r="J358" s="143" t="str">
        <f t="shared" si="57"/>
        <v>Feb</v>
      </c>
      <c r="K358" s="204">
        <v>44612</v>
      </c>
      <c r="L358" s="157" t="s">
        <v>158</v>
      </c>
      <c r="M358" s="204">
        <v>44648</v>
      </c>
      <c r="N358" s="143" t="str">
        <f t="shared" si="58"/>
        <v>2022</v>
      </c>
      <c r="O358" s="143" t="str">
        <f t="shared" si="59"/>
        <v>Mar</v>
      </c>
      <c r="P358" s="157" t="s">
        <v>164</v>
      </c>
      <c r="Q358" s="146" t="s">
        <v>266</v>
      </c>
      <c r="R358" s="157" t="s">
        <v>48</v>
      </c>
      <c r="S358" s="141" t="s">
        <v>20</v>
      </c>
      <c r="T358" s="204">
        <v>44808</v>
      </c>
      <c r="U358" s="145" t="str">
        <f t="shared" si="60"/>
        <v>2022</v>
      </c>
      <c r="V358" s="145" t="str">
        <f t="shared" si="61"/>
        <v>Sep</v>
      </c>
      <c r="W358" s="141">
        <f t="shared" ca="1" si="55"/>
        <v>140</v>
      </c>
      <c r="X358" s="157" t="s">
        <v>98</v>
      </c>
      <c r="Y358" s="157">
        <f t="shared" ca="1" si="62"/>
        <v>3360</v>
      </c>
      <c r="Z358" s="158">
        <v>67.2</v>
      </c>
      <c r="AA358" s="148">
        <v>3360</v>
      </c>
      <c r="AB358" s="148">
        <f t="shared" si="63"/>
        <v>50</v>
      </c>
      <c r="AC358" s="204">
        <v>44615</v>
      </c>
      <c r="AD358" s="146" t="str">
        <f t="shared" si="64"/>
        <v>2022</v>
      </c>
      <c r="AE358" s="150" t="str">
        <f t="shared" si="65"/>
        <v>Feb</v>
      </c>
    </row>
    <row r="359" spans="2:31" x14ac:dyDescent="0.25">
      <c r="B359" s="152">
        <v>11</v>
      </c>
      <c r="C359" s="157" t="s">
        <v>77</v>
      </c>
      <c r="D359" s="154" t="s">
        <v>56</v>
      </c>
      <c r="E359" s="157" t="s">
        <v>117</v>
      </c>
      <c r="F359" s="141">
        <v>457</v>
      </c>
      <c r="G359" s="155" t="s">
        <v>143</v>
      </c>
      <c r="H359" s="204">
        <v>44611</v>
      </c>
      <c r="I359" s="143" t="str">
        <f t="shared" si="56"/>
        <v>2022</v>
      </c>
      <c r="J359" s="143" t="str">
        <f t="shared" si="57"/>
        <v>Feb</v>
      </c>
      <c r="K359" s="204">
        <v>44616</v>
      </c>
      <c r="L359" s="157" t="s">
        <v>161</v>
      </c>
      <c r="M359" s="204">
        <v>44659</v>
      </c>
      <c r="N359" s="143" t="str">
        <f t="shared" si="58"/>
        <v>2022</v>
      </c>
      <c r="O359" s="143" t="str">
        <f t="shared" si="59"/>
        <v>Apr</v>
      </c>
      <c r="P359" s="157" t="s">
        <v>162</v>
      </c>
      <c r="Q359" s="146" t="s">
        <v>266</v>
      </c>
      <c r="R359" s="157" t="s">
        <v>49</v>
      </c>
      <c r="S359" s="141" t="s">
        <v>20</v>
      </c>
      <c r="T359" s="204">
        <v>44863</v>
      </c>
      <c r="U359" s="145" t="str">
        <f t="shared" si="60"/>
        <v>2022</v>
      </c>
      <c r="V359" s="145" t="str">
        <f t="shared" si="61"/>
        <v>Oct</v>
      </c>
      <c r="W359" s="141">
        <f t="shared" ca="1" si="55"/>
        <v>180</v>
      </c>
      <c r="X359" s="157" t="s">
        <v>99</v>
      </c>
      <c r="Y359" s="157">
        <f t="shared" ca="1" si="62"/>
        <v>4320</v>
      </c>
      <c r="Z359" s="158">
        <v>129.6</v>
      </c>
      <c r="AA359" s="148">
        <v>6480</v>
      </c>
      <c r="AB359" s="148">
        <f t="shared" si="63"/>
        <v>50</v>
      </c>
      <c r="AC359" s="204">
        <v>44619</v>
      </c>
      <c r="AD359" s="146" t="str">
        <f t="shared" si="64"/>
        <v>2022</v>
      </c>
      <c r="AE359" s="150" t="str">
        <f t="shared" si="65"/>
        <v>Feb</v>
      </c>
    </row>
    <row r="360" spans="2:31" x14ac:dyDescent="0.25">
      <c r="B360" s="152">
        <v>12</v>
      </c>
      <c r="C360" s="157" t="s">
        <v>78</v>
      </c>
      <c r="D360" s="154" t="s">
        <v>57</v>
      </c>
      <c r="E360" s="157" t="s">
        <v>118</v>
      </c>
      <c r="F360" s="141">
        <v>458</v>
      </c>
      <c r="G360" s="155" t="s">
        <v>144</v>
      </c>
      <c r="H360" s="204">
        <v>44616</v>
      </c>
      <c r="I360" s="143" t="str">
        <f t="shared" si="56"/>
        <v>2022</v>
      </c>
      <c r="J360" s="143" t="str">
        <f t="shared" si="57"/>
        <v>Feb</v>
      </c>
      <c r="K360" s="204">
        <v>44619</v>
      </c>
      <c r="L360" s="157" t="s">
        <v>158</v>
      </c>
      <c r="M360" s="204">
        <v>44648</v>
      </c>
      <c r="N360" s="143" t="str">
        <f t="shared" si="58"/>
        <v>2022</v>
      </c>
      <c r="O360" s="143" t="str">
        <f t="shared" si="59"/>
        <v>Mar</v>
      </c>
      <c r="P360" s="157" t="s">
        <v>165</v>
      </c>
      <c r="Q360" s="146" t="s">
        <v>17</v>
      </c>
      <c r="R360" s="157" t="s">
        <v>50</v>
      </c>
      <c r="S360" s="141" t="s">
        <v>20</v>
      </c>
      <c r="T360" s="204">
        <v>44654</v>
      </c>
      <c r="U360" s="145" t="str">
        <f t="shared" si="60"/>
        <v>2022</v>
      </c>
      <c r="V360" s="145" t="str">
        <f t="shared" si="61"/>
        <v>Apr</v>
      </c>
      <c r="W360" s="141">
        <f t="shared" ca="1" si="55"/>
        <v>27</v>
      </c>
      <c r="X360" s="157" t="s">
        <v>100</v>
      </c>
      <c r="Y360" s="157">
        <f t="shared" ca="1" si="62"/>
        <v>648</v>
      </c>
      <c r="Z360" s="158">
        <v>6.48</v>
      </c>
      <c r="AA360" s="148">
        <v>972.00000000000011</v>
      </c>
      <c r="AB360" s="148">
        <f t="shared" si="63"/>
        <v>150</v>
      </c>
      <c r="AC360" s="204">
        <v>44622</v>
      </c>
      <c r="AD360" s="146" t="str">
        <f t="shared" si="64"/>
        <v>2022</v>
      </c>
      <c r="AE360" s="150" t="str">
        <f t="shared" si="65"/>
        <v>Mar</v>
      </c>
    </row>
    <row r="361" spans="2:31" x14ac:dyDescent="0.25">
      <c r="B361" s="152">
        <v>13</v>
      </c>
      <c r="C361" s="157" t="s">
        <v>79</v>
      </c>
      <c r="D361" s="154" t="s">
        <v>58</v>
      </c>
      <c r="E361" s="157" t="s">
        <v>111</v>
      </c>
      <c r="F361" s="141">
        <v>459</v>
      </c>
      <c r="G361" s="155" t="s">
        <v>145</v>
      </c>
      <c r="H361" s="204">
        <v>44618</v>
      </c>
      <c r="I361" s="143" t="str">
        <f t="shared" si="56"/>
        <v>2022</v>
      </c>
      <c r="J361" s="143" t="str">
        <f t="shared" si="57"/>
        <v>Feb</v>
      </c>
      <c r="K361" s="204">
        <v>44621</v>
      </c>
      <c r="L361" s="157" t="s">
        <v>157</v>
      </c>
      <c r="M361" s="204">
        <v>44669</v>
      </c>
      <c r="N361" s="143" t="str">
        <f t="shared" si="58"/>
        <v>2022</v>
      </c>
      <c r="O361" s="143" t="str">
        <f t="shared" si="59"/>
        <v>Apr</v>
      </c>
      <c r="P361" s="157" t="s">
        <v>164</v>
      </c>
      <c r="Q361" s="146" t="s">
        <v>266</v>
      </c>
      <c r="R361" s="157" t="s">
        <v>51</v>
      </c>
      <c r="S361" s="141" t="s">
        <v>20</v>
      </c>
      <c r="T361" s="204">
        <v>44903</v>
      </c>
      <c r="U361" s="145" t="str">
        <f t="shared" si="60"/>
        <v>2022</v>
      </c>
      <c r="V361" s="145" t="str">
        <f t="shared" si="61"/>
        <v>Dec</v>
      </c>
      <c r="W361" s="141">
        <f t="shared" ca="1" si="55"/>
        <v>204</v>
      </c>
      <c r="X361" s="157" t="s">
        <v>101</v>
      </c>
      <c r="Y361" s="157">
        <f t="shared" ca="1" si="62"/>
        <v>4896</v>
      </c>
      <c r="Z361" s="158">
        <v>48.96</v>
      </c>
      <c r="AA361" s="148">
        <v>2448</v>
      </c>
      <c r="AB361" s="148">
        <f t="shared" si="63"/>
        <v>50</v>
      </c>
      <c r="AC361" s="204">
        <v>44624</v>
      </c>
      <c r="AD361" s="146" t="str">
        <f t="shared" si="64"/>
        <v>2022</v>
      </c>
      <c r="AE361" s="150" t="str">
        <f t="shared" si="65"/>
        <v>Mar</v>
      </c>
    </row>
    <row r="362" spans="2:31" x14ac:dyDescent="0.25">
      <c r="B362" s="152">
        <v>14</v>
      </c>
      <c r="C362" s="157" t="s">
        <v>80</v>
      </c>
      <c r="D362" s="154" t="s">
        <v>59</v>
      </c>
      <c r="E362" s="157" t="s">
        <v>112</v>
      </c>
      <c r="F362" s="141">
        <v>460</v>
      </c>
      <c r="G362" s="155" t="s">
        <v>146</v>
      </c>
      <c r="H362" s="204">
        <v>44620</v>
      </c>
      <c r="I362" s="143" t="str">
        <f t="shared" si="56"/>
        <v>2022</v>
      </c>
      <c r="J362" s="143" t="str">
        <f t="shared" si="57"/>
        <v>Feb</v>
      </c>
      <c r="K362" s="204">
        <v>44635</v>
      </c>
      <c r="L362" s="157" t="s">
        <v>158</v>
      </c>
      <c r="M362" s="204">
        <v>44665</v>
      </c>
      <c r="N362" s="143" t="str">
        <f t="shared" si="58"/>
        <v>2022</v>
      </c>
      <c r="O362" s="143" t="str">
        <f t="shared" si="59"/>
        <v>Apr</v>
      </c>
      <c r="P362" s="157" t="s">
        <v>164</v>
      </c>
      <c r="Q362" s="146" t="s">
        <v>17</v>
      </c>
      <c r="R362" s="157" t="s">
        <v>52</v>
      </c>
      <c r="S362" s="141" t="s">
        <v>20</v>
      </c>
      <c r="T362" s="204">
        <v>44978</v>
      </c>
      <c r="U362" s="145" t="str">
        <f t="shared" si="60"/>
        <v>2023</v>
      </c>
      <c r="V362" s="145" t="str">
        <f t="shared" si="61"/>
        <v>Feb</v>
      </c>
      <c r="W362" s="141">
        <f t="shared" ca="1" si="55"/>
        <v>257</v>
      </c>
      <c r="X362" s="157" t="s">
        <v>102</v>
      </c>
      <c r="Y362" s="157">
        <f t="shared" ca="1" si="62"/>
        <v>6168</v>
      </c>
      <c r="Z362" s="158">
        <v>123.36</v>
      </c>
      <c r="AA362" s="148">
        <v>18504</v>
      </c>
      <c r="AB362" s="148">
        <f t="shared" si="63"/>
        <v>150</v>
      </c>
      <c r="AC362" s="204">
        <v>44638</v>
      </c>
      <c r="AD362" s="146" t="str">
        <f t="shared" si="64"/>
        <v>2022</v>
      </c>
      <c r="AE362" s="150" t="str">
        <f t="shared" si="65"/>
        <v>Mar</v>
      </c>
    </row>
    <row r="363" spans="2:31" x14ac:dyDescent="0.25">
      <c r="B363" s="152">
        <v>15</v>
      </c>
      <c r="C363" s="157" t="s">
        <v>81</v>
      </c>
      <c r="D363" s="154" t="s">
        <v>60</v>
      </c>
      <c r="E363" s="157" t="s">
        <v>113</v>
      </c>
      <c r="F363" s="141">
        <v>461</v>
      </c>
      <c r="G363" s="155" t="s">
        <v>140</v>
      </c>
      <c r="H363" s="204">
        <v>44622</v>
      </c>
      <c r="I363" s="143" t="str">
        <f t="shared" si="56"/>
        <v>2022</v>
      </c>
      <c r="J363" s="143" t="str">
        <f t="shared" si="57"/>
        <v>Mar</v>
      </c>
      <c r="K363" s="204">
        <v>44624</v>
      </c>
      <c r="L363" s="157" t="s">
        <v>160</v>
      </c>
      <c r="M363" s="204">
        <v>44665</v>
      </c>
      <c r="N363" s="143" t="str">
        <f t="shared" si="58"/>
        <v>2022</v>
      </c>
      <c r="O363" s="143" t="str">
        <f t="shared" si="59"/>
        <v>Apr</v>
      </c>
      <c r="P363" s="157" t="s">
        <v>164</v>
      </c>
      <c r="Q363" s="146" t="s">
        <v>266</v>
      </c>
      <c r="R363" s="157" t="s">
        <v>53</v>
      </c>
      <c r="S363" s="141" t="s">
        <v>20</v>
      </c>
      <c r="T363" s="204">
        <v>45099</v>
      </c>
      <c r="U363" s="145" t="str">
        <f t="shared" si="60"/>
        <v>2023</v>
      </c>
      <c r="V363" s="145" t="str">
        <f t="shared" si="61"/>
        <v>Jun</v>
      </c>
      <c r="W363" s="141">
        <f t="shared" ca="1" si="55"/>
        <v>342</v>
      </c>
      <c r="X363" s="157" t="s">
        <v>103</v>
      </c>
      <c r="Y363" s="157">
        <f t="shared" ca="1" si="62"/>
        <v>8208</v>
      </c>
      <c r="Z363" s="158">
        <v>164.16</v>
      </c>
      <c r="AA363" s="148">
        <v>8208</v>
      </c>
      <c r="AB363" s="148">
        <f t="shared" si="63"/>
        <v>50</v>
      </c>
      <c r="AC363" s="204">
        <v>44627</v>
      </c>
      <c r="AD363" s="146" t="str">
        <f t="shared" si="64"/>
        <v>2022</v>
      </c>
      <c r="AE363" s="150" t="str">
        <f t="shared" si="65"/>
        <v>Mar</v>
      </c>
    </row>
    <row r="364" spans="2:31" x14ac:dyDescent="0.25">
      <c r="B364" s="152">
        <v>16</v>
      </c>
      <c r="C364" s="157" t="s">
        <v>82</v>
      </c>
      <c r="D364" s="154" t="s">
        <v>61</v>
      </c>
      <c r="E364" s="157" t="s">
        <v>114</v>
      </c>
      <c r="F364" s="141">
        <v>462</v>
      </c>
      <c r="G364" s="155" t="s">
        <v>147</v>
      </c>
      <c r="H364" s="204">
        <v>44622</v>
      </c>
      <c r="I364" s="143" t="str">
        <f t="shared" si="56"/>
        <v>2022</v>
      </c>
      <c r="J364" s="143" t="str">
        <f t="shared" si="57"/>
        <v>Mar</v>
      </c>
      <c r="K364" s="204">
        <v>44632</v>
      </c>
      <c r="L364" s="157" t="s">
        <v>160</v>
      </c>
      <c r="M364" s="204">
        <v>44655</v>
      </c>
      <c r="N364" s="143" t="str">
        <f t="shared" si="58"/>
        <v>2022</v>
      </c>
      <c r="O364" s="143" t="str">
        <f t="shared" si="59"/>
        <v>Apr</v>
      </c>
      <c r="P364" s="157" t="s">
        <v>165</v>
      </c>
      <c r="Q364" s="146" t="s">
        <v>272</v>
      </c>
      <c r="R364" s="157" t="s">
        <v>54</v>
      </c>
      <c r="S364" s="141" t="s">
        <v>20</v>
      </c>
      <c r="T364" s="204">
        <v>44862</v>
      </c>
      <c r="U364" s="145" t="str">
        <f t="shared" si="60"/>
        <v>2022</v>
      </c>
      <c r="V364" s="145" t="str">
        <f t="shared" si="61"/>
        <v>Oct</v>
      </c>
      <c r="W364" s="141">
        <f t="shared" ca="1" si="55"/>
        <v>173</v>
      </c>
      <c r="X364" s="157" t="s">
        <v>104</v>
      </c>
      <c r="Y364" s="157">
        <f t="shared" ca="1" si="62"/>
        <v>4152</v>
      </c>
      <c r="Z364" s="158">
        <v>83.04</v>
      </c>
      <c r="AA364" s="148">
        <v>6643.2000000000007</v>
      </c>
      <c r="AB364" s="148">
        <f t="shared" si="63"/>
        <v>80</v>
      </c>
      <c r="AC364" s="204">
        <v>44635</v>
      </c>
      <c r="AD364" s="146" t="str">
        <f t="shared" si="64"/>
        <v>2022</v>
      </c>
      <c r="AE364" s="150" t="str">
        <f t="shared" si="65"/>
        <v>Mar</v>
      </c>
    </row>
    <row r="365" spans="2:31" x14ac:dyDescent="0.25">
      <c r="B365" s="152">
        <v>17</v>
      </c>
      <c r="C365" s="157" t="s">
        <v>83</v>
      </c>
      <c r="D365" s="154" t="s">
        <v>33</v>
      </c>
      <c r="E365" s="157" t="s">
        <v>115</v>
      </c>
      <c r="F365" s="141">
        <v>463</v>
      </c>
      <c r="G365" s="155" t="s">
        <v>148</v>
      </c>
      <c r="H365" s="204">
        <v>44623</v>
      </c>
      <c r="I365" s="143" t="str">
        <f t="shared" si="56"/>
        <v>2022</v>
      </c>
      <c r="J365" s="143" t="str">
        <f t="shared" si="57"/>
        <v>Mar</v>
      </c>
      <c r="K365" s="204">
        <v>44623</v>
      </c>
      <c r="L365" s="157" t="s">
        <v>156</v>
      </c>
      <c r="M365" s="204">
        <v>44660</v>
      </c>
      <c r="N365" s="143" t="str">
        <f t="shared" si="58"/>
        <v>2022</v>
      </c>
      <c r="O365" s="143" t="str">
        <f t="shared" si="59"/>
        <v>Apr</v>
      </c>
      <c r="P365" s="157" t="s">
        <v>162</v>
      </c>
      <c r="Q365" s="146" t="s">
        <v>17</v>
      </c>
      <c r="R365" s="157" t="s">
        <v>38</v>
      </c>
      <c r="S365" s="141" t="s">
        <v>20</v>
      </c>
      <c r="T365" s="204">
        <v>44925</v>
      </c>
      <c r="U365" s="145" t="str">
        <f t="shared" si="60"/>
        <v>2022</v>
      </c>
      <c r="V365" s="145" t="str">
        <f t="shared" si="61"/>
        <v>Dec</v>
      </c>
      <c r="W365" s="141">
        <f t="shared" ca="1" si="55"/>
        <v>217</v>
      </c>
      <c r="X365" s="157" t="s">
        <v>105</v>
      </c>
      <c r="Y365" s="157">
        <f t="shared" ca="1" si="62"/>
        <v>5208</v>
      </c>
      <c r="Z365" s="158">
        <v>156.23999999999998</v>
      </c>
      <c r="AA365" s="148">
        <v>23435.999999999996</v>
      </c>
      <c r="AB365" s="148">
        <f t="shared" si="63"/>
        <v>150</v>
      </c>
      <c r="AC365" s="204">
        <v>44626</v>
      </c>
      <c r="AD365" s="146" t="str">
        <f t="shared" si="64"/>
        <v>2022</v>
      </c>
      <c r="AE365" s="150" t="str">
        <f t="shared" si="65"/>
        <v>Mar</v>
      </c>
    </row>
    <row r="366" spans="2:31" x14ac:dyDescent="0.25">
      <c r="B366" s="152">
        <v>18</v>
      </c>
      <c r="C366" s="157" t="s">
        <v>84</v>
      </c>
      <c r="D366" s="154" t="s">
        <v>89</v>
      </c>
      <c r="E366" s="157" t="s">
        <v>112</v>
      </c>
      <c r="F366" s="141">
        <v>464</v>
      </c>
      <c r="G366" s="155" t="s">
        <v>149</v>
      </c>
      <c r="H366" s="204">
        <v>44624</v>
      </c>
      <c r="I366" s="143" t="str">
        <f t="shared" si="56"/>
        <v>2022</v>
      </c>
      <c r="J366" s="143" t="str">
        <f t="shared" si="57"/>
        <v>Mar</v>
      </c>
      <c r="K366" s="204">
        <v>44628</v>
      </c>
      <c r="L366" s="157" t="s">
        <v>157</v>
      </c>
      <c r="M366" s="204">
        <v>44671</v>
      </c>
      <c r="N366" s="143" t="str">
        <f t="shared" si="58"/>
        <v>2022</v>
      </c>
      <c r="O366" s="143" t="str">
        <f t="shared" si="59"/>
        <v>Apr</v>
      </c>
      <c r="P366" s="157" t="s">
        <v>162</v>
      </c>
      <c r="Q366" s="146" t="s">
        <v>17</v>
      </c>
      <c r="R366" s="157" t="s">
        <v>40</v>
      </c>
      <c r="S366" s="141" t="s">
        <v>20</v>
      </c>
      <c r="T366" s="204">
        <v>44942</v>
      </c>
      <c r="U366" s="145" t="str">
        <f t="shared" si="60"/>
        <v>2023</v>
      </c>
      <c r="V366" s="145" t="str">
        <f t="shared" si="61"/>
        <v>Jan</v>
      </c>
      <c r="W366" s="141">
        <f t="shared" ca="1" si="55"/>
        <v>227</v>
      </c>
      <c r="X366" s="157" t="s">
        <v>106</v>
      </c>
      <c r="Y366" s="157">
        <f t="shared" ca="1" si="62"/>
        <v>5448</v>
      </c>
      <c r="Z366" s="158">
        <v>54.480000000000004</v>
      </c>
      <c r="AA366" s="148">
        <v>8172.0000000000009</v>
      </c>
      <c r="AB366" s="148">
        <f t="shared" si="63"/>
        <v>150</v>
      </c>
      <c r="AC366" s="204">
        <v>44631</v>
      </c>
      <c r="AD366" s="146" t="str">
        <f t="shared" si="64"/>
        <v>2022</v>
      </c>
      <c r="AE366" s="150" t="str">
        <f t="shared" si="65"/>
        <v>Mar</v>
      </c>
    </row>
    <row r="367" spans="2:31" x14ac:dyDescent="0.25">
      <c r="B367" s="152">
        <v>1</v>
      </c>
      <c r="C367" s="153" t="s">
        <v>7</v>
      </c>
      <c r="D367" s="154" t="s">
        <v>8</v>
      </c>
      <c r="E367" s="157" t="s">
        <v>111</v>
      </c>
      <c r="F367" s="141">
        <v>465</v>
      </c>
      <c r="G367" s="155" t="s">
        <v>155</v>
      </c>
      <c r="H367" s="204">
        <v>44626</v>
      </c>
      <c r="I367" s="143" t="str">
        <f t="shared" si="56"/>
        <v>2022</v>
      </c>
      <c r="J367" s="143" t="str">
        <f t="shared" si="57"/>
        <v>Mar</v>
      </c>
      <c r="K367" s="204">
        <v>44639</v>
      </c>
      <c r="L367" s="157" t="s">
        <v>159</v>
      </c>
      <c r="M367" s="204">
        <v>44664</v>
      </c>
      <c r="N367" s="143" t="str">
        <f t="shared" si="58"/>
        <v>2022</v>
      </c>
      <c r="O367" s="143" t="str">
        <f t="shared" si="59"/>
        <v>Apr</v>
      </c>
      <c r="P367" s="157" t="s">
        <v>167</v>
      </c>
      <c r="Q367" s="146" t="s">
        <v>266</v>
      </c>
      <c r="R367" s="157" t="s">
        <v>18</v>
      </c>
      <c r="S367" s="141" t="s">
        <v>167</v>
      </c>
      <c r="T367" s="204" t="s">
        <v>274</v>
      </c>
      <c r="U367" s="145" t="str">
        <f t="shared" si="60"/>
        <v/>
      </c>
      <c r="V367" s="145" t="str">
        <f t="shared" si="61"/>
        <v/>
      </c>
      <c r="W367" s="141">
        <f t="shared" ca="1" si="55"/>
        <v>623</v>
      </c>
      <c r="X367" s="157" t="s">
        <v>89</v>
      </c>
      <c r="Y367" s="157">
        <f t="shared" ca="1" si="62"/>
        <v>14952</v>
      </c>
      <c r="Z367" s="158">
        <v>447.12</v>
      </c>
      <c r="AA367" s="148">
        <v>22356</v>
      </c>
      <c r="AB367" s="148">
        <f t="shared" si="63"/>
        <v>50</v>
      </c>
      <c r="AC367" s="204"/>
      <c r="AD367" s="157" t="str">
        <f t="shared" si="64"/>
        <v/>
      </c>
      <c r="AE367" s="150" t="str">
        <f t="shared" si="65"/>
        <v/>
      </c>
    </row>
    <row r="368" spans="2:31" x14ac:dyDescent="0.25">
      <c r="B368" s="152">
        <v>2</v>
      </c>
      <c r="C368" s="153" t="s">
        <v>10</v>
      </c>
      <c r="D368" s="154" t="s">
        <v>11</v>
      </c>
      <c r="E368" s="157" t="s">
        <v>112</v>
      </c>
      <c r="F368" s="141">
        <v>466</v>
      </c>
      <c r="G368" s="155" t="s">
        <v>150</v>
      </c>
      <c r="H368" s="204">
        <v>44628</v>
      </c>
      <c r="I368" s="143" t="str">
        <f t="shared" si="56"/>
        <v>2022</v>
      </c>
      <c r="J368" s="143" t="str">
        <f t="shared" si="57"/>
        <v>Mar</v>
      </c>
      <c r="K368" s="204">
        <v>44630</v>
      </c>
      <c r="L368" s="157" t="s">
        <v>156</v>
      </c>
      <c r="M368" s="204">
        <v>44677</v>
      </c>
      <c r="N368" s="143" t="str">
        <f t="shared" si="58"/>
        <v>2022</v>
      </c>
      <c r="O368" s="143" t="str">
        <f t="shared" si="59"/>
        <v>Apr</v>
      </c>
      <c r="P368" s="157" t="s">
        <v>164</v>
      </c>
      <c r="Q368" s="146" t="s">
        <v>29</v>
      </c>
      <c r="R368" s="157" t="s">
        <v>19</v>
      </c>
      <c r="S368" s="141" t="s">
        <v>20</v>
      </c>
      <c r="T368" s="204">
        <v>45013</v>
      </c>
      <c r="U368" s="145" t="str">
        <f t="shared" si="60"/>
        <v>2023</v>
      </c>
      <c r="V368" s="145" t="str">
        <f t="shared" si="61"/>
        <v>Mar</v>
      </c>
      <c r="W368" s="141">
        <f t="shared" ca="1" si="55"/>
        <v>276</v>
      </c>
      <c r="X368" s="157" t="s">
        <v>90</v>
      </c>
      <c r="Y368" s="157">
        <f t="shared" ca="1" si="62"/>
        <v>6624</v>
      </c>
      <c r="Z368" s="158">
        <v>132.47999999999999</v>
      </c>
      <c r="AA368" s="148">
        <v>3974.3999999999996</v>
      </c>
      <c r="AB368" s="148">
        <f t="shared" si="63"/>
        <v>30</v>
      </c>
      <c r="AC368" s="204">
        <v>44633</v>
      </c>
      <c r="AD368" s="146" t="str">
        <f t="shared" si="64"/>
        <v>2022</v>
      </c>
      <c r="AE368" s="150" t="str">
        <f t="shared" si="65"/>
        <v>Mar</v>
      </c>
    </row>
    <row r="369" spans="2:31" x14ac:dyDescent="0.25">
      <c r="B369" s="152">
        <v>3</v>
      </c>
      <c r="C369" s="157" t="s">
        <v>69</v>
      </c>
      <c r="D369" s="154" t="s">
        <v>62</v>
      </c>
      <c r="E369" s="157" t="s">
        <v>113</v>
      </c>
      <c r="F369" s="141">
        <v>467</v>
      </c>
      <c r="G369" s="155" t="s">
        <v>151</v>
      </c>
      <c r="H369" s="204">
        <v>44630</v>
      </c>
      <c r="I369" s="143" t="str">
        <f t="shared" si="56"/>
        <v>2022</v>
      </c>
      <c r="J369" s="143" t="str">
        <f t="shared" si="57"/>
        <v>Mar</v>
      </c>
      <c r="K369" s="204">
        <v>44638</v>
      </c>
      <c r="L369" s="157" t="s">
        <v>156</v>
      </c>
      <c r="M369" s="204">
        <v>44681</v>
      </c>
      <c r="N369" s="143" t="str">
        <f t="shared" si="58"/>
        <v>2022</v>
      </c>
      <c r="O369" s="143" t="str">
        <f t="shared" si="59"/>
        <v>Apr</v>
      </c>
      <c r="P369" s="157" t="s">
        <v>165</v>
      </c>
      <c r="Q369" s="146" t="s">
        <v>17</v>
      </c>
      <c r="R369" s="157" t="s">
        <v>41</v>
      </c>
      <c r="S369" s="141" t="s">
        <v>20</v>
      </c>
      <c r="T369" s="204">
        <v>44974</v>
      </c>
      <c r="U369" s="145" t="str">
        <f t="shared" si="60"/>
        <v>2023</v>
      </c>
      <c r="V369" s="145" t="str">
        <f t="shared" si="61"/>
        <v>Feb</v>
      </c>
      <c r="W369" s="141">
        <f t="shared" ca="1" si="55"/>
        <v>247</v>
      </c>
      <c r="X369" s="157" t="s">
        <v>91</v>
      </c>
      <c r="Y369" s="157">
        <f t="shared" ca="1" si="62"/>
        <v>5928</v>
      </c>
      <c r="Z369" s="158">
        <v>118.56</v>
      </c>
      <c r="AA369" s="148">
        <v>17784</v>
      </c>
      <c r="AB369" s="148">
        <f t="shared" si="63"/>
        <v>150</v>
      </c>
      <c r="AC369" s="204">
        <v>44641</v>
      </c>
      <c r="AD369" s="146" t="str">
        <f t="shared" si="64"/>
        <v>2022</v>
      </c>
      <c r="AE369" s="150" t="str">
        <f t="shared" si="65"/>
        <v>Mar</v>
      </c>
    </row>
    <row r="370" spans="2:31" x14ac:dyDescent="0.25">
      <c r="B370" s="152">
        <v>4</v>
      </c>
      <c r="C370" s="157" t="s">
        <v>70</v>
      </c>
      <c r="D370" s="154" t="s">
        <v>63</v>
      </c>
      <c r="E370" s="157" t="s">
        <v>114</v>
      </c>
      <c r="F370" s="141">
        <v>468</v>
      </c>
      <c r="G370" s="155" t="s">
        <v>152</v>
      </c>
      <c r="H370" s="204">
        <v>44631</v>
      </c>
      <c r="I370" s="143" t="str">
        <f t="shared" si="56"/>
        <v>2022</v>
      </c>
      <c r="J370" s="143" t="str">
        <f t="shared" si="57"/>
        <v>Mar</v>
      </c>
      <c r="K370" s="204">
        <v>44644</v>
      </c>
      <c r="L370" s="157" t="s">
        <v>159</v>
      </c>
      <c r="M370" s="204">
        <v>44671</v>
      </c>
      <c r="N370" s="143" t="str">
        <f t="shared" si="58"/>
        <v>2022</v>
      </c>
      <c r="O370" s="143" t="str">
        <f t="shared" si="59"/>
        <v>Apr</v>
      </c>
      <c r="P370" s="157" t="s">
        <v>164</v>
      </c>
      <c r="Q370" s="146" t="s">
        <v>17</v>
      </c>
      <c r="R370" s="157" t="s">
        <v>42</v>
      </c>
      <c r="S370" s="141" t="s">
        <v>20</v>
      </c>
      <c r="T370" s="204">
        <v>44758</v>
      </c>
      <c r="U370" s="145" t="str">
        <f t="shared" si="60"/>
        <v>2022</v>
      </c>
      <c r="V370" s="145" t="str">
        <f t="shared" si="61"/>
        <v>Jul</v>
      </c>
      <c r="W370" s="141">
        <f t="shared" ca="1" si="55"/>
        <v>91</v>
      </c>
      <c r="X370" s="157" t="s">
        <v>92</v>
      </c>
      <c r="Y370" s="157">
        <f t="shared" ca="1" si="62"/>
        <v>2184</v>
      </c>
      <c r="Z370" s="158">
        <v>43.68</v>
      </c>
      <c r="AA370" s="148">
        <v>6552</v>
      </c>
      <c r="AB370" s="148">
        <f t="shared" si="63"/>
        <v>150</v>
      </c>
      <c r="AC370" s="204">
        <v>44647</v>
      </c>
      <c r="AD370" s="146" t="str">
        <f t="shared" si="64"/>
        <v>2022</v>
      </c>
      <c r="AE370" s="150" t="str">
        <f t="shared" si="65"/>
        <v>Mar</v>
      </c>
    </row>
    <row r="371" spans="2:31" x14ac:dyDescent="0.25">
      <c r="B371" s="152">
        <v>5</v>
      </c>
      <c r="C371" s="157" t="s">
        <v>71</v>
      </c>
      <c r="D371" s="154" t="s">
        <v>64</v>
      </c>
      <c r="E371" s="157" t="s">
        <v>115</v>
      </c>
      <c r="F371" s="141">
        <v>469</v>
      </c>
      <c r="G371" s="155" t="s">
        <v>153</v>
      </c>
      <c r="H371" s="204">
        <v>44631</v>
      </c>
      <c r="I371" s="143" t="str">
        <f t="shared" si="56"/>
        <v>2022</v>
      </c>
      <c r="J371" s="143" t="str">
        <f t="shared" si="57"/>
        <v>Mar</v>
      </c>
      <c r="K371" s="204">
        <v>44636</v>
      </c>
      <c r="L371" s="157" t="s">
        <v>161</v>
      </c>
      <c r="M371" s="204">
        <v>44672</v>
      </c>
      <c r="N371" s="143" t="str">
        <f t="shared" si="58"/>
        <v>2022</v>
      </c>
      <c r="O371" s="143" t="str">
        <f t="shared" si="59"/>
        <v>Apr</v>
      </c>
      <c r="P371" s="157" t="s">
        <v>165</v>
      </c>
      <c r="Q371" s="146" t="s">
        <v>17</v>
      </c>
      <c r="R371" s="157" t="s">
        <v>43</v>
      </c>
      <c r="S371" s="141" t="s">
        <v>20</v>
      </c>
      <c r="T371" s="204">
        <v>45112</v>
      </c>
      <c r="U371" s="145" t="str">
        <f t="shared" si="60"/>
        <v>2023</v>
      </c>
      <c r="V371" s="145" t="str">
        <f t="shared" si="61"/>
        <v>Jul</v>
      </c>
      <c r="W371" s="141">
        <f t="shared" ca="1" si="55"/>
        <v>344</v>
      </c>
      <c r="X371" s="157" t="s">
        <v>93</v>
      </c>
      <c r="Y371" s="157">
        <f t="shared" ca="1" si="62"/>
        <v>8256</v>
      </c>
      <c r="Z371" s="158">
        <v>165.12</v>
      </c>
      <c r="AA371" s="148">
        <v>24768</v>
      </c>
      <c r="AB371" s="148">
        <f t="shared" si="63"/>
        <v>150</v>
      </c>
      <c r="AC371" s="204">
        <v>44639</v>
      </c>
      <c r="AD371" s="146" t="str">
        <f t="shared" si="64"/>
        <v>2022</v>
      </c>
      <c r="AE371" s="150" t="str">
        <f t="shared" si="65"/>
        <v>Mar</v>
      </c>
    </row>
    <row r="372" spans="2:31" x14ac:dyDescent="0.25">
      <c r="B372" s="152">
        <v>6</v>
      </c>
      <c r="C372" s="157" t="s">
        <v>72</v>
      </c>
      <c r="D372" s="154" t="s">
        <v>65</v>
      </c>
      <c r="E372" s="157" t="s">
        <v>116</v>
      </c>
      <c r="F372" s="141">
        <v>470</v>
      </c>
      <c r="G372" s="155" t="s">
        <v>141</v>
      </c>
      <c r="H372" s="204">
        <v>44632</v>
      </c>
      <c r="I372" s="143" t="str">
        <f t="shared" si="56"/>
        <v>2022</v>
      </c>
      <c r="J372" s="143" t="str">
        <f t="shared" si="57"/>
        <v>Mar</v>
      </c>
      <c r="K372" s="204">
        <v>44638</v>
      </c>
      <c r="L372" s="157" t="s">
        <v>159</v>
      </c>
      <c r="M372" s="204">
        <v>44656</v>
      </c>
      <c r="N372" s="143" t="str">
        <f t="shared" si="58"/>
        <v>2022</v>
      </c>
      <c r="O372" s="143" t="str">
        <f t="shared" si="59"/>
        <v>Apr</v>
      </c>
      <c r="P372" s="157" t="s">
        <v>162</v>
      </c>
      <c r="Q372" s="146" t="s">
        <v>17</v>
      </c>
      <c r="R372" s="157" t="s">
        <v>44</v>
      </c>
      <c r="S372" s="141" t="s">
        <v>20</v>
      </c>
      <c r="T372" s="204">
        <v>44742</v>
      </c>
      <c r="U372" s="145" t="str">
        <f t="shared" si="60"/>
        <v>2022</v>
      </c>
      <c r="V372" s="145" t="str">
        <f t="shared" si="61"/>
        <v>Jun</v>
      </c>
      <c r="W372" s="141">
        <f t="shared" ca="1" si="55"/>
        <v>79</v>
      </c>
      <c r="X372" s="157" t="s">
        <v>94</v>
      </c>
      <c r="Y372" s="157">
        <f t="shared" ca="1" si="62"/>
        <v>1896</v>
      </c>
      <c r="Z372" s="158">
        <v>18.96</v>
      </c>
      <c r="AA372" s="148">
        <v>2844</v>
      </c>
      <c r="AB372" s="148">
        <f t="shared" si="63"/>
        <v>150</v>
      </c>
      <c r="AC372" s="204">
        <v>44641</v>
      </c>
      <c r="AD372" s="146" t="str">
        <f t="shared" si="64"/>
        <v>2022</v>
      </c>
      <c r="AE372" s="150" t="str">
        <f t="shared" si="65"/>
        <v>Mar</v>
      </c>
    </row>
    <row r="373" spans="2:31" x14ac:dyDescent="0.25">
      <c r="B373" s="152">
        <v>7</v>
      </c>
      <c r="C373" s="157" t="s">
        <v>73</v>
      </c>
      <c r="D373" s="154" t="s">
        <v>66</v>
      </c>
      <c r="E373" s="157" t="s">
        <v>117</v>
      </c>
      <c r="F373" s="141">
        <v>471</v>
      </c>
      <c r="G373" s="155" t="s">
        <v>141</v>
      </c>
      <c r="H373" s="204">
        <v>44635</v>
      </c>
      <c r="I373" s="143" t="str">
        <f t="shared" si="56"/>
        <v>2022</v>
      </c>
      <c r="J373" s="143" t="str">
        <f t="shared" si="57"/>
        <v>Mar</v>
      </c>
      <c r="K373" s="204">
        <v>44641</v>
      </c>
      <c r="L373" s="151" t="s">
        <v>159</v>
      </c>
      <c r="M373" s="204">
        <v>44694</v>
      </c>
      <c r="N373" s="143" t="str">
        <f t="shared" si="58"/>
        <v>2022</v>
      </c>
      <c r="O373" s="143" t="str">
        <f t="shared" si="59"/>
        <v>May</v>
      </c>
      <c r="P373" s="157" t="s">
        <v>167</v>
      </c>
      <c r="Q373" s="146" t="s">
        <v>17</v>
      </c>
      <c r="R373" s="157" t="s">
        <v>45</v>
      </c>
      <c r="S373" s="141" t="s">
        <v>167</v>
      </c>
      <c r="T373" s="204" t="s">
        <v>274</v>
      </c>
      <c r="U373" s="145" t="str">
        <f t="shared" si="60"/>
        <v/>
      </c>
      <c r="V373" s="145" t="str">
        <f t="shared" si="61"/>
        <v/>
      </c>
      <c r="W373" s="141">
        <f t="shared" ca="1" si="55"/>
        <v>617</v>
      </c>
      <c r="X373" s="157" t="s">
        <v>95</v>
      </c>
      <c r="Y373" s="157">
        <f t="shared" ca="1" si="62"/>
        <v>14808</v>
      </c>
      <c r="Z373" s="158">
        <v>147.6</v>
      </c>
      <c r="AA373" s="148">
        <v>22140</v>
      </c>
      <c r="AB373" s="148">
        <f t="shared" si="63"/>
        <v>150</v>
      </c>
      <c r="AC373" s="204"/>
      <c r="AD373" s="157" t="str">
        <f t="shared" si="64"/>
        <v/>
      </c>
      <c r="AE373" s="150" t="str">
        <f t="shared" si="65"/>
        <v/>
      </c>
    </row>
    <row r="374" spans="2:31" x14ac:dyDescent="0.25">
      <c r="B374" s="152">
        <v>8</v>
      </c>
      <c r="C374" s="157" t="s">
        <v>74</v>
      </c>
      <c r="D374" s="154" t="s">
        <v>67</v>
      </c>
      <c r="E374" s="157" t="s">
        <v>118</v>
      </c>
      <c r="F374" s="141">
        <v>472</v>
      </c>
      <c r="G374" s="155" t="s">
        <v>154</v>
      </c>
      <c r="H374" s="204">
        <v>44642</v>
      </c>
      <c r="I374" s="143" t="str">
        <f t="shared" si="56"/>
        <v>2022</v>
      </c>
      <c r="J374" s="143" t="str">
        <f t="shared" si="57"/>
        <v>Mar</v>
      </c>
      <c r="K374" s="204">
        <v>44655</v>
      </c>
      <c r="L374" s="157" t="s">
        <v>156</v>
      </c>
      <c r="M374" s="204">
        <v>44674</v>
      </c>
      <c r="N374" s="143" t="str">
        <f t="shared" si="58"/>
        <v>2022</v>
      </c>
      <c r="O374" s="143" t="str">
        <f t="shared" si="59"/>
        <v>Apr</v>
      </c>
      <c r="P374" s="157" t="s">
        <v>164</v>
      </c>
      <c r="Q374" s="146" t="s">
        <v>266</v>
      </c>
      <c r="R374" s="157" t="s">
        <v>46</v>
      </c>
      <c r="S374" s="141" t="s">
        <v>20</v>
      </c>
      <c r="T374" s="204">
        <v>44902</v>
      </c>
      <c r="U374" s="145" t="str">
        <f t="shared" si="60"/>
        <v>2022</v>
      </c>
      <c r="V374" s="145" t="str">
        <f t="shared" si="61"/>
        <v>Dec</v>
      </c>
      <c r="W374" s="141">
        <f t="shared" ca="1" si="55"/>
        <v>187</v>
      </c>
      <c r="X374" s="157" t="s">
        <v>96</v>
      </c>
      <c r="Y374" s="157">
        <f t="shared" ca="1" si="62"/>
        <v>4488</v>
      </c>
      <c r="Z374" s="158">
        <v>89.76</v>
      </c>
      <c r="AA374" s="148">
        <v>4488</v>
      </c>
      <c r="AB374" s="148">
        <f t="shared" si="63"/>
        <v>50</v>
      </c>
      <c r="AC374" s="204">
        <v>44658</v>
      </c>
      <c r="AD374" s="146" t="str">
        <f t="shared" si="64"/>
        <v>2022</v>
      </c>
      <c r="AE374" s="150" t="str">
        <f t="shared" si="65"/>
        <v>Apr</v>
      </c>
    </row>
    <row r="375" spans="2:31" x14ac:dyDescent="0.25">
      <c r="B375" s="152">
        <v>9</v>
      </c>
      <c r="C375" s="157" t="s">
        <v>75</v>
      </c>
      <c r="D375" s="154" t="s">
        <v>68</v>
      </c>
      <c r="E375" s="157" t="s">
        <v>115</v>
      </c>
      <c r="F375" s="141">
        <v>473</v>
      </c>
      <c r="G375" s="155" t="s">
        <v>155</v>
      </c>
      <c r="H375" s="204">
        <v>44645</v>
      </c>
      <c r="I375" s="143" t="str">
        <f t="shared" si="56"/>
        <v>2022</v>
      </c>
      <c r="J375" s="143" t="str">
        <f t="shared" si="57"/>
        <v>Mar</v>
      </c>
      <c r="K375" s="204">
        <v>44652</v>
      </c>
      <c r="L375" s="157" t="s">
        <v>160</v>
      </c>
      <c r="M375" s="204">
        <v>44684</v>
      </c>
      <c r="N375" s="143" t="str">
        <f t="shared" si="58"/>
        <v>2022</v>
      </c>
      <c r="O375" s="143" t="str">
        <f t="shared" si="59"/>
        <v>May</v>
      </c>
      <c r="P375" s="157" t="s">
        <v>162</v>
      </c>
      <c r="Q375" s="146" t="s">
        <v>266</v>
      </c>
      <c r="R375" s="157" t="s">
        <v>47</v>
      </c>
      <c r="S375" s="141" t="s">
        <v>20</v>
      </c>
      <c r="T375" s="204">
        <v>44960</v>
      </c>
      <c r="U375" s="145" t="str">
        <f t="shared" si="60"/>
        <v>2023</v>
      </c>
      <c r="V375" s="145" t="str">
        <f t="shared" si="61"/>
        <v>Feb</v>
      </c>
      <c r="W375" s="141">
        <f t="shared" ca="1" si="55"/>
        <v>226</v>
      </c>
      <c r="X375" s="157" t="s">
        <v>97</v>
      </c>
      <c r="Y375" s="157">
        <f t="shared" ca="1" si="62"/>
        <v>5424</v>
      </c>
      <c r="Z375" s="158">
        <v>108.48</v>
      </c>
      <c r="AA375" s="148">
        <v>5424</v>
      </c>
      <c r="AB375" s="148">
        <f t="shared" si="63"/>
        <v>50</v>
      </c>
      <c r="AC375" s="204">
        <v>44655</v>
      </c>
      <c r="AD375" s="146" t="str">
        <f t="shared" si="64"/>
        <v>2022</v>
      </c>
      <c r="AE375" s="150" t="str">
        <f t="shared" si="65"/>
        <v>Apr</v>
      </c>
    </row>
    <row r="376" spans="2:31" x14ac:dyDescent="0.25">
      <c r="B376" s="152">
        <v>10</v>
      </c>
      <c r="C376" s="157" t="s">
        <v>76</v>
      </c>
      <c r="D376" s="154" t="s">
        <v>55</v>
      </c>
      <c r="E376" s="157" t="s">
        <v>116</v>
      </c>
      <c r="F376" s="141">
        <v>474</v>
      </c>
      <c r="G376" s="154" t="s">
        <v>119</v>
      </c>
      <c r="H376" s="204">
        <v>44649</v>
      </c>
      <c r="I376" s="143" t="str">
        <f t="shared" si="56"/>
        <v>2022</v>
      </c>
      <c r="J376" s="143" t="str">
        <f t="shared" si="57"/>
        <v>Mar</v>
      </c>
      <c r="K376" s="204">
        <v>44659</v>
      </c>
      <c r="L376" s="157" t="s">
        <v>159</v>
      </c>
      <c r="M376" s="204">
        <v>44689</v>
      </c>
      <c r="N376" s="143" t="str">
        <f t="shared" si="58"/>
        <v>2022</v>
      </c>
      <c r="O376" s="143" t="str">
        <f t="shared" si="59"/>
        <v>May</v>
      </c>
      <c r="P376" s="157" t="s">
        <v>164</v>
      </c>
      <c r="Q376" s="146" t="s">
        <v>17</v>
      </c>
      <c r="R376" s="157" t="s">
        <v>48</v>
      </c>
      <c r="S376" s="141" t="s">
        <v>20</v>
      </c>
      <c r="T376" s="204">
        <v>45050</v>
      </c>
      <c r="U376" s="145" t="str">
        <f t="shared" si="60"/>
        <v>2023</v>
      </c>
      <c r="V376" s="145" t="str">
        <f t="shared" si="61"/>
        <v>May</v>
      </c>
      <c r="W376" s="141">
        <f t="shared" ca="1" si="55"/>
        <v>288</v>
      </c>
      <c r="X376" s="157" t="s">
        <v>98</v>
      </c>
      <c r="Y376" s="157">
        <f t="shared" ca="1" si="62"/>
        <v>6912</v>
      </c>
      <c r="Z376" s="158">
        <v>69.12</v>
      </c>
      <c r="AA376" s="148">
        <v>10368</v>
      </c>
      <c r="AB376" s="148">
        <f t="shared" si="63"/>
        <v>150</v>
      </c>
      <c r="AC376" s="204">
        <v>44662</v>
      </c>
      <c r="AD376" s="146" t="str">
        <f t="shared" si="64"/>
        <v>2022</v>
      </c>
      <c r="AE376" s="150" t="str">
        <f t="shared" si="65"/>
        <v>Apr</v>
      </c>
    </row>
    <row r="377" spans="2:31" x14ac:dyDescent="0.25">
      <c r="B377" s="152">
        <v>11</v>
      </c>
      <c r="C377" s="157" t="s">
        <v>77</v>
      </c>
      <c r="D377" s="154" t="s">
        <v>56</v>
      </c>
      <c r="E377" s="157" t="s">
        <v>117</v>
      </c>
      <c r="F377" s="141">
        <v>475</v>
      </c>
      <c r="G377" s="155" t="s">
        <v>141</v>
      </c>
      <c r="H377" s="204">
        <v>44650</v>
      </c>
      <c r="I377" s="143" t="str">
        <f t="shared" si="56"/>
        <v>2022</v>
      </c>
      <c r="J377" s="143" t="str">
        <f t="shared" si="57"/>
        <v>Mar</v>
      </c>
      <c r="K377" s="204">
        <v>44659</v>
      </c>
      <c r="L377" s="157" t="s">
        <v>157</v>
      </c>
      <c r="M377" s="204">
        <v>44682</v>
      </c>
      <c r="N377" s="143" t="str">
        <f t="shared" si="58"/>
        <v>2022</v>
      </c>
      <c r="O377" s="143" t="str">
        <f t="shared" si="59"/>
        <v>May</v>
      </c>
      <c r="P377" s="157" t="s">
        <v>164</v>
      </c>
      <c r="Q377" s="146" t="s">
        <v>17</v>
      </c>
      <c r="R377" s="157" t="s">
        <v>49</v>
      </c>
      <c r="S377" s="141" t="s">
        <v>20</v>
      </c>
      <c r="T377" s="204">
        <v>44834</v>
      </c>
      <c r="U377" s="145" t="str">
        <f t="shared" si="60"/>
        <v>2022</v>
      </c>
      <c r="V377" s="145" t="str">
        <f t="shared" si="61"/>
        <v>Sep</v>
      </c>
      <c r="W377" s="141">
        <f t="shared" ca="1" si="55"/>
        <v>133</v>
      </c>
      <c r="X377" s="157" t="s">
        <v>99</v>
      </c>
      <c r="Y377" s="157">
        <f t="shared" ca="1" si="62"/>
        <v>3192</v>
      </c>
      <c r="Z377" s="158">
        <v>63.84</v>
      </c>
      <c r="AA377" s="148">
        <v>9576</v>
      </c>
      <c r="AB377" s="148">
        <f t="shared" si="63"/>
        <v>150</v>
      </c>
      <c r="AC377" s="204">
        <v>44662</v>
      </c>
      <c r="AD377" s="146" t="str">
        <f t="shared" si="64"/>
        <v>2022</v>
      </c>
      <c r="AE377" s="150" t="str">
        <f t="shared" si="65"/>
        <v>Apr</v>
      </c>
    </row>
    <row r="378" spans="2:31" x14ac:dyDescent="0.25">
      <c r="B378" s="152">
        <v>12</v>
      </c>
      <c r="C378" s="157" t="s">
        <v>78</v>
      </c>
      <c r="D378" s="154" t="s">
        <v>57</v>
      </c>
      <c r="E378" s="157" t="s">
        <v>118</v>
      </c>
      <c r="F378" s="141">
        <v>476</v>
      </c>
      <c r="G378" s="155" t="s">
        <v>142</v>
      </c>
      <c r="H378" s="204">
        <v>44650</v>
      </c>
      <c r="I378" s="143" t="str">
        <f t="shared" si="56"/>
        <v>2022</v>
      </c>
      <c r="J378" s="143" t="str">
        <f t="shared" si="57"/>
        <v>Mar</v>
      </c>
      <c r="K378" s="204">
        <v>44651</v>
      </c>
      <c r="L378" s="157" t="s">
        <v>157</v>
      </c>
      <c r="M378" s="204">
        <v>44694</v>
      </c>
      <c r="N378" s="143" t="str">
        <f t="shared" si="58"/>
        <v>2022</v>
      </c>
      <c r="O378" s="143" t="str">
        <f t="shared" si="59"/>
        <v>May</v>
      </c>
      <c r="P378" s="157" t="s">
        <v>162</v>
      </c>
      <c r="Q378" s="146" t="s">
        <v>266</v>
      </c>
      <c r="R378" s="157" t="s">
        <v>50</v>
      </c>
      <c r="S378" s="141" t="s">
        <v>20</v>
      </c>
      <c r="T378" s="204">
        <v>45086</v>
      </c>
      <c r="U378" s="145" t="str">
        <f t="shared" si="60"/>
        <v>2023</v>
      </c>
      <c r="V378" s="145" t="str">
        <f t="shared" si="61"/>
        <v>Jun</v>
      </c>
      <c r="W378" s="141">
        <f t="shared" ca="1" si="55"/>
        <v>313</v>
      </c>
      <c r="X378" s="157" t="s">
        <v>100</v>
      </c>
      <c r="Y378" s="157">
        <f t="shared" ca="1" si="62"/>
        <v>7512</v>
      </c>
      <c r="Z378" s="158">
        <v>150.24</v>
      </c>
      <c r="AA378" s="148">
        <v>7512</v>
      </c>
      <c r="AB378" s="148">
        <f t="shared" si="63"/>
        <v>50</v>
      </c>
      <c r="AC378" s="204">
        <v>44654</v>
      </c>
      <c r="AD378" s="146" t="str">
        <f t="shared" si="64"/>
        <v>2022</v>
      </c>
      <c r="AE378" s="150" t="str">
        <f t="shared" si="65"/>
        <v>Apr</v>
      </c>
    </row>
    <row r="379" spans="2:31" x14ac:dyDescent="0.25">
      <c r="B379" s="152">
        <v>13</v>
      </c>
      <c r="C379" s="157" t="s">
        <v>79</v>
      </c>
      <c r="D379" s="154" t="s">
        <v>58</v>
      </c>
      <c r="E379" s="157" t="s">
        <v>111</v>
      </c>
      <c r="F379" s="141">
        <v>477</v>
      </c>
      <c r="G379" s="155" t="s">
        <v>142</v>
      </c>
      <c r="H379" s="204">
        <v>44653</v>
      </c>
      <c r="I379" s="143" t="str">
        <f t="shared" si="56"/>
        <v>2022</v>
      </c>
      <c r="J379" s="143" t="str">
        <f t="shared" si="57"/>
        <v>Apr</v>
      </c>
      <c r="K379" s="204">
        <v>44667</v>
      </c>
      <c r="L379" s="157" t="s">
        <v>157</v>
      </c>
      <c r="M379" s="204">
        <v>44688</v>
      </c>
      <c r="N379" s="143" t="str">
        <f t="shared" si="58"/>
        <v>2022</v>
      </c>
      <c r="O379" s="143" t="str">
        <f t="shared" si="59"/>
        <v>May</v>
      </c>
      <c r="P379" s="157" t="s">
        <v>164</v>
      </c>
      <c r="Q379" s="146" t="s">
        <v>266</v>
      </c>
      <c r="R379" s="157" t="s">
        <v>51</v>
      </c>
      <c r="S379" s="141" t="s">
        <v>20</v>
      </c>
      <c r="T379" s="204">
        <v>44878</v>
      </c>
      <c r="U379" s="145" t="str">
        <f t="shared" si="60"/>
        <v>2022</v>
      </c>
      <c r="V379" s="145" t="str">
        <f t="shared" si="61"/>
        <v>Nov</v>
      </c>
      <c r="W379" s="141">
        <f t="shared" ca="1" si="55"/>
        <v>160</v>
      </c>
      <c r="X379" s="157" t="s">
        <v>101</v>
      </c>
      <c r="Y379" s="157">
        <f t="shared" ca="1" si="62"/>
        <v>3840</v>
      </c>
      <c r="Z379" s="158">
        <v>115.19999999999999</v>
      </c>
      <c r="AA379" s="148">
        <v>5759.9999999999991</v>
      </c>
      <c r="AB379" s="148">
        <f t="shared" si="63"/>
        <v>50</v>
      </c>
      <c r="AC379" s="204">
        <v>44670</v>
      </c>
      <c r="AD379" s="146" t="str">
        <f t="shared" si="64"/>
        <v>2022</v>
      </c>
      <c r="AE379" s="150" t="str">
        <f t="shared" si="65"/>
        <v>Apr</v>
      </c>
    </row>
    <row r="380" spans="2:31" x14ac:dyDescent="0.25">
      <c r="B380" s="152">
        <v>14</v>
      </c>
      <c r="C380" s="157" t="s">
        <v>80</v>
      </c>
      <c r="D380" s="154" t="s">
        <v>59</v>
      </c>
      <c r="E380" s="157" t="s">
        <v>112</v>
      </c>
      <c r="F380" s="141">
        <v>478</v>
      </c>
      <c r="G380" s="155" t="s">
        <v>120</v>
      </c>
      <c r="H380" s="204">
        <v>44658</v>
      </c>
      <c r="I380" s="143" t="str">
        <f t="shared" si="56"/>
        <v>2022</v>
      </c>
      <c r="J380" s="143" t="str">
        <f t="shared" si="57"/>
        <v>Apr</v>
      </c>
      <c r="K380" s="204">
        <v>44660</v>
      </c>
      <c r="L380" s="157" t="s">
        <v>157</v>
      </c>
      <c r="M380" s="204">
        <v>44696</v>
      </c>
      <c r="N380" s="143" t="str">
        <f t="shared" si="58"/>
        <v>2022</v>
      </c>
      <c r="O380" s="143" t="str">
        <f t="shared" si="59"/>
        <v>May</v>
      </c>
      <c r="P380" s="157" t="s">
        <v>164</v>
      </c>
      <c r="Q380" s="146" t="s">
        <v>17</v>
      </c>
      <c r="R380" s="157" t="s">
        <v>52</v>
      </c>
      <c r="S380" s="141" t="s">
        <v>20</v>
      </c>
      <c r="T380" s="204">
        <v>45160</v>
      </c>
      <c r="U380" s="145" t="str">
        <f t="shared" si="60"/>
        <v>2023</v>
      </c>
      <c r="V380" s="145" t="str">
        <f t="shared" si="61"/>
        <v>Aug</v>
      </c>
      <c r="W380" s="141">
        <f t="shared" ca="1" si="55"/>
        <v>359</v>
      </c>
      <c r="X380" s="157" t="s">
        <v>102</v>
      </c>
      <c r="Y380" s="157">
        <f t="shared" ca="1" si="62"/>
        <v>8616</v>
      </c>
      <c r="Z380" s="158">
        <v>258.48</v>
      </c>
      <c r="AA380" s="148">
        <v>38772</v>
      </c>
      <c r="AB380" s="148">
        <f t="shared" si="63"/>
        <v>150</v>
      </c>
      <c r="AC380" s="204">
        <v>44663</v>
      </c>
      <c r="AD380" s="146" t="str">
        <f t="shared" si="64"/>
        <v>2022</v>
      </c>
      <c r="AE380" s="150" t="str">
        <f t="shared" si="65"/>
        <v>Apr</v>
      </c>
    </row>
    <row r="381" spans="2:31" x14ac:dyDescent="0.25">
      <c r="B381" s="152">
        <v>15</v>
      </c>
      <c r="C381" s="157" t="s">
        <v>81</v>
      </c>
      <c r="D381" s="154" t="s">
        <v>60</v>
      </c>
      <c r="E381" s="157" t="s">
        <v>113</v>
      </c>
      <c r="F381" s="141">
        <v>479</v>
      </c>
      <c r="G381" s="155" t="s">
        <v>121</v>
      </c>
      <c r="H381" s="204">
        <v>44661</v>
      </c>
      <c r="I381" s="143" t="str">
        <f t="shared" si="56"/>
        <v>2022</v>
      </c>
      <c r="J381" s="143" t="str">
        <f t="shared" si="57"/>
        <v>Apr</v>
      </c>
      <c r="K381" s="204">
        <v>44671</v>
      </c>
      <c r="L381" s="157" t="s">
        <v>160</v>
      </c>
      <c r="M381" s="204">
        <v>44696</v>
      </c>
      <c r="N381" s="143" t="str">
        <f t="shared" si="58"/>
        <v>2022</v>
      </c>
      <c r="O381" s="143" t="str">
        <f t="shared" si="59"/>
        <v>May</v>
      </c>
      <c r="P381" s="157" t="s">
        <v>164</v>
      </c>
      <c r="Q381" s="146" t="s">
        <v>264</v>
      </c>
      <c r="R381" s="157" t="s">
        <v>53</v>
      </c>
      <c r="S381" s="141" t="s">
        <v>20</v>
      </c>
      <c r="T381" s="204">
        <v>45123</v>
      </c>
      <c r="U381" s="145" t="str">
        <f t="shared" si="60"/>
        <v>2023</v>
      </c>
      <c r="V381" s="145" t="str">
        <f t="shared" si="61"/>
        <v>Jul</v>
      </c>
      <c r="W381" s="141">
        <f t="shared" ca="1" si="55"/>
        <v>330</v>
      </c>
      <c r="X381" s="157" t="s">
        <v>103</v>
      </c>
      <c r="Y381" s="157">
        <f t="shared" ca="1" si="62"/>
        <v>7920</v>
      </c>
      <c r="Z381" s="158">
        <v>158.4</v>
      </c>
      <c r="AA381" s="148">
        <v>4752</v>
      </c>
      <c r="AB381" s="148">
        <f t="shared" si="63"/>
        <v>30</v>
      </c>
      <c r="AC381" s="204">
        <v>44674</v>
      </c>
      <c r="AD381" s="146" t="str">
        <f t="shared" si="64"/>
        <v>2022</v>
      </c>
      <c r="AE381" s="150" t="str">
        <f t="shared" si="65"/>
        <v>Apr</v>
      </c>
    </row>
    <row r="382" spans="2:31" x14ac:dyDescent="0.25">
      <c r="B382" s="152">
        <v>16</v>
      </c>
      <c r="C382" s="157" t="s">
        <v>82</v>
      </c>
      <c r="D382" s="154" t="s">
        <v>61</v>
      </c>
      <c r="E382" s="157" t="s">
        <v>114</v>
      </c>
      <c r="F382" s="141">
        <v>480</v>
      </c>
      <c r="G382" s="155" t="s">
        <v>122</v>
      </c>
      <c r="H382" s="204">
        <v>44667</v>
      </c>
      <c r="I382" s="143" t="str">
        <f t="shared" si="56"/>
        <v>2022</v>
      </c>
      <c r="J382" s="143" t="str">
        <f t="shared" si="57"/>
        <v>Apr</v>
      </c>
      <c r="K382" s="204">
        <v>44671</v>
      </c>
      <c r="L382" s="157" t="s">
        <v>156</v>
      </c>
      <c r="M382" s="204">
        <v>44703</v>
      </c>
      <c r="N382" s="143" t="str">
        <f t="shared" si="58"/>
        <v>2022</v>
      </c>
      <c r="O382" s="143" t="str">
        <f t="shared" si="59"/>
        <v>May</v>
      </c>
      <c r="P382" s="157" t="s">
        <v>164</v>
      </c>
      <c r="Q382" s="146" t="s">
        <v>265</v>
      </c>
      <c r="R382" s="157" t="s">
        <v>54</v>
      </c>
      <c r="S382" s="141" t="s">
        <v>20</v>
      </c>
      <c r="T382" s="204">
        <v>44932</v>
      </c>
      <c r="U382" s="145" t="str">
        <f t="shared" si="60"/>
        <v>2023</v>
      </c>
      <c r="V382" s="145" t="str">
        <f t="shared" si="61"/>
        <v>Jan</v>
      </c>
      <c r="W382" s="141">
        <f t="shared" ca="1" si="55"/>
        <v>190</v>
      </c>
      <c r="X382" s="157" t="s">
        <v>104</v>
      </c>
      <c r="Y382" s="157">
        <f t="shared" ca="1" si="62"/>
        <v>4560</v>
      </c>
      <c r="Z382" s="158">
        <v>45.6</v>
      </c>
      <c r="AA382" s="148">
        <v>4560</v>
      </c>
      <c r="AB382" s="148">
        <f t="shared" si="63"/>
        <v>100</v>
      </c>
      <c r="AC382" s="204">
        <v>44674</v>
      </c>
      <c r="AD382" s="146" t="str">
        <f t="shared" si="64"/>
        <v>2022</v>
      </c>
      <c r="AE382" s="150" t="str">
        <f t="shared" si="65"/>
        <v>Apr</v>
      </c>
    </row>
    <row r="383" spans="2:31" x14ac:dyDescent="0.25">
      <c r="B383" s="152">
        <v>17</v>
      </c>
      <c r="C383" s="157" t="s">
        <v>83</v>
      </c>
      <c r="D383" s="154" t="s">
        <v>33</v>
      </c>
      <c r="E383" s="157" t="s">
        <v>115</v>
      </c>
      <c r="F383" s="141">
        <v>481</v>
      </c>
      <c r="G383" s="155" t="s">
        <v>123</v>
      </c>
      <c r="H383" s="204">
        <v>44673</v>
      </c>
      <c r="I383" s="143" t="str">
        <f t="shared" si="56"/>
        <v>2022</v>
      </c>
      <c r="J383" s="143" t="str">
        <f t="shared" si="57"/>
        <v>Apr</v>
      </c>
      <c r="K383" s="204">
        <v>44688</v>
      </c>
      <c r="L383" s="157" t="s">
        <v>161</v>
      </c>
      <c r="M383" s="204">
        <v>44722</v>
      </c>
      <c r="N383" s="143" t="str">
        <f t="shared" si="58"/>
        <v>2022</v>
      </c>
      <c r="O383" s="143" t="str">
        <f t="shared" si="59"/>
        <v>Jun</v>
      </c>
      <c r="P383" s="157" t="s">
        <v>165</v>
      </c>
      <c r="Q383" s="146" t="s">
        <v>266</v>
      </c>
      <c r="R383" s="157" t="s">
        <v>38</v>
      </c>
      <c r="S383" s="141" t="s">
        <v>20</v>
      </c>
      <c r="T383" s="204">
        <v>44959</v>
      </c>
      <c r="U383" s="145" t="str">
        <f t="shared" si="60"/>
        <v>2023</v>
      </c>
      <c r="V383" s="145" t="str">
        <f t="shared" si="61"/>
        <v>Feb</v>
      </c>
      <c r="W383" s="141">
        <f t="shared" ca="1" si="55"/>
        <v>205</v>
      </c>
      <c r="X383" s="157" t="s">
        <v>105</v>
      </c>
      <c r="Y383" s="157">
        <f t="shared" ca="1" si="62"/>
        <v>4920</v>
      </c>
      <c r="Z383" s="158">
        <v>98.4</v>
      </c>
      <c r="AA383" s="148">
        <v>4920</v>
      </c>
      <c r="AB383" s="148">
        <f t="shared" si="63"/>
        <v>50</v>
      </c>
      <c r="AC383" s="204">
        <v>44691</v>
      </c>
      <c r="AD383" s="146" t="str">
        <f t="shared" si="64"/>
        <v>2022</v>
      </c>
      <c r="AE383" s="150" t="str">
        <f t="shared" si="65"/>
        <v>May</v>
      </c>
    </row>
    <row r="384" spans="2:31" x14ac:dyDescent="0.25">
      <c r="B384" s="152">
        <v>18</v>
      </c>
      <c r="C384" s="157" t="s">
        <v>84</v>
      </c>
      <c r="D384" s="154" t="s">
        <v>89</v>
      </c>
      <c r="E384" s="157" t="s">
        <v>112</v>
      </c>
      <c r="F384" s="141">
        <v>482</v>
      </c>
      <c r="G384" s="155" t="s">
        <v>142</v>
      </c>
      <c r="H384" s="204">
        <v>44679</v>
      </c>
      <c r="I384" s="143" t="str">
        <f t="shared" si="56"/>
        <v>2022</v>
      </c>
      <c r="J384" s="143" t="str">
        <f t="shared" si="57"/>
        <v>Apr</v>
      </c>
      <c r="K384" s="204">
        <v>44685</v>
      </c>
      <c r="L384" s="157" t="s">
        <v>158</v>
      </c>
      <c r="M384" s="204">
        <v>44719</v>
      </c>
      <c r="N384" s="143" t="str">
        <f t="shared" si="58"/>
        <v>2022</v>
      </c>
      <c r="O384" s="143" t="str">
        <f t="shared" si="59"/>
        <v>Jun</v>
      </c>
      <c r="P384" s="157" t="s">
        <v>162</v>
      </c>
      <c r="Q384" s="146" t="s">
        <v>266</v>
      </c>
      <c r="R384" s="157" t="s">
        <v>40</v>
      </c>
      <c r="S384" s="141" t="s">
        <v>20</v>
      </c>
      <c r="T384" s="204">
        <v>45208</v>
      </c>
      <c r="U384" s="145" t="str">
        <f t="shared" si="60"/>
        <v>2023</v>
      </c>
      <c r="V384" s="145" t="str">
        <f t="shared" si="61"/>
        <v>Oct</v>
      </c>
      <c r="W384" s="141">
        <f t="shared" ca="1" si="55"/>
        <v>378</v>
      </c>
      <c r="X384" s="157" t="s">
        <v>106</v>
      </c>
      <c r="Y384" s="157">
        <f t="shared" ca="1" si="62"/>
        <v>9072</v>
      </c>
      <c r="Z384" s="158">
        <v>181.44</v>
      </c>
      <c r="AA384" s="148">
        <v>9072</v>
      </c>
      <c r="AB384" s="148">
        <f t="shared" si="63"/>
        <v>50</v>
      </c>
      <c r="AC384" s="204">
        <v>44688</v>
      </c>
      <c r="AD384" s="146" t="str">
        <f t="shared" si="64"/>
        <v>2022</v>
      </c>
      <c r="AE384" s="150" t="str">
        <f t="shared" si="65"/>
        <v>May</v>
      </c>
    </row>
    <row r="385" spans="2:31" x14ac:dyDescent="0.25">
      <c r="B385" s="152">
        <v>19</v>
      </c>
      <c r="C385" s="157" t="s">
        <v>85</v>
      </c>
      <c r="D385" s="154" t="s">
        <v>90</v>
      </c>
      <c r="E385" s="157" t="s">
        <v>113</v>
      </c>
      <c r="F385" s="141">
        <v>483</v>
      </c>
      <c r="G385" s="155" t="s">
        <v>124</v>
      </c>
      <c r="H385" s="204">
        <v>44685</v>
      </c>
      <c r="I385" s="143" t="str">
        <f t="shared" si="56"/>
        <v>2022</v>
      </c>
      <c r="J385" s="143" t="str">
        <f t="shared" si="57"/>
        <v>May</v>
      </c>
      <c r="K385" s="204">
        <v>44697</v>
      </c>
      <c r="L385" s="157" t="s">
        <v>159</v>
      </c>
      <c r="M385" s="204">
        <v>44727</v>
      </c>
      <c r="N385" s="143" t="str">
        <f t="shared" si="58"/>
        <v>2022</v>
      </c>
      <c r="O385" s="143" t="str">
        <f t="shared" si="59"/>
        <v>Jun</v>
      </c>
      <c r="P385" s="157" t="s">
        <v>164</v>
      </c>
      <c r="Q385" s="146" t="s">
        <v>17</v>
      </c>
      <c r="R385" s="157" t="s">
        <v>34</v>
      </c>
      <c r="S385" s="141" t="s">
        <v>20</v>
      </c>
      <c r="T385" s="204">
        <v>44952</v>
      </c>
      <c r="U385" s="145" t="str">
        <f t="shared" si="60"/>
        <v>2023</v>
      </c>
      <c r="V385" s="145" t="str">
        <f t="shared" si="61"/>
        <v>Jan</v>
      </c>
      <c r="W385" s="141">
        <f t="shared" ca="1" si="55"/>
        <v>192</v>
      </c>
      <c r="X385" s="157" t="s">
        <v>107</v>
      </c>
      <c r="Y385" s="157">
        <f t="shared" ca="1" si="62"/>
        <v>4608</v>
      </c>
      <c r="Z385" s="158">
        <v>46.08</v>
      </c>
      <c r="AA385" s="148">
        <v>6912</v>
      </c>
      <c r="AB385" s="148">
        <f t="shared" si="63"/>
        <v>150</v>
      </c>
      <c r="AC385" s="204">
        <v>44700</v>
      </c>
      <c r="AD385" s="146" t="str">
        <f t="shared" si="64"/>
        <v>2022</v>
      </c>
      <c r="AE385" s="150" t="str">
        <f t="shared" si="65"/>
        <v>May</v>
      </c>
    </row>
    <row r="386" spans="2:31" x14ac:dyDescent="0.25">
      <c r="B386" s="152">
        <v>20</v>
      </c>
      <c r="C386" s="157" t="s">
        <v>86</v>
      </c>
      <c r="D386" s="154" t="s">
        <v>91</v>
      </c>
      <c r="E386" s="157" t="s">
        <v>114</v>
      </c>
      <c r="F386" s="141">
        <v>484</v>
      </c>
      <c r="G386" s="155" t="s">
        <v>142</v>
      </c>
      <c r="H386" s="204">
        <v>45417</v>
      </c>
      <c r="I386" s="143" t="str">
        <f t="shared" si="56"/>
        <v>2024</v>
      </c>
      <c r="J386" s="143" t="str">
        <f t="shared" si="57"/>
        <v>May</v>
      </c>
      <c r="K386" s="204">
        <v>44701</v>
      </c>
      <c r="L386" s="151" t="s">
        <v>158</v>
      </c>
      <c r="M386" s="204">
        <v>44727</v>
      </c>
      <c r="N386" s="143" t="str">
        <f t="shared" si="58"/>
        <v>2022</v>
      </c>
      <c r="O386" s="143" t="str">
        <f t="shared" si="59"/>
        <v>Jun</v>
      </c>
      <c r="P386" s="157" t="s">
        <v>163</v>
      </c>
      <c r="Q386" s="146" t="s">
        <v>266</v>
      </c>
      <c r="R386" s="157" t="s">
        <v>35</v>
      </c>
      <c r="S386" s="157" t="s">
        <v>163</v>
      </c>
      <c r="T386" s="204" t="s">
        <v>274</v>
      </c>
      <c r="U386" s="145" t="str">
        <f t="shared" si="60"/>
        <v/>
      </c>
      <c r="V386" s="145" t="str">
        <f t="shared" si="61"/>
        <v/>
      </c>
      <c r="W386" s="141">
        <f t="shared" ca="1" si="55"/>
        <v>58</v>
      </c>
      <c r="X386" s="157" t="s">
        <v>108</v>
      </c>
      <c r="Y386" s="157">
        <f t="shared" ca="1" si="62"/>
        <v>1392</v>
      </c>
      <c r="Z386" s="158">
        <v>26.88</v>
      </c>
      <c r="AA386" s="148">
        <v>1344</v>
      </c>
      <c r="AB386" s="148">
        <f t="shared" si="63"/>
        <v>50</v>
      </c>
      <c r="AC386" s="204"/>
      <c r="AD386" s="157" t="str">
        <f t="shared" si="64"/>
        <v/>
      </c>
      <c r="AE386" s="150" t="str">
        <f t="shared" si="65"/>
        <v/>
      </c>
    </row>
    <row r="387" spans="2:31" x14ac:dyDescent="0.25">
      <c r="B387" s="152">
        <v>21</v>
      </c>
      <c r="C387" s="157" t="s">
        <v>87</v>
      </c>
      <c r="D387" s="154" t="s">
        <v>92</v>
      </c>
      <c r="E387" s="157" t="s">
        <v>115</v>
      </c>
      <c r="F387" s="141">
        <v>485</v>
      </c>
      <c r="G387" s="155" t="s">
        <v>125</v>
      </c>
      <c r="H387" s="204">
        <v>44690</v>
      </c>
      <c r="I387" s="143" t="str">
        <f t="shared" si="56"/>
        <v>2022</v>
      </c>
      <c r="J387" s="143" t="str">
        <f t="shared" si="57"/>
        <v>May</v>
      </c>
      <c r="K387" s="204">
        <v>44698</v>
      </c>
      <c r="L387" s="157" t="s">
        <v>161</v>
      </c>
      <c r="M387" s="204">
        <v>44732</v>
      </c>
      <c r="N387" s="143" t="str">
        <f t="shared" si="58"/>
        <v>2022</v>
      </c>
      <c r="O387" s="143" t="str">
        <f t="shared" si="59"/>
        <v>Jun</v>
      </c>
      <c r="P387" s="157" t="s">
        <v>164</v>
      </c>
      <c r="Q387" s="146" t="s">
        <v>17</v>
      </c>
      <c r="R387" s="157" t="s">
        <v>36</v>
      </c>
      <c r="S387" s="141" t="s">
        <v>20</v>
      </c>
      <c r="T387" s="204">
        <v>44937</v>
      </c>
      <c r="U387" s="145" t="str">
        <f t="shared" si="60"/>
        <v>2023</v>
      </c>
      <c r="V387" s="145" t="str">
        <f t="shared" si="61"/>
        <v>Jan</v>
      </c>
      <c r="W387" s="141">
        <f t="shared" ref="W387:W450" ca="1" si="66">IF($T387="",NETWORKDAYS($H387,TODAY()),NETWORKDAYS($H387,$T387))</f>
        <v>178</v>
      </c>
      <c r="X387" s="157" t="s">
        <v>109</v>
      </c>
      <c r="Y387" s="157">
        <f t="shared" ca="1" si="62"/>
        <v>4272</v>
      </c>
      <c r="Z387" s="158">
        <v>85.44</v>
      </c>
      <c r="AA387" s="148">
        <v>12816</v>
      </c>
      <c r="AB387" s="148">
        <f t="shared" si="63"/>
        <v>150</v>
      </c>
      <c r="AC387" s="204">
        <v>44701</v>
      </c>
      <c r="AD387" s="146" t="str">
        <f t="shared" si="64"/>
        <v>2022</v>
      </c>
      <c r="AE387" s="150" t="str">
        <f t="shared" si="65"/>
        <v>May</v>
      </c>
    </row>
    <row r="388" spans="2:31" x14ac:dyDescent="0.25">
      <c r="B388" s="152">
        <v>22</v>
      </c>
      <c r="C388" s="157" t="s">
        <v>88</v>
      </c>
      <c r="D388" s="154" t="s">
        <v>39</v>
      </c>
      <c r="E388" s="157" t="s">
        <v>116</v>
      </c>
      <c r="F388" s="141">
        <v>486</v>
      </c>
      <c r="G388" s="155" t="s">
        <v>126</v>
      </c>
      <c r="H388" s="204">
        <v>44694</v>
      </c>
      <c r="I388" s="143" t="str">
        <f t="shared" ref="I388:I451" si="67">TEXT($H388,"YYYY")</f>
        <v>2022</v>
      </c>
      <c r="J388" s="143" t="str">
        <f t="shared" ref="J388:J451" si="68">TEXT($H388,"MMM")</f>
        <v>May</v>
      </c>
      <c r="K388" s="204">
        <v>44697</v>
      </c>
      <c r="L388" s="157" t="s">
        <v>157</v>
      </c>
      <c r="M388" s="204">
        <v>44735</v>
      </c>
      <c r="N388" s="143" t="str">
        <f t="shared" ref="N388:N451" si="69">TEXT($M388,"YYYY")</f>
        <v>2022</v>
      </c>
      <c r="O388" s="143" t="str">
        <f t="shared" ref="O388:O451" si="70">TEXT($M388,"MMM")</f>
        <v>Jun</v>
      </c>
      <c r="P388" s="157" t="s">
        <v>164</v>
      </c>
      <c r="Q388" s="146" t="s">
        <v>17</v>
      </c>
      <c r="R388" s="157" t="s">
        <v>37</v>
      </c>
      <c r="S388" s="141" t="s">
        <v>20</v>
      </c>
      <c r="T388" s="204">
        <v>44934</v>
      </c>
      <c r="U388" s="145" t="str">
        <f t="shared" ref="U388:U451" si="71">IF($T388="","",TEXT($T388,"YYYY"))</f>
        <v>2023</v>
      </c>
      <c r="V388" s="145" t="str">
        <f t="shared" ref="V388:V451" si="72">IF($T388="","",TEXT($T388,"MMM"))</f>
        <v>Jan</v>
      </c>
      <c r="W388" s="141">
        <f t="shared" ca="1" si="66"/>
        <v>171</v>
      </c>
      <c r="X388" s="157" t="s">
        <v>110</v>
      </c>
      <c r="Y388" s="157">
        <f t="shared" ref="Y388:Y451" ca="1" si="73">W388*24</f>
        <v>4104</v>
      </c>
      <c r="Z388" s="158">
        <v>82.08</v>
      </c>
      <c r="AA388" s="148">
        <v>12312</v>
      </c>
      <c r="AB388" s="148">
        <f t="shared" ref="AB388:AB451" si="74">AA388/Z388</f>
        <v>150</v>
      </c>
      <c r="AC388" s="204">
        <v>44700</v>
      </c>
      <c r="AD388" s="146" t="str">
        <f t="shared" ref="AD388:AD451" si="75">IF(AC388="","",TEXT(AC388,"yyyy"))</f>
        <v>2022</v>
      </c>
      <c r="AE388" s="150" t="str">
        <f t="shared" ref="AE388:AE451" si="76">IF(AC388="","",TEXT(AC388,"mmm"))</f>
        <v>May</v>
      </c>
    </row>
    <row r="389" spans="2:31" x14ac:dyDescent="0.25">
      <c r="B389" s="152">
        <v>1</v>
      </c>
      <c r="C389" s="153" t="s">
        <v>7</v>
      </c>
      <c r="D389" s="154" t="s">
        <v>8</v>
      </c>
      <c r="E389" s="157" t="s">
        <v>111</v>
      </c>
      <c r="F389" s="141">
        <v>487</v>
      </c>
      <c r="G389" s="155" t="s">
        <v>127</v>
      </c>
      <c r="H389" s="204">
        <v>44695</v>
      </c>
      <c r="I389" s="143" t="str">
        <f t="shared" si="67"/>
        <v>2022</v>
      </c>
      <c r="J389" s="143" t="str">
        <f t="shared" si="68"/>
        <v>May</v>
      </c>
      <c r="K389" s="204">
        <v>44703</v>
      </c>
      <c r="L389" s="151" t="s">
        <v>160</v>
      </c>
      <c r="M389" s="204">
        <v>44741</v>
      </c>
      <c r="N389" s="143" t="str">
        <f t="shared" si="69"/>
        <v>2022</v>
      </c>
      <c r="O389" s="143" t="str">
        <f t="shared" si="70"/>
        <v>Jun</v>
      </c>
      <c r="P389" s="157" t="s">
        <v>167</v>
      </c>
      <c r="Q389" s="146" t="s">
        <v>17</v>
      </c>
      <c r="R389" s="157" t="s">
        <v>18</v>
      </c>
      <c r="S389" s="141" t="s">
        <v>167</v>
      </c>
      <c r="T389" s="204" t="s">
        <v>274</v>
      </c>
      <c r="U389" s="145" t="str">
        <f t="shared" si="71"/>
        <v/>
      </c>
      <c r="V389" s="145" t="str">
        <f t="shared" si="72"/>
        <v/>
      </c>
      <c r="W389" s="141">
        <f t="shared" ca="1" si="66"/>
        <v>573</v>
      </c>
      <c r="X389" s="157" t="s">
        <v>89</v>
      </c>
      <c r="Y389" s="157">
        <f t="shared" ca="1" si="73"/>
        <v>13752</v>
      </c>
      <c r="Z389" s="158">
        <v>137.04</v>
      </c>
      <c r="AA389" s="148">
        <v>20556</v>
      </c>
      <c r="AB389" s="148">
        <f t="shared" si="74"/>
        <v>150</v>
      </c>
      <c r="AC389" s="204"/>
      <c r="AD389" s="157" t="str">
        <f t="shared" si="75"/>
        <v/>
      </c>
      <c r="AE389" s="150" t="str">
        <f t="shared" si="76"/>
        <v/>
      </c>
    </row>
    <row r="390" spans="2:31" x14ac:dyDescent="0.25">
      <c r="B390" s="152">
        <v>2</v>
      </c>
      <c r="C390" s="153" t="s">
        <v>10</v>
      </c>
      <c r="D390" s="154" t="s">
        <v>11</v>
      </c>
      <c r="E390" s="157" t="s">
        <v>112</v>
      </c>
      <c r="F390" s="141">
        <v>488</v>
      </c>
      <c r="G390" s="155" t="s">
        <v>128</v>
      </c>
      <c r="H390" s="204">
        <v>44705</v>
      </c>
      <c r="I390" s="143" t="str">
        <f t="shared" si="67"/>
        <v>2022</v>
      </c>
      <c r="J390" s="143" t="str">
        <f t="shared" si="68"/>
        <v>May</v>
      </c>
      <c r="K390" s="204">
        <v>44706</v>
      </c>
      <c r="L390" s="157" t="s">
        <v>161</v>
      </c>
      <c r="M390" s="204">
        <v>44759</v>
      </c>
      <c r="N390" s="143" t="str">
        <f t="shared" si="69"/>
        <v>2022</v>
      </c>
      <c r="O390" s="143" t="str">
        <f t="shared" si="70"/>
        <v>Jul</v>
      </c>
      <c r="P390" s="157" t="s">
        <v>162</v>
      </c>
      <c r="Q390" s="146" t="s">
        <v>267</v>
      </c>
      <c r="R390" s="157" t="s">
        <v>19</v>
      </c>
      <c r="S390" s="141" t="s">
        <v>20</v>
      </c>
      <c r="T390" s="204">
        <v>44871</v>
      </c>
      <c r="U390" s="145" t="str">
        <f t="shared" si="71"/>
        <v>2022</v>
      </c>
      <c r="V390" s="145" t="str">
        <f t="shared" si="72"/>
        <v>Nov</v>
      </c>
      <c r="W390" s="141">
        <f t="shared" ca="1" si="66"/>
        <v>119</v>
      </c>
      <c r="X390" s="157" t="s">
        <v>90</v>
      </c>
      <c r="Y390" s="157">
        <f t="shared" ca="1" si="73"/>
        <v>2856</v>
      </c>
      <c r="Z390" s="158">
        <v>28.560000000000002</v>
      </c>
      <c r="AA390" s="148">
        <v>2142</v>
      </c>
      <c r="AB390" s="148">
        <f t="shared" si="74"/>
        <v>75</v>
      </c>
      <c r="AC390" s="204">
        <v>44709</v>
      </c>
      <c r="AD390" s="146" t="str">
        <f t="shared" si="75"/>
        <v>2022</v>
      </c>
      <c r="AE390" s="150" t="str">
        <f t="shared" si="76"/>
        <v>May</v>
      </c>
    </row>
    <row r="391" spans="2:31" x14ac:dyDescent="0.25">
      <c r="B391" s="152">
        <v>3</v>
      </c>
      <c r="C391" s="157" t="s">
        <v>69</v>
      </c>
      <c r="D391" s="154" t="s">
        <v>62</v>
      </c>
      <c r="E391" s="157" t="s">
        <v>113</v>
      </c>
      <c r="F391" s="141">
        <v>489</v>
      </c>
      <c r="G391" s="155" t="s">
        <v>129</v>
      </c>
      <c r="H391" s="204">
        <v>44706</v>
      </c>
      <c r="I391" s="143" t="str">
        <f t="shared" si="67"/>
        <v>2022</v>
      </c>
      <c r="J391" s="143" t="str">
        <f t="shared" si="68"/>
        <v>May</v>
      </c>
      <c r="K391" s="204">
        <v>44710</v>
      </c>
      <c r="L391" s="157" t="s">
        <v>158</v>
      </c>
      <c r="M391" s="204">
        <v>44737</v>
      </c>
      <c r="N391" s="143" t="str">
        <f t="shared" si="69"/>
        <v>2022</v>
      </c>
      <c r="O391" s="143" t="str">
        <f t="shared" si="70"/>
        <v>Jun</v>
      </c>
      <c r="P391" s="157" t="s">
        <v>165</v>
      </c>
      <c r="Q391" s="146" t="s">
        <v>17</v>
      </c>
      <c r="R391" s="157" t="s">
        <v>41</v>
      </c>
      <c r="S391" s="141" t="s">
        <v>20</v>
      </c>
      <c r="T391" s="204">
        <v>44748</v>
      </c>
      <c r="U391" s="145" t="str">
        <f t="shared" si="71"/>
        <v>2022</v>
      </c>
      <c r="V391" s="145" t="str">
        <f t="shared" si="72"/>
        <v>Jul</v>
      </c>
      <c r="W391" s="141">
        <f t="shared" ca="1" si="66"/>
        <v>31</v>
      </c>
      <c r="X391" s="157" t="s">
        <v>91</v>
      </c>
      <c r="Y391" s="157">
        <f t="shared" ca="1" si="73"/>
        <v>744</v>
      </c>
      <c r="Z391" s="158">
        <v>14.88</v>
      </c>
      <c r="AA391" s="148">
        <v>2232</v>
      </c>
      <c r="AB391" s="148">
        <f t="shared" si="74"/>
        <v>150</v>
      </c>
      <c r="AC391" s="204">
        <v>44713</v>
      </c>
      <c r="AD391" s="146" t="str">
        <f t="shared" si="75"/>
        <v>2022</v>
      </c>
      <c r="AE391" s="150" t="str">
        <f t="shared" si="76"/>
        <v>Jun</v>
      </c>
    </row>
    <row r="392" spans="2:31" x14ac:dyDescent="0.25">
      <c r="B392" s="152">
        <v>4</v>
      </c>
      <c r="C392" s="157" t="s">
        <v>70</v>
      </c>
      <c r="D392" s="154" t="s">
        <v>63</v>
      </c>
      <c r="E392" s="157" t="s">
        <v>114</v>
      </c>
      <c r="F392" s="141">
        <v>490</v>
      </c>
      <c r="G392" s="155" t="s">
        <v>143</v>
      </c>
      <c r="H392" s="204">
        <v>44706</v>
      </c>
      <c r="I392" s="143" t="str">
        <f t="shared" si="67"/>
        <v>2022</v>
      </c>
      <c r="J392" s="143" t="str">
        <f t="shared" si="68"/>
        <v>May</v>
      </c>
      <c r="K392" s="204">
        <v>44721</v>
      </c>
      <c r="L392" s="157" t="s">
        <v>156</v>
      </c>
      <c r="M392" s="204">
        <v>44760</v>
      </c>
      <c r="N392" s="143" t="str">
        <f t="shared" si="69"/>
        <v>2022</v>
      </c>
      <c r="O392" s="143" t="str">
        <f t="shared" si="70"/>
        <v>Jul</v>
      </c>
      <c r="P392" s="157" t="s">
        <v>164</v>
      </c>
      <c r="Q392" s="146" t="s">
        <v>266</v>
      </c>
      <c r="R392" s="157" t="s">
        <v>42</v>
      </c>
      <c r="S392" s="141" t="s">
        <v>20</v>
      </c>
      <c r="T392" s="204">
        <v>45087</v>
      </c>
      <c r="U392" s="145" t="str">
        <f t="shared" si="71"/>
        <v>2023</v>
      </c>
      <c r="V392" s="145" t="str">
        <f t="shared" si="72"/>
        <v>Jun</v>
      </c>
      <c r="W392" s="141">
        <f t="shared" ca="1" si="66"/>
        <v>273</v>
      </c>
      <c r="X392" s="157" t="s">
        <v>92</v>
      </c>
      <c r="Y392" s="157">
        <f t="shared" ca="1" si="73"/>
        <v>6552</v>
      </c>
      <c r="Z392" s="158">
        <v>131.04</v>
      </c>
      <c r="AA392" s="148">
        <v>6552</v>
      </c>
      <c r="AB392" s="148">
        <f t="shared" si="74"/>
        <v>50</v>
      </c>
      <c r="AC392" s="204">
        <v>44724</v>
      </c>
      <c r="AD392" s="146" t="str">
        <f t="shared" si="75"/>
        <v>2022</v>
      </c>
      <c r="AE392" s="150" t="str">
        <f t="shared" si="76"/>
        <v>Jun</v>
      </c>
    </row>
    <row r="393" spans="2:31" x14ac:dyDescent="0.25">
      <c r="B393" s="152">
        <v>5</v>
      </c>
      <c r="C393" s="157" t="s">
        <v>71</v>
      </c>
      <c r="D393" s="154" t="s">
        <v>64</v>
      </c>
      <c r="E393" s="157" t="s">
        <v>115</v>
      </c>
      <c r="F393" s="141">
        <v>491</v>
      </c>
      <c r="G393" s="155" t="s">
        <v>130</v>
      </c>
      <c r="H393" s="204">
        <v>44712</v>
      </c>
      <c r="I393" s="143" t="str">
        <f t="shared" si="67"/>
        <v>2022</v>
      </c>
      <c r="J393" s="143" t="str">
        <f t="shared" si="68"/>
        <v>May</v>
      </c>
      <c r="K393" s="204">
        <v>44713</v>
      </c>
      <c r="L393" s="157" t="s">
        <v>159</v>
      </c>
      <c r="M393" s="204">
        <v>44759</v>
      </c>
      <c r="N393" s="143" t="str">
        <f t="shared" si="69"/>
        <v>2022</v>
      </c>
      <c r="O393" s="143" t="str">
        <f t="shared" si="70"/>
        <v>Jul</v>
      </c>
      <c r="P393" s="157" t="s">
        <v>164</v>
      </c>
      <c r="Q393" s="146" t="s">
        <v>17</v>
      </c>
      <c r="R393" s="157" t="s">
        <v>43</v>
      </c>
      <c r="S393" s="141" t="s">
        <v>20</v>
      </c>
      <c r="T393" s="204">
        <v>45266</v>
      </c>
      <c r="U393" s="145" t="str">
        <f t="shared" si="71"/>
        <v>2023</v>
      </c>
      <c r="V393" s="145" t="str">
        <f t="shared" si="72"/>
        <v>Dec</v>
      </c>
      <c r="W393" s="141">
        <f t="shared" ca="1" si="66"/>
        <v>397</v>
      </c>
      <c r="X393" s="157" t="s">
        <v>93</v>
      </c>
      <c r="Y393" s="157">
        <f t="shared" ca="1" si="73"/>
        <v>9528</v>
      </c>
      <c r="Z393" s="158">
        <v>95.28</v>
      </c>
      <c r="AA393" s="148">
        <v>14292</v>
      </c>
      <c r="AB393" s="148">
        <f t="shared" si="74"/>
        <v>150</v>
      </c>
      <c r="AC393" s="204">
        <v>44716</v>
      </c>
      <c r="AD393" s="146" t="str">
        <f t="shared" si="75"/>
        <v>2022</v>
      </c>
      <c r="AE393" s="150" t="str">
        <f t="shared" si="76"/>
        <v>Jun</v>
      </c>
    </row>
    <row r="394" spans="2:31" x14ac:dyDescent="0.25">
      <c r="B394" s="152">
        <v>6</v>
      </c>
      <c r="C394" s="157" t="s">
        <v>72</v>
      </c>
      <c r="D394" s="154" t="s">
        <v>65</v>
      </c>
      <c r="E394" s="157" t="s">
        <v>116</v>
      </c>
      <c r="F394" s="141">
        <v>492</v>
      </c>
      <c r="G394" s="155" t="s">
        <v>131</v>
      </c>
      <c r="H394" s="204">
        <v>44713</v>
      </c>
      <c r="I394" s="143" t="str">
        <f t="shared" si="67"/>
        <v>2022</v>
      </c>
      <c r="J394" s="143" t="str">
        <f t="shared" si="68"/>
        <v>Jun</v>
      </c>
      <c r="K394" s="204">
        <v>44715</v>
      </c>
      <c r="L394" s="157" t="s">
        <v>161</v>
      </c>
      <c r="M394" s="204">
        <v>44758</v>
      </c>
      <c r="N394" s="143" t="str">
        <f t="shared" si="69"/>
        <v>2022</v>
      </c>
      <c r="O394" s="143" t="str">
        <f t="shared" si="70"/>
        <v>Jul</v>
      </c>
      <c r="P394" s="157" t="s">
        <v>162</v>
      </c>
      <c r="Q394" s="146" t="s">
        <v>266</v>
      </c>
      <c r="R394" s="157" t="s">
        <v>44</v>
      </c>
      <c r="S394" s="141" t="s">
        <v>20</v>
      </c>
      <c r="T394" s="204">
        <v>44768</v>
      </c>
      <c r="U394" s="145" t="str">
        <f t="shared" si="71"/>
        <v>2022</v>
      </c>
      <c r="V394" s="145" t="str">
        <f t="shared" si="72"/>
        <v>Jul</v>
      </c>
      <c r="W394" s="141">
        <f t="shared" ca="1" si="66"/>
        <v>40</v>
      </c>
      <c r="X394" s="157" t="s">
        <v>94</v>
      </c>
      <c r="Y394" s="157">
        <f t="shared" ca="1" si="73"/>
        <v>960</v>
      </c>
      <c r="Z394" s="158">
        <v>9.6</v>
      </c>
      <c r="AA394" s="148">
        <v>480</v>
      </c>
      <c r="AB394" s="148">
        <f t="shared" si="74"/>
        <v>50</v>
      </c>
      <c r="AC394" s="204">
        <v>44718</v>
      </c>
      <c r="AD394" s="146" t="str">
        <f t="shared" si="75"/>
        <v>2022</v>
      </c>
      <c r="AE394" s="150" t="str">
        <f t="shared" si="76"/>
        <v>Jun</v>
      </c>
    </row>
    <row r="395" spans="2:31" x14ac:dyDescent="0.25">
      <c r="B395" s="152">
        <v>7</v>
      </c>
      <c r="C395" s="157" t="s">
        <v>73</v>
      </c>
      <c r="D395" s="154" t="s">
        <v>66</v>
      </c>
      <c r="E395" s="157" t="s">
        <v>117</v>
      </c>
      <c r="F395" s="141">
        <v>493</v>
      </c>
      <c r="G395" s="155" t="s">
        <v>132</v>
      </c>
      <c r="H395" s="204">
        <v>44716</v>
      </c>
      <c r="I395" s="143" t="str">
        <f t="shared" si="67"/>
        <v>2022</v>
      </c>
      <c r="J395" s="143" t="str">
        <f t="shared" si="68"/>
        <v>Jun</v>
      </c>
      <c r="K395" s="204">
        <v>44719</v>
      </c>
      <c r="L395" s="157" t="s">
        <v>159</v>
      </c>
      <c r="M395" s="204">
        <v>44757</v>
      </c>
      <c r="N395" s="143" t="str">
        <f t="shared" si="69"/>
        <v>2022</v>
      </c>
      <c r="O395" s="143" t="str">
        <f t="shared" si="70"/>
        <v>Jul</v>
      </c>
      <c r="P395" s="157" t="s">
        <v>167</v>
      </c>
      <c r="Q395" s="146" t="s">
        <v>17</v>
      </c>
      <c r="R395" s="157" t="s">
        <v>45</v>
      </c>
      <c r="S395" s="141" t="s">
        <v>167</v>
      </c>
      <c r="T395" s="204" t="s">
        <v>274</v>
      </c>
      <c r="U395" s="145" t="str">
        <f t="shared" si="71"/>
        <v/>
      </c>
      <c r="V395" s="145" t="str">
        <f t="shared" si="72"/>
        <v/>
      </c>
      <c r="W395" s="141">
        <f t="shared" ca="1" si="66"/>
        <v>558</v>
      </c>
      <c r="X395" s="157" t="s">
        <v>95</v>
      </c>
      <c r="Y395" s="157">
        <f t="shared" ca="1" si="73"/>
        <v>13392</v>
      </c>
      <c r="Z395" s="158">
        <v>400.32</v>
      </c>
      <c r="AA395" s="148">
        <v>60048</v>
      </c>
      <c r="AB395" s="148">
        <f t="shared" si="74"/>
        <v>150</v>
      </c>
      <c r="AC395" s="204"/>
      <c r="AD395" s="157" t="str">
        <f t="shared" si="75"/>
        <v/>
      </c>
      <c r="AE395" s="150" t="str">
        <f t="shared" si="76"/>
        <v/>
      </c>
    </row>
    <row r="396" spans="2:31" x14ac:dyDescent="0.25">
      <c r="B396" s="152">
        <v>8</v>
      </c>
      <c r="C396" s="157" t="s">
        <v>74</v>
      </c>
      <c r="D396" s="154" t="s">
        <v>67</v>
      </c>
      <c r="E396" s="157" t="s">
        <v>118</v>
      </c>
      <c r="F396" s="141">
        <v>494</v>
      </c>
      <c r="G396" s="155" t="s">
        <v>143</v>
      </c>
      <c r="H396" s="204">
        <v>44719</v>
      </c>
      <c r="I396" s="143" t="str">
        <f t="shared" si="67"/>
        <v>2022</v>
      </c>
      <c r="J396" s="143" t="str">
        <f t="shared" si="68"/>
        <v>Jun</v>
      </c>
      <c r="K396" s="204">
        <v>44734</v>
      </c>
      <c r="L396" s="157" t="s">
        <v>161</v>
      </c>
      <c r="M396" s="204">
        <v>44763</v>
      </c>
      <c r="N396" s="143" t="str">
        <f t="shared" si="69"/>
        <v>2022</v>
      </c>
      <c r="O396" s="143" t="str">
        <f t="shared" si="70"/>
        <v>Jul</v>
      </c>
      <c r="P396" s="157" t="s">
        <v>165</v>
      </c>
      <c r="Q396" s="146" t="s">
        <v>266</v>
      </c>
      <c r="R396" s="157" t="s">
        <v>46</v>
      </c>
      <c r="S396" s="141" t="s">
        <v>20</v>
      </c>
      <c r="T396" s="204">
        <v>44851</v>
      </c>
      <c r="U396" s="145" t="str">
        <f t="shared" si="71"/>
        <v>2022</v>
      </c>
      <c r="V396" s="145" t="str">
        <f t="shared" si="72"/>
        <v>Oct</v>
      </c>
      <c r="W396" s="141">
        <f t="shared" ca="1" si="66"/>
        <v>95</v>
      </c>
      <c r="X396" s="157" t="s">
        <v>96</v>
      </c>
      <c r="Y396" s="157">
        <f t="shared" ca="1" si="73"/>
        <v>2280</v>
      </c>
      <c r="Z396" s="158">
        <v>22.8</v>
      </c>
      <c r="AA396" s="148">
        <v>1140</v>
      </c>
      <c r="AB396" s="148">
        <f t="shared" si="74"/>
        <v>50</v>
      </c>
      <c r="AC396" s="204">
        <v>44737</v>
      </c>
      <c r="AD396" s="146" t="str">
        <f t="shared" si="75"/>
        <v>2022</v>
      </c>
      <c r="AE396" s="150" t="str">
        <f t="shared" si="76"/>
        <v>Jun</v>
      </c>
    </row>
    <row r="397" spans="2:31" x14ac:dyDescent="0.25">
      <c r="B397" s="152">
        <v>9</v>
      </c>
      <c r="C397" s="157" t="s">
        <v>75</v>
      </c>
      <c r="D397" s="154" t="s">
        <v>68</v>
      </c>
      <c r="E397" s="157" t="s">
        <v>115</v>
      </c>
      <c r="F397" s="141">
        <v>495</v>
      </c>
      <c r="G397" s="155" t="s">
        <v>133</v>
      </c>
      <c r="H397" s="204">
        <v>44719</v>
      </c>
      <c r="I397" s="143" t="str">
        <f t="shared" si="67"/>
        <v>2022</v>
      </c>
      <c r="J397" s="143" t="str">
        <f t="shared" si="68"/>
        <v>Jun</v>
      </c>
      <c r="K397" s="204">
        <v>44733</v>
      </c>
      <c r="L397" s="157" t="s">
        <v>156</v>
      </c>
      <c r="M397" s="204">
        <v>44770</v>
      </c>
      <c r="N397" s="143" t="str">
        <f t="shared" si="69"/>
        <v>2022</v>
      </c>
      <c r="O397" s="143" t="str">
        <f t="shared" si="70"/>
        <v>Jul</v>
      </c>
      <c r="P397" s="157" t="s">
        <v>164</v>
      </c>
      <c r="Q397" s="146" t="s">
        <v>268</v>
      </c>
      <c r="R397" s="157" t="s">
        <v>47</v>
      </c>
      <c r="S397" s="141" t="s">
        <v>20</v>
      </c>
      <c r="T397" s="204">
        <v>44754</v>
      </c>
      <c r="U397" s="145" t="str">
        <f t="shared" si="71"/>
        <v>2022</v>
      </c>
      <c r="V397" s="145" t="str">
        <f t="shared" si="72"/>
        <v>Jul</v>
      </c>
      <c r="W397" s="141">
        <f t="shared" ca="1" si="66"/>
        <v>26</v>
      </c>
      <c r="X397" s="157" t="s">
        <v>97</v>
      </c>
      <c r="Y397" s="157">
        <f t="shared" ca="1" si="73"/>
        <v>624</v>
      </c>
      <c r="Z397" s="158">
        <v>12.48</v>
      </c>
      <c r="AA397" s="148">
        <v>1497.6000000000001</v>
      </c>
      <c r="AB397" s="148">
        <f t="shared" si="74"/>
        <v>120</v>
      </c>
      <c r="AC397" s="204">
        <v>44736</v>
      </c>
      <c r="AD397" s="146" t="str">
        <f t="shared" si="75"/>
        <v>2022</v>
      </c>
      <c r="AE397" s="150" t="str">
        <f t="shared" si="76"/>
        <v>Jun</v>
      </c>
    </row>
    <row r="398" spans="2:31" x14ac:dyDescent="0.25">
      <c r="B398" s="152">
        <v>10</v>
      </c>
      <c r="C398" s="157" t="s">
        <v>76</v>
      </c>
      <c r="D398" s="154" t="s">
        <v>55</v>
      </c>
      <c r="E398" s="157" t="s">
        <v>116</v>
      </c>
      <c r="F398" s="141">
        <v>496</v>
      </c>
      <c r="G398" s="155" t="s">
        <v>134</v>
      </c>
      <c r="H398" s="204">
        <v>44719</v>
      </c>
      <c r="I398" s="143" t="str">
        <f t="shared" si="67"/>
        <v>2022</v>
      </c>
      <c r="J398" s="143" t="str">
        <f t="shared" si="68"/>
        <v>Jun</v>
      </c>
      <c r="K398" s="204">
        <v>44721</v>
      </c>
      <c r="L398" s="157" t="s">
        <v>158</v>
      </c>
      <c r="M398" s="204">
        <v>44752</v>
      </c>
      <c r="N398" s="143" t="str">
        <f t="shared" si="69"/>
        <v>2022</v>
      </c>
      <c r="O398" s="143" t="str">
        <f t="shared" si="70"/>
        <v>Jul</v>
      </c>
      <c r="P398" s="157" t="s">
        <v>165</v>
      </c>
      <c r="Q398" s="146" t="s">
        <v>17</v>
      </c>
      <c r="R398" s="157" t="s">
        <v>48</v>
      </c>
      <c r="S398" s="141" t="s">
        <v>20</v>
      </c>
      <c r="T398" s="204">
        <v>44852</v>
      </c>
      <c r="U398" s="145" t="str">
        <f t="shared" si="71"/>
        <v>2022</v>
      </c>
      <c r="V398" s="145" t="str">
        <f t="shared" si="72"/>
        <v>Oct</v>
      </c>
      <c r="W398" s="141">
        <f t="shared" ca="1" si="66"/>
        <v>96</v>
      </c>
      <c r="X398" s="157" t="s">
        <v>98</v>
      </c>
      <c r="Y398" s="157">
        <f t="shared" ca="1" si="73"/>
        <v>2304</v>
      </c>
      <c r="Z398" s="158">
        <v>23.04</v>
      </c>
      <c r="AA398" s="148">
        <v>3456</v>
      </c>
      <c r="AB398" s="148">
        <f t="shared" si="74"/>
        <v>150</v>
      </c>
      <c r="AC398" s="204">
        <v>44724</v>
      </c>
      <c r="AD398" s="146" t="str">
        <f t="shared" si="75"/>
        <v>2022</v>
      </c>
      <c r="AE398" s="150" t="str">
        <f t="shared" si="76"/>
        <v>Jun</v>
      </c>
    </row>
    <row r="399" spans="2:31" x14ac:dyDescent="0.25">
      <c r="B399" s="152">
        <v>11</v>
      </c>
      <c r="C399" s="157" t="s">
        <v>77</v>
      </c>
      <c r="D399" s="154" t="s">
        <v>56</v>
      </c>
      <c r="E399" s="157" t="s">
        <v>117</v>
      </c>
      <c r="F399" s="141">
        <v>497</v>
      </c>
      <c r="G399" s="155" t="s">
        <v>143</v>
      </c>
      <c r="H399" s="204">
        <v>44725</v>
      </c>
      <c r="I399" s="143" t="str">
        <f t="shared" si="67"/>
        <v>2022</v>
      </c>
      <c r="J399" s="143" t="str">
        <f t="shared" si="68"/>
        <v>Jun</v>
      </c>
      <c r="K399" s="204">
        <v>44737</v>
      </c>
      <c r="L399" s="157" t="s">
        <v>156</v>
      </c>
      <c r="M399" s="204">
        <v>44763</v>
      </c>
      <c r="N399" s="143" t="str">
        <f t="shared" si="69"/>
        <v>2022</v>
      </c>
      <c r="O399" s="143" t="str">
        <f t="shared" si="70"/>
        <v>Jul</v>
      </c>
      <c r="P399" s="157" t="s">
        <v>162</v>
      </c>
      <c r="Q399" s="146" t="s">
        <v>266</v>
      </c>
      <c r="R399" s="157" t="s">
        <v>49</v>
      </c>
      <c r="S399" s="141" t="s">
        <v>20</v>
      </c>
      <c r="T399" s="204">
        <v>45009</v>
      </c>
      <c r="U399" s="145" t="str">
        <f t="shared" si="71"/>
        <v>2023</v>
      </c>
      <c r="V399" s="145" t="str">
        <f t="shared" si="72"/>
        <v>Mar</v>
      </c>
      <c r="W399" s="141">
        <f t="shared" ca="1" si="66"/>
        <v>205</v>
      </c>
      <c r="X399" s="157" t="s">
        <v>99</v>
      </c>
      <c r="Y399" s="157">
        <f t="shared" ca="1" si="73"/>
        <v>4920</v>
      </c>
      <c r="Z399" s="158">
        <v>147.6</v>
      </c>
      <c r="AA399" s="148">
        <v>7380</v>
      </c>
      <c r="AB399" s="148">
        <f t="shared" si="74"/>
        <v>50</v>
      </c>
      <c r="AC399" s="204">
        <v>44740</v>
      </c>
      <c r="AD399" s="146" t="str">
        <f t="shared" si="75"/>
        <v>2022</v>
      </c>
      <c r="AE399" s="150" t="str">
        <f t="shared" si="76"/>
        <v>Jun</v>
      </c>
    </row>
    <row r="400" spans="2:31" x14ac:dyDescent="0.25">
      <c r="B400" s="152">
        <v>12</v>
      </c>
      <c r="C400" s="157" t="s">
        <v>78</v>
      </c>
      <c r="D400" s="154" t="s">
        <v>57</v>
      </c>
      <c r="E400" s="157" t="s">
        <v>118</v>
      </c>
      <c r="F400" s="141">
        <v>498</v>
      </c>
      <c r="G400" s="155" t="s">
        <v>135</v>
      </c>
      <c r="H400" s="204">
        <v>44725</v>
      </c>
      <c r="I400" s="143" t="str">
        <f t="shared" si="67"/>
        <v>2022</v>
      </c>
      <c r="J400" s="143" t="str">
        <f t="shared" si="68"/>
        <v>Jun</v>
      </c>
      <c r="K400" s="204">
        <v>44740</v>
      </c>
      <c r="L400" s="157" t="s">
        <v>158</v>
      </c>
      <c r="M400" s="204">
        <v>44770</v>
      </c>
      <c r="N400" s="143" t="str">
        <f t="shared" si="69"/>
        <v>2022</v>
      </c>
      <c r="O400" s="143" t="str">
        <f t="shared" si="70"/>
        <v>Jul</v>
      </c>
      <c r="P400" s="157" t="s">
        <v>165</v>
      </c>
      <c r="Q400" s="146" t="s">
        <v>269</v>
      </c>
      <c r="R400" s="157" t="s">
        <v>50</v>
      </c>
      <c r="S400" s="141" t="s">
        <v>20</v>
      </c>
      <c r="T400" s="204">
        <v>44927</v>
      </c>
      <c r="U400" s="145" t="str">
        <f t="shared" si="71"/>
        <v>2023</v>
      </c>
      <c r="V400" s="145" t="str">
        <f t="shared" si="72"/>
        <v>Jan</v>
      </c>
      <c r="W400" s="141">
        <f t="shared" ca="1" si="66"/>
        <v>145</v>
      </c>
      <c r="X400" s="157" t="s">
        <v>100</v>
      </c>
      <c r="Y400" s="157">
        <f t="shared" ca="1" si="73"/>
        <v>3480</v>
      </c>
      <c r="Z400" s="158">
        <v>104.39999999999999</v>
      </c>
      <c r="AA400" s="148">
        <v>5220</v>
      </c>
      <c r="AB400" s="148">
        <f t="shared" si="74"/>
        <v>50.000000000000007</v>
      </c>
      <c r="AC400" s="204">
        <v>44743</v>
      </c>
      <c r="AD400" s="146" t="str">
        <f t="shared" si="75"/>
        <v>2022</v>
      </c>
      <c r="AE400" s="150" t="str">
        <f t="shared" si="76"/>
        <v>Jul</v>
      </c>
    </row>
    <row r="401" spans="2:31" x14ac:dyDescent="0.25">
      <c r="B401" s="152">
        <v>13</v>
      </c>
      <c r="C401" s="157" t="s">
        <v>79</v>
      </c>
      <c r="D401" s="154" t="s">
        <v>58</v>
      </c>
      <c r="E401" s="157" t="s">
        <v>111</v>
      </c>
      <c r="F401" s="141">
        <v>499</v>
      </c>
      <c r="G401" s="155" t="s">
        <v>136</v>
      </c>
      <c r="H401" s="204">
        <v>44727</v>
      </c>
      <c r="I401" s="143" t="str">
        <f t="shared" si="67"/>
        <v>2022</v>
      </c>
      <c r="J401" s="143" t="str">
        <f t="shared" si="68"/>
        <v>Jun</v>
      </c>
      <c r="K401" s="204">
        <v>44741</v>
      </c>
      <c r="L401" s="157" t="s">
        <v>157</v>
      </c>
      <c r="M401" s="204">
        <v>44781</v>
      </c>
      <c r="N401" s="143" t="str">
        <f t="shared" si="69"/>
        <v>2022</v>
      </c>
      <c r="O401" s="143" t="str">
        <f t="shared" si="70"/>
        <v>Aug</v>
      </c>
      <c r="P401" s="157" t="s">
        <v>165</v>
      </c>
      <c r="Q401" s="146" t="s">
        <v>17</v>
      </c>
      <c r="R401" s="157" t="s">
        <v>51</v>
      </c>
      <c r="S401" s="141" t="s">
        <v>20</v>
      </c>
      <c r="T401" s="204">
        <v>44822</v>
      </c>
      <c r="U401" s="145" t="str">
        <f t="shared" si="71"/>
        <v>2022</v>
      </c>
      <c r="V401" s="145" t="str">
        <f t="shared" si="72"/>
        <v>Sep</v>
      </c>
      <c r="W401" s="141">
        <f t="shared" ca="1" si="66"/>
        <v>68</v>
      </c>
      <c r="X401" s="157" t="s">
        <v>101</v>
      </c>
      <c r="Y401" s="157">
        <f t="shared" ca="1" si="73"/>
        <v>1632</v>
      </c>
      <c r="Z401" s="158">
        <v>48.96</v>
      </c>
      <c r="AA401" s="148">
        <v>7344</v>
      </c>
      <c r="AB401" s="148">
        <f t="shared" si="74"/>
        <v>150</v>
      </c>
      <c r="AC401" s="204">
        <v>44744</v>
      </c>
      <c r="AD401" s="146" t="str">
        <f t="shared" si="75"/>
        <v>2022</v>
      </c>
      <c r="AE401" s="150" t="str">
        <f t="shared" si="76"/>
        <v>Jul</v>
      </c>
    </row>
    <row r="402" spans="2:31" x14ac:dyDescent="0.25">
      <c r="B402" s="152">
        <v>10</v>
      </c>
      <c r="C402" s="157" t="s">
        <v>76</v>
      </c>
      <c r="D402" s="154" t="s">
        <v>55</v>
      </c>
      <c r="E402" s="157" t="s">
        <v>116</v>
      </c>
      <c r="F402" s="141">
        <v>500</v>
      </c>
      <c r="G402" s="155" t="s">
        <v>122</v>
      </c>
      <c r="H402" s="204">
        <v>44728</v>
      </c>
      <c r="I402" s="143" t="str">
        <f t="shared" si="67"/>
        <v>2022</v>
      </c>
      <c r="J402" s="143" t="str">
        <f t="shared" si="68"/>
        <v>Jun</v>
      </c>
      <c r="K402" s="204">
        <v>44739</v>
      </c>
      <c r="L402" s="157" t="s">
        <v>157</v>
      </c>
      <c r="M402" s="204">
        <v>44775</v>
      </c>
      <c r="N402" s="143" t="str">
        <f t="shared" si="69"/>
        <v>2022</v>
      </c>
      <c r="O402" s="143" t="str">
        <f t="shared" si="70"/>
        <v>Aug</v>
      </c>
      <c r="P402" s="157" t="s">
        <v>165</v>
      </c>
      <c r="Q402" s="146" t="s">
        <v>265</v>
      </c>
      <c r="R402" s="157" t="s">
        <v>48</v>
      </c>
      <c r="S402" s="141" t="s">
        <v>20</v>
      </c>
      <c r="T402" s="204">
        <v>45132</v>
      </c>
      <c r="U402" s="145" t="str">
        <f t="shared" si="71"/>
        <v>2023</v>
      </c>
      <c r="V402" s="145" t="str">
        <f t="shared" si="72"/>
        <v>Jul</v>
      </c>
      <c r="W402" s="141">
        <f t="shared" ca="1" si="66"/>
        <v>289</v>
      </c>
      <c r="X402" s="157" t="s">
        <v>98</v>
      </c>
      <c r="Y402" s="157">
        <f t="shared" ca="1" si="73"/>
        <v>6936</v>
      </c>
      <c r="Z402" s="158">
        <v>69.36</v>
      </c>
      <c r="AA402" s="148">
        <v>6936</v>
      </c>
      <c r="AB402" s="148">
        <f t="shared" si="74"/>
        <v>100</v>
      </c>
      <c r="AC402" s="204">
        <v>44742</v>
      </c>
      <c r="AD402" s="146" t="str">
        <f t="shared" si="75"/>
        <v>2022</v>
      </c>
      <c r="AE402" s="150" t="str">
        <f t="shared" si="76"/>
        <v>Jun</v>
      </c>
    </row>
    <row r="403" spans="2:31" x14ac:dyDescent="0.25">
      <c r="B403" s="152">
        <v>11</v>
      </c>
      <c r="C403" s="157" t="s">
        <v>77</v>
      </c>
      <c r="D403" s="154" t="s">
        <v>56</v>
      </c>
      <c r="E403" s="157" t="s">
        <v>117</v>
      </c>
      <c r="F403" s="141">
        <v>501</v>
      </c>
      <c r="G403" s="155" t="s">
        <v>123</v>
      </c>
      <c r="H403" s="204">
        <v>44735</v>
      </c>
      <c r="I403" s="143" t="str">
        <f t="shared" si="67"/>
        <v>2022</v>
      </c>
      <c r="J403" s="143" t="str">
        <f t="shared" si="68"/>
        <v>Jun</v>
      </c>
      <c r="K403" s="204">
        <v>44746</v>
      </c>
      <c r="L403" s="157" t="s">
        <v>157</v>
      </c>
      <c r="M403" s="204">
        <v>44767</v>
      </c>
      <c r="N403" s="143" t="str">
        <f t="shared" si="69"/>
        <v>2022</v>
      </c>
      <c r="O403" s="143" t="str">
        <f t="shared" si="70"/>
        <v>Jul</v>
      </c>
      <c r="P403" s="157" t="s">
        <v>165</v>
      </c>
      <c r="Q403" s="146" t="s">
        <v>266</v>
      </c>
      <c r="R403" s="157" t="s">
        <v>49</v>
      </c>
      <c r="S403" s="141" t="s">
        <v>20</v>
      </c>
      <c r="T403" s="204">
        <v>45081</v>
      </c>
      <c r="U403" s="145" t="str">
        <f t="shared" si="71"/>
        <v>2023</v>
      </c>
      <c r="V403" s="145" t="str">
        <f t="shared" si="72"/>
        <v>Jun</v>
      </c>
      <c r="W403" s="141">
        <f t="shared" ca="1" si="66"/>
        <v>247</v>
      </c>
      <c r="X403" s="157" t="s">
        <v>99</v>
      </c>
      <c r="Y403" s="157">
        <f t="shared" ca="1" si="73"/>
        <v>5928</v>
      </c>
      <c r="Z403" s="158">
        <v>118.56</v>
      </c>
      <c r="AA403" s="148">
        <v>5928</v>
      </c>
      <c r="AB403" s="148">
        <f t="shared" si="74"/>
        <v>50</v>
      </c>
      <c r="AC403" s="204">
        <v>44749</v>
      </c>
      <c r="AD403" s="146" t="str">
        <f t="shared" si="75"/>
        <v>2022</v>
      </c>
      <c r="AE403" s="150" t="str">
        <f t="shared" si="76"/>
        <v>Jul</v>
      </c>
    </row>
    <row r="404" spans="2:31" x14ac:dyDescent="0.25">
      <c r="B404" s="152">
        <v>12</v>
      </c>
      <c r="C404" s="157" t="s">
        <v>78</v>
      </c>
      <c r="D404" s="154" t="s">
        <v>57</v>
      </c>
      <c r="E404" s="157" t="s">
        <v>118</v>
      </c>
      <c r="F404" s="141">
        <v>502</v>
      </c>
      <c r="G404" s="155" t="s">
        <v>143</v>
      </c>
      <c r="H404" s="204">
        <v>44736</v>
      </c>
      <c r="I404" s="143" t="str">
        <f t="shared" si="67"/>
        <v>2022</v>
      </c>
      <c r="J404" s="143" t="str">
        <f t="shared" si="68"/>
        <v>Jun</v>
      </c>
      <c r="K404" s="204">
        <v>44736</v>
      </c>
      <c r="L404" s="157" t="s">
        <v>156</v>
      </c>
      <c r="M404" s="204">
        <v>44773</v>
      </c>
      <c r="N404" s="143" t="str">
        <f t="shared" si="69"/>
        <v>2022</v>
      </c>
      <c r="O404" s="143" t="str">
        <f t="shared" si="70"/>
        <v>Jul</v>
      </c>
      <c r="P404" s="157" t="s">
        <v>164</v>
      </c>
      <c r="Q404" s="146" t="s">
        <v>266</v>
      </c>
      <c r="R404" s="157" t="s">
        <v>50</v>
      </c>
      <c r="S404" s="141" t="s">
        <v>20</v>
      </c>
      <c r="T404" s="204">
        <v>45198</v>
      </c>
      <c r="U404" s="145" t="str">
        <f t="shared" si="71"/>
        <v>2023</v>
      </c>
      <c r="V404" s="145" t="str">
        <f t="shared" si="72"/>
        <v>Sep</v>
      </c>
      <c r="W404" s="141">
        <f t="shared" ca="1" si="66"/>
        <v>331</v>
      </c>
      <c r="X404" s="157" t="s">
        <v>100</v>
      </c>
      <c r="Y404" s="157">
        <f t="shared" ca="1" si="73"/>
        <v>7944</v>
      </c>
      <c r="Z404" s="158">
        <v>158.88</v>
      </c>
      <c r="AA404" s="148">
        <v>7944</v>
      </c>
      <c r="AB404" s="148">
        <f t="shared" si="74"/>
        <v>50</v>
      </c>
      <c r="AC404" s="204">
        <v>44739</v>
      </c>
      <c r="AD404" s="146" t="str">
        <f t="shared" si="75"/>
        <v>2022</v>
      </c>
      <c r="AE404" s="150" t="str">
        <f t="shared" si="76"/>
        <v>Jun</v>
      </c>
    </row>
    <row r="405" spans="2:31" x14ac:dyDescent="0.25">
      <c r="B405" s="152">
        <v>13</v>
      </c>
      <c r="C405" s="157" t="s">
        <v>79</v>
      </c>
      <c r="D405" s="154" t="s">
        <v>58</v>
      </c>
      <c r="E405" s="157" t="s">
        <v>111</v>
      </c>
      <c r="F405" s="141">
        <v>503</v>
      </c>
      <c r="G405" s="155" t="s">
        <v>124</v>
      </c>
      <c r="H405" s="204">
        <v>44739</v>
      </c>
      <c r="I405" s="143" t="str">
        <f t="shared" si="67"/>
        <v>2022</v>
      </c>
      <c r="J405" s="143" t="str">
        <f t="shared" si="68"/>
        <v>Jun</v>
      </c>
      <c r="K405" s="204">
        <v>44739</v>
      </c>
      <c r="L405" s="151" t="s">
        <v>161</v>
      </c>
      <c r="M405" s="204">
        <v>44790</v>
      </c>
      <c r="N405" s="143" t="str">
        <f t="shared" si="69"/>
        <v>2022</v>
      </c>
      <c r="O405" s="143" t="str">
        <f t="shared" si="70"/>
        <v>Aug</v>
      </c>
      <c r="P405" s="157" t="s">
        <v>167</v>
      </c>
      <c r="Q405" s="146" t="s">
        <v>17</v>
      </c>
      <c r="R405" s="157" t="s">
        <v>51</v>
      </c>
      <c r="S405" s="141" t="s">
        <v>167</v>
      </c>
      <c r="T405" s="204" t="s">
        <v>274</v>
      </c>
      <c r="U405" s="145" t="str">
        <f t="shared" si="71"/>
        <v/>
      </c>
      <c r="V405" s="145" t="str">
        <f t="shared" si="72"/>
        <v/>
      </c>
      <c r="W405" s="141">
        <f t="shared" ca="1" si="66"/>
        <v>543</v>
      </c>
      <c r="X405" s="157" t="s">
        <v>101</v>
      </c>
      <c r="Y405" s="157">
        <f t="shared" ca="1" si="73"/>
        <v>13032</v>
      </c>
      <c r="Z405" s="158">
        <v>129.84</v>
      </c>
      <c r="AA405" s="148">
        <v>19476</v>
      </c>
      <c r="AB405" s="148">
        <f t="shared" si="74"/>
        <v>150</v>
      </c>
      <c r="AC405" s="204"/>
      <c r="AD405" s="157" t="str">
        <f t="shared" si="75"/>
        <v/>
      </c>
      <c r="AE405" s="150" t="str">
        <f t="shared" si="76"/>
        <v/>
      </c>
    </row>
    <row r="406" spans="2:31" x14ac:dyDescent="0.25">
      <c r="B406" s="152">
        <v>14</v>
      </c>
      <c r="C406" s="157" t="s">
        <v>80</v>
      </c>
      <c r="D406" s="154" t="s">
        <v>59</v>
      </c>
      <c r="E406" s="157" t="s">
        <v>112</v>
      </c>
      <c r="F406" s="141">
        <v>504</v>
      </c>
      <c r="G406" s="155" t="s">
        <v>144</v>
      </c>
      <c r="H406" s="204">
        <v>44742</v>
      </c>
      <c r="I406" s="143" t="str">
        <f t="shared" si="67"/>
        <v>2022</v>
      </c>
      <c r="J406" s="143" t="str">
        <f t="shared" si="68"/>
        <v>Jun</v>
      </c>
      <c r="K406" s="204">
        <v>44749</v>
      </c>
      <c r="L406" s="157" t="s">
        <v>160</v>
      </c>
      <c r="M406" s="204">
        <v>44792</v>
      </c>
      <c r="N406" s="143" t="str">
        <f t="shared" si="69"/>
        <v>2022</v>
      </c>
      <c r="O406" s="143" t="str">
        <f t="shared" si="70"/>
        <v>Aug</v>
      </c>
      <c r="P406" s="157" t="s">
        <v>164</v>
      </c>
      <c r="Q406" s="146" t="s">
        <v>17</v>
      </c>
      <c r="R406" s="157" t="s">
        <v>52</v>
      </c>
      <c r="S406" s="141" t="s">
        <v>20</v>
      </c>
      <c r="T406" s="204">
        <v>45234</v>
      </c>
      <c r="U406" s="145" t="str">
        <f t="shared" si="71"/>
        <v>2023</v>
      </c>
      <c r="V406" s="145" t="str">
        <f t="shared" si="72"/>
        <v>Nov</v>
      </c>
      <c r="W406" s="141">
        <f t="shared" ca="1" si="66"/>
        <v>352</v>
      </c>
      <c r="X406" s="157" t="s">
        <v>102</v>
      </c>
      <c r="Y406" s="157">
        <f t="shared" ca="1" si="73"/>
        <v>8448</v>
      </c>
      <c r="Z406" s="158">
        <v>253.44</v>
      </c>
      <c r="AA406" s="148">
        <v>38016</v>
      </c>
      <c r="AB406" s="148">
        <f t="shared" si="74"/>
        <v>150</v>
      </c>
      <c r="AC406" s="204">
        <v>44752</v>
      </c>
      <c r="AD406" s="146" t="str">
        <f t="shared" si="75"/>
        <v>2022</v>
      </c>
      <c r="AE406" s="150" t="str">
        <f t="shared" si="76"/>
        <v>Jul</v>
      </c>
    </row>
    <row r="407" spans="2:31" x14ac:dyDescent="0.25">
      <c r="B407" s="152">
        <v>15</v>
      </c>
      <c r="C407" s="157" t="s">
        <v>81</v>
      </c>
      <c r="D407" s="154" t="s">
        <v>60</v>
      </c>
      <c r="E407" s="157" t="s">
        <v>113</v>
      </c>
      <c r="F407" s="141">
        <v>505</v>
      </c>
      <c r="G407" s="155" t="s">
        <v>125</v>
      </c>
      <c r="H407" s="204">
        <v>44746</v>
      </c>
      <c r="I407" s="143" t="str">
        <f t="shared" si="67"/>
        <v>2022</v>
      </c>
      <c r="J407" s="143" t="str">
        <f t="shared" si="68"/>
        <v>Jul</v>
      </c>
      <c r="K407" s="204">
        <v>44753</v>
      </c>
      <c r="L407" s="157" t="s">
        <v>161</v>
      </c>
      <c r="M407" s="204">
        <v>44781</v>
      </c>
      <c r="N407" s="143" t="str">
        <f t="shared" si="69"/>
        <v>2022</v>
      </c>
      <c r="O407" s="143" t="str">
        <f t="shared" si="70"/>
        <v>Aug</v>
      </c>
      <c r="P407" s="157" t="s">
        <v>164</v>
      </c>
      <c r="Q407" s="146" t="s">
        <v>17</v>
      </c>
      <c r="R407" s="157" t="s">
        <v>53</v>
      </c>
      <c r="S407" s="141" t="s">
        <v>20</v>
      </c>
      <c r="T407" s="204">
        <v>45044</v>
      </c>
      <c r="U407" s="145" t="str">
        <f t="shared" si="71"/>
        <v>2023</v>
      </c>
      <c r="V407" s="145" t="str">
        <f t="shared" si="72"/>
        <v>Apr</v>
      </c>
      <c r="W407" s="141">
        <f t="shared" ca="1" si="66"/>
        <v>215</v>
      </c>
      <c r="X407" s="157" t="s">
        <v>103</v>
      </c>
      <c r="Y407" s="157">
        <f t="shared" ca="1" si="73"/>
        <v>5160</v>
      </c>
      <c r="Z407" s="158">
        <v>154.79999999999998</v>
      </c>
      <c r="AA407" s="148">
        <v>23219.999999999996</v>
      </c>
      <c r="AB407" s="148">
        <f t="shared" si="74"/>
        <v>150</v>
      </c>
      <c r="AC407" s="204">
        <v>44756</v>
      </c>
      <c r="AD407" s="146" t="str">
        <f t="shared" si="75"/>
        <v>2022</v>
      </c>
      <c r="AE407" s="150" t="str">
        <f t="shared" si="76"/>
        <v>Jul</v>
      </c>
    </row>
    <row r="408" spans="2:31" x14ac:dyDescent="0.25">
      <c r="B408" s="152">
        <v>16</v>
      </c>
      <c r="C408" s="157" t="s">
        <v>82</v>
      </c>
      <c r="D408" s="154" t="s">
        <v>61</v>
      </c>
      <c r="E408" s="157" t="s">
        <v>114</v>
      </c>
      <c r="F408" s="141">
        <v>506</v>
      </c>
      <c r="G408" s="155" t="s">
        <v>126</v>
      </c>
      <c r="H408" s="204">
        <v>44747</v>
      </c>
      <c r="I408" s="143" t="str">
        <f t="shared" si="67"/>
        <v>2022</v>
      </c>
      <c r="J408" s="143" t="str">
        <f t="shared" si="68"/>
        <v>Jul</v>
      </c>
      <c r="K408" s="204">
        <v>44751</v>
      </c>
      <c r="L408" s="157" t="s">
        <v>156</v>
      </c>
      <c r="M408" s="204">
        <v>44792</v>
      </c>
      <c r="N408" s="143" t="str">
        <f t="shared" si="69"/>
        <v>2022</v>
      </c>
      <c r="O408" s="143" t="str">
        <f t="shared" si="70"/>
        <v>Aug</v>
      </c>
      <c r="P408" s="157" t="s">
        <v>165</v>
      </c>
      <c r="Q408" s="146" t="s">
        <v>17</v>
      </c>
      <c r="R408" s="157" t="s">
        <v>54</v>
      </c>
      <c r="S408" s="141" t="s">
        <v>20</v>
      </c>
      <c r="T408" s="204">
        <v>45187</v>
      </c>
      <c r="U408" s="145" t="str">
        <f t="shared" si="71"/>
        <v>2023</v>
      </c>
      <c r="V408" s="145" t="str">
        <f t="shared" si="72"/>
        <v>Sep</v>
      </c>
      <c r="W408" s="141">
        <f t="shared" ca="1" si="66"/>
        <v>315</v>
      </c>
      <c r="X408" s="157" t="s">
        <v>104</v>
      </c>
      <c r="Y408" s="157">
        <f t="shared" ca="1" si="73"/>
        <v>7560</v>
      </c>
      <c r="Z408" s="158">
        <v>75.600000000000009</v>
      </c>
      <c r="AA408" s="148">
        <v>11340.000000000002</v>
      </c>
      <c r="AB408" s="148">
        <f t="shared" si="74"/>
        <v>150</v>
      </c>
      <c r="AC408" s="204">
        <v>44754</v>
      </c>
      <c r="AD408" s="146" t="str">
        <f t="shared" si="75"/>
        <v>2022</v>
      </c>
      <c r="AE408" s="150" t="str">
        <f t="shared" si="76"/>
        <v>Jul</v>
      </c>
    </row>
    <row r="409" spans="2:31" x14ac:dyDescent="0.25">
      <c r="B409" s="152">
        <v>17</v>
      </c>
      <c r="C409" s="157" t="s">
        <v>83</v>
      </c>
      <c r="D409" s="154" t="s">
        <v>33</v>
      </c>
      <c r="E409" s="157" t="s">
        <v>115</v>
      </c>
      <c r="F409" s="141">
        <v>507</v>
      </c>
      <c r="G409" s="155" t="s">
        <v>127</v>
      </c>
      <c r="H409" s="204">
        <v>44748</v>
      </c>
      <c r="I409" s="143" t="str">
        <f t="shared" si="67"/>
        <v>2022</v>
      </c>
      <c r="J409" s="143" t="str">
        <f t="shared" si="68"/>
        <v>Jul</v>
      </c>
      <c r="K409" s="204">
        <v>44755</v>
      </c>
      <c r="L409" s="157" t="s">
        <v>156</v>
      </c>
      <c r="M409" s="204">
        <v>44784</v>
      </c>
      <c r="N409" s="143" t="str">
        <f t="shared" si="69"/>
        <v>2022</v>
      </c>
      <c r="O409" s="143" t="str">
        <f t="shared" si="70"/>
        <v>Aug</v>
      </c>
      <c r="P409" s="157" t="s">
        <v>164</v>
      </c>
      <c r="Q409" s="146" t="s">
        <v>17</v>
      </c>
      <c r="R409" s="157" t="s">
        <v>38</v>
      </c>
      <c r="S409" s="141" t="s">
        <v>20</v>
      </c>
      <c r="T409" s="204">
        <v>44818</v>
      </c>
      <c r="U409" s="145" t="str">
        <f t="shared" si="71"/>
        <v>2022</v>
      </c>
      <c r="V409" s="145" t="str">
        <f t="shared" si="72"/>
        <v>Sep</v>
      </c>
      <c r="W409" s="141">
        <f t="shared" ca="1" si="66"/>
        <v>51</v>
      </c>
      <c r="X409" s="157" t="s">
        <v>105</v>
      </c>
      <c r="Y409" s="157">
        <f t="shared" ca="1" si="73"/>
        <v>1224</v>
      </c>
      <c r="Z409" s="158">
        <v>24.48</v>
      </c>
      <c r="AA409" s="148">
        <v>3672</v>
      </c>
      <c r="AB409" s="148">
        <f t="shared" si="74"/>
        <v>150</v>
      </c>
      <c r="AC409" s="204">
        <v>44758</v>
      </c>
      <c r="AD409" s="146" t="str">
        <f t="shared" si="75"/>
        <v>2022</v>
      </c>
      <c r="AE409" s="150" t="str">
        <f t="shared" si="76"/>
        <v>Jul</v>
      </c>
    </row>
    <row r="410" spans="2:31" x14ac:dyDescent="0.25">
      <c r="B410" s="152">
        <v>18</v>
      </c>
      <c r="C410" s="157" t="s">
        <v>84</v>
      </c>
      <c r="D410" s="154" t="s">
        <v>89</v>
      </c>
      <c r="E410" s="157" t="s">
        <v>112</v>
      </c>
      <c r="F410" s="141">
        <v>508</v>
      </c>
      <c r="G410" s="155" t="s">
        <v>128</v>
      </c>
      <c r="H410" s="204">
        <v>44750</v>
      </c>
      <c r="I410" s="143" t="str">
        <f t="shared" si="67"/>
        <v>2022</v>
      </c>
      <c r="J410" s="143" t="str">
        <f t="shared" si="68"/>
        <v>Jul</v>
      </c>
      <c r="K410" s="204">
        <v>44764</v>
      </c>
      <c r="L410" s="157" t="s">
        <v>161</v>
      </c>
      <c r="M410" s="204">
        <v>44790</v>
      </c>
      <c r="N410" s="143" t="str">
        <f t="shared" si="69"/>
        <v>2022</v>
      </c>
      <c r="O410" s="143" t="str">
        <f t="shared" si="70"/>
        <v>Aug</v>
      </c>
      <c r="P410" s="157" t="s">
        <v>162</v>
      </c>
      <c r="Q410" s="146" t="s">
        <v>267</v>
      </c>
      <c r="R410" s="157" t="s">
        <v>40</v>
      </c>
      <c r="S410" s="141" t="s">
        <v>20</v>
      </c>
      <c r="T410" s="204">
        <v>45024</v>
      </c>
      <c r="U410" s="145" t="str">
        <f t="shared" si="71"/>
        <v>2023</v>
      </c>
      <c r="V410" s="145" t="str">
        <f t="shared" si="72"/>
        <v>Apr</v>
      </c>
      <c r="W410" s="141">
        <f t="shared" ca="1" si="66"/>
        <v>196</v>
      </c>
      <c r="X410" s="157" t="s">
        <v>106</v>
      </c>
      <c r="Y410" s="157">
        <f t="shared" ca="1" si="73"/>
        <v>4704</v>
      </c>
      <c r="Z410" s="158">
        <v>47.04</v>
      </c>
      <c r="AA410" s="148">
        <v>3528</v>
      </c>
      <c r="AB410" s="148">
        <f t="shared" si="74"/>
        <v>75</v>
      </c>
      <c r="AC410" s="204">
        <v>44767</v>
      </c>
      <c r="AD410" s="146" t="str">
        <f t="shared" si="75"/>
        <v>2022</v>
      </c>
      <c r="AE410" s="150" t="str">
        <f t="shared" si="76"/>
        <v>Jul</v>
      </c>
    </row>
    <row r="411" spans="2:31" x14ac:dyDescent="0.25">
      <c r="B411" s="152">
        <v>19</v>
      </c>
      <c r="C411" s="157" t="s">
        <v>85</v>
      </c>
      <c r="D411" s="154" t="s">
        <v>90</v>
      </c>
      <c r="E411" s="157" t="s">
        <v>113</v>
      </c>
      <c r="F411" s="141">
        <v>509</v>
      </c>
      <c r="G411" s="155" t="s">
        <v>129</v>
      </c>
      <c r="H411" s="204">
        <v>44750</v>
      </c>
      <c r="I411" s="143" t="str">
        <f t="shared" si="67"/>
        <v>2022</v>
      </c>
      <c r="J411" s="143" t="str">
        <f t="shared" si="68"/>
        <v>Jul</v>
      </c>
      <c r="K411" s="204">
        <v>44755</v>
      </c>
      <c r="L411" s="157" t="s">
        <v>157</v>
      </c>
      <c r="M411" s="204">
        <v>44793</v>
      </c>
      <c r="N411" s="143" t="str">
        <f t="shared" si="69"/>
        <v>2022</v>
      </c>
      <c r="O411" s="143" t="str">
        <f t="shared" si="70"/>
        <v>Aug</v>
      </c>
      <c r="P411" s="157" t="s">
        <v>164</v>
      </c>
      <c r="Q411" s="146" t="s">
        <v>17</v>
      </c>
      <c r="R411" s="157" t="s">
        <v>34</v>
      </c>
      <c r="S411" s="141" t="s">
        <v>20</v>
      </c>
      <c r="T411" s="204">
        <v>45297</v>
      </c>
      <c r="U411" s="145" t="str">
        <f t="shared" si="71"/>
        <v>2024</v>
      </c>
      <c r="V411" s="145" t="str">
        <f t="shared" si="72"/>
        <v>Jan</v>
      </c>
      <c r="W411" s="141">
        <f t="shared" ca="1" si="66"/>
        <v>391</v>
      </c>
      <c r="X411" s="157" t="s">
        <v>107</v>
      </c>
      <c r="Y411" s="157">
        <f t="shared" ca="1" si="73"/>
        <v>9384</v>
      </c>
      <c r="Z411" s="158">
        <v>93.84</v>
      </c>
      <c r="AA411" s="148">
        <v>14076</v>
      </c>
      <c r="AB411" s="148">
        <f t="shared" si="74"/>
        <v>150</v>
      </c>
      <c r="AC411" s="204">
        <v>44758</v>
      </c>
      <c r="AD411" s="146" t="str">
        <f t="shared" si="75"/>
        <v>2022</v>
      </c>
      <c r="AE411" s="150" t="str">
        <f t="shared" si="76"/>
        <v>Jul</v>
      </c>
    </row>
    <row r="412" spans="2:31" x14ac:dyDescent="0.25">
      <c r="B412" s="152">
        <v>20</v>
      </c>
      <c r="C412" s="157" t="s">
        <v>86</v>
      </c>
      <c r="D412" s="154" t="s">
        <v>91</v>
      </c>
      <c r="E412" s="157" t="s">
        <v>114</v>
      </c>
      <c r="F412" s="141">
        <v>510</v>
      </c>
      <c r="G412" s="155" t="s">
        <v>144</v>
      </c>
      <c r="H412" s="204">
        <v>44751</v>
      </c>
      <c r="I412" s="143" t="str">
        <f t="shared" si="67"/>
        <v>2022</v>
      </c>
      <c r="J412" s="143" t="str">
        <f t="shared" si="68"/>
        <v>Jul</v>
      </c>
      <c r="K412" s="204">
        <v>44763</v>
      </c>
      <c r="L412" s="157" t="s">
        <v>159</v>
      </c>
      <c r="M412" s="204">
        <v>44799</v>
      </c>
      <c r="N412" s="143" t="str">
        <f t="shared" si="69"/>
        <v>2022</v>
      </c>
      <c r="O412" s="143" t="str">
        <f t="shared" si="70"/>
        <v>Aug</v>
      </c>
      <c r="P412" s="157" t="s">
        <v>165</v>
      </c>
      <c r="Q412" s="146" t="s">
        <v>17</v>
      </c>
      <c r="R412" s="157" t="s">
        <v>35</v>
      </c>
      <c r="S412" s="141" t="s">
        <v>20</v>
      </c>
      <c r="T412" s="204">
        <v>45269</v>
      </c>
      <c r="U412" s="145" t="str">
        <f t="shared" si="71"/>
        <v>2023</v>
      </c>
      <c r="V412" s="145" t="str">
        <f t="shared" si="72"/>
        <v>Dec</v>
      </c>
      <c r="W412" s="141">
        <f t="shared" ca="1" si="66"/>
        <v>370</v>
      </c>
      <c r="X412" s="157" t="s">
        <v>108</v>
      </c>
      <c r="Y412" s="157">
        <f t="shared" ca="1" si="73"/>
        <v>8880</v>
      </c>
      <c r="Z412" s="158">
        <v>177.6</v>
      </c>
      <c r="AA412" s="148">
        <v>26640</v>
      </c>
      <c r="AB412" s="148">
        <f t="shared" si="74"/>
        <v>150</v>
      </c>
      <c r="AC412" s="204">
        <v>44766</v>
      </c>
      <c r="AD412" s="146" t="str">
        <f t="shared" si="75"/>
        <v>2022</v>
      </c>
      <c r="AE412" s="150" t="str">
        <f t="shared" si="76"/>
        <v>Jul</v>
      </c>
    </row>
    <row r="413" spans="2:31" x14ac:dyDescent="0.25">
      <c r="B413" s="152">
        <v>21</v>
      </c>
      <c r="C413" s="157" t="s">
        <v>87</v>
      </c>
      <c r="D413" s="154" t="s">
        <v>92</v>
      </c>
      <c r="E413" s="157" t="s">
        <v>115</v>
      </c>
      <c r="F413" s="141">
        <v>511</v>
      </c>
      <c r="G413" s="155" t="s">
        <v>130</v>
      </c>
      <c r="H413" s="204">
        <v>44754</v>
      </c>
      <c r="I413" s="143" t="str">
        <f t="shared" si="67"/>
        <v>2022</v>
      </c>
      <c r="J413" s="143" t="str">
        <f t="shared" si="68"/>
        <v>Jul</v>
      </c>
      <c r="K413" s="204">
        <v>44766</v>
      </c>
      <c r="L413" s="151" t="s">
        <v>158</v>
      </c>
      <c r="M413" s="204">
        <v>44789</v>
      </c>
      <c r="N413" s="143" t="str">
        <f t="shared" si="69"/>
        <v>2022</v>
      </c>
      <c r="O413" s="143" t="str">
        <f t="shared" si="70"/>
        <v>Aug</v>
      </c>
      <c r="P413" s="157" t="s">
        <v>163</v>
      </c>
      <c r="Q413" s="146" t="s">
        <v>17</v>
      </c>
      <c r="R413" s="157" t="s">
        <v>36</v>
      </c>
      <c r="S413" s="157" t="s">
        <v>163</v>
      </c>
      <c r="T413" s="204" t="s">
        <v>274</v>
      </c>
      <c r="U413" s="145" t="str">
        <f t="shared" si="71"/>
        <v/>
      </c>
      <c r="V413" s="145" t="str">
        <f t="shared" si="72"/>
        <v/>
      </c>
      <c r="W413" s="141">
        <f t="shared" ca="1" si="66"/>
        <v>532</v>
      </c>
      <c r="X413" s="157" t="s">
        <v>109</v>
      </c>
      <c r="Y413" s="157">
        <f t="shared" ca="1" si="73"/>
        <v>12768</v>
      </c>
      <c r="Z413" s="158">
        <v>381.59999999999997</v>
      </c>
      <c r="AA413" s="148">
        <v>57239.999999999993</v>
      </c>
      <c r="AB413" s="148">
        <f t="shared" si="74"/>
        <v>150</v>
      </c>
      <c r="AC413" s="204"/>
      <c r="AD413" s="157" t="str">
        <f t="shared" si="75"/>
        <v/>
      </c>
      <c r="AE413" s="150" t="str">
        <f t="shared" si="76"/>
        <v/>
      </c>
    </row>
    <row r="414" spans="2:31" x14ac:dyDescent="0.25">
      <c r="B414" s="152">
        <v>22</v>
      </c>
      <c r="C414" s="157" t="s">
        <v>88</v>
      </c>
      <c r="D414" s="154" t="s">
        <v>39</v>
      </c>
      <c r="E414" s="157" t="s">
        <v>116</v>
      </c>
      <c r="F414" s="141">
        <v>512</v>
      </c>
      <c r="G414" s="155" t="s">
        <v>131</v>
      </c>
      <c r="H414" s="204">
        <v>44758</v>
      </c>
      <c r="I414" s="143" t="str">
        <f t="shared" si="67"/>
        <v>2022</v>
      </c>
      <c r="J414" s="143" t="str">
        <f t="shared" si="68"/>
        <v>Jul</v>
      </c>
      <c r="K414" s="204">
        <v>44760</v>
      </c>
      <c r="L414" s="157" t="s">
        <v>156</v>
      </c>
      <c r="M414" s="204">
        <v>44787</v>
      </c>
      <c r="N414" s="143" t="str">
        <f t="shared" si="69"/>
        <v>2022</v>
      </c>
      <c r="O414" s="143" t="str">
        <f t="shared" si="70"/>
        <v>Aug</v>
      </c>
      <c r="P414" s="157" t="s">
        <v>162</v>
      </c>
      <c r="Q414" s="146" t="s">
        <v>266</v>
      </c>
      <c r="R414" s="157" t="s">
        <v>37</v>
      </c>
      <c r="S414" s="141" t="s">
        <v>20</v>
      </c>
      <c r="T414" s="204">
        <v>45251</v>
      </c>
      <c r="U414" s="145" t="str">
        <f t="shared" si="71"/>
        <v>2023</v>
      </c>
      <c r="V414" s="145" t="str">
        <f t="shared" si="72"/>
        <v>Nov</v>
      </c>
      <c r="W414" s="141">
        <f t="shared" ca="1" si="66"/>
        <v>352</v>
      </c>
      <c r="X414" s="157" t="s">
        <v>110</v>
      </c>
      <c r="Y414" s="157">
        <f t="shared" ca="1" si="73"/>
        <v>8448</v>
      </c>
      <c r="Z414" s="158">
        <v>168.96</v>
      </c>
      <c r="AA414" s="148">
        <v>8448</v>
      </c>
      <c r="AB414" s="148">
        <f t="shared" si="74"/>
        <v>50</v>
      </c>
      <c r="AC414" s="204">
        <v>44763</v>
      </c>
      <c r="AD414" s="146" t="str">
        <f t="shared" si="75"/>
        <v>2022</v>
      </c>
      <c r="AE414" s="150" t="str">
        <f t="shared" si="76"/>
        <v>Jul</v>
      </c>
    </row>
    <row r="415" spans="2:31" x14ac:dyDescent="0.25">
      <c r="B415" s="152">
        <v>1</v>
      </c>
      <c r="C415" s="153" t="s">
        <v>7</v>
      </c>
      <c r="D415" s="154" t="s">
        <v>8</v>
      </c>
      <c r="E415" s="157" t="s">
        <v>111</v>
      </c>
      <c r="F415" s="141">
        <v>513</v>
      </c>
      <c r="G415" s="155" t="s">
        <v>132</v>
      </c>
      <c r="H415" s="204">
        <v>44766</v>
      </c>
      <c r="I415" s="143" t="str">
        <f t="shared" si="67"/>
        <v>2022</v>
      </c>
      <c r="J415" s="143" t="str">
        <f t="shared" si="68"/>
        <v>Jul</v>
      </c>
      <c r="K415" s="204">
        <v>44779</v>
      </c>
      <c r="L415" s="157" t="s">
        <v>159</v>
      </c>
      <c r="M415" s="204">
        <v>44821</v>
      </c>
      <c r="N415" s="143" t="str">
        <f t="shared" si="69"/>
        <v>2022</v>
      </c>
      <c r="O415" s="143" t="str">
        <f t="shared" si="70"/>
        <v>Sep</v>
      </c>
      <c r="P415" s="157" t="s">
        <v>165</v>
      </c>
      <c r="Q415" s="146" t="s">
        <v>17</v>
      </c>
      <c r="R415" s="157" t="s">
        <v>18</v>
      </c>
      <c r="S415" s="141" t="s">
        <v>20</v>
      </c>
      <c r="T415" s="204">
        <v>45167</v>
      </c>
      <c r="U415" s="145" t="str">
        <f t="shared" si="71"/>
        <v>2023</v>
      </c>
      <c r="V415" s="145" t="str">
        <f t="shared" si="72"/>
        <v>Aug</v>
      </c>
      <c r="W415" s="141">
        <f t="shared" ca="1" si="66"/>
        <v>287</v>
      </c>
      <c r="X415" s="157" t="s">
        <v>89</v>
      </c>
      <c r="Y415" s="157">
        <f t="shared" ca="1" si="73"/>
        <v>6888</v>
      </c>
      <c r="Z415" s="158">
        <v>68.88</v>
      </c>
      <c r="AA415" s="148">
        <v>10332</v>
      </c>
      <c r="AB415" s="148">
        <f t="shared" si="74"/>
        <v>150</v>
      </c>
      <c r="AC415" s="204">
        <v>44782</v>
      </c>
      <c r="AD415" s="146" t="str">
        <f t="shared" si="75"/>
        <v>2022</v>
      </c>
      <c r="AE415" s="150" t="str">
        <f t="shared" si="76"/>
        <v>Aug</v>
      </c>
    </row>
    <row r="416" spans="2:31" x14ac:dyDescent="0.25">
      <c r="B416" s="152">
        <v>2</v>
      </c>
      <c r="C416" s="153" t="s">
        <v>10</v>
      </c>
      <c r="D416" s="154" t="s">
        <v>11</v>
      </c>
      <c r="E416" s="157" t="s">
        <v>112</v>
      </c>
      <c r="F416" s="141">
        <v>514</v>
      </c>
      <c r="G416" s="155" t="s">
        <v>144</v>
      </c>
      <c r="H416" s="204">
        <v>44771</v>
      </c>
      <c r="I416" s="143" t="str">
        <f t="shared" si="67"/>
        <v>2022</v>
      </c>
      <c r="J416" s="143" t="str">
        <f t="shared" si="68"/>
        <v>Jul</v>
      </c>
      <c r="K416" s="204">
        <v>44782</v>
      </c>
      <c r="L416" s="157" t="s">
        <v>159</v>
      </c>
      <c r="M416" s="204">
        <v>44817</v>
      </c>
      <c r="N416" s="143" t="str">
        <f t="shared" si="69"/>
        <v>2022</v>
      </c>
      <c r="O416" s="143" t="str">
        <f t="shared" si="70"/>
        <v>Sep</v>
      </c>
      <c r="P416" s="157" t="s">
        <v>162</v>
      </c>
      <c r="Q416" s="146" t="s">
        <v>17</v>
      </c>
      <c r="R416" s="157" t="s">
        <v>19</v>
      </c>
      <c r="S416" s="141" t="s">
        <v>20</v>
      </c>
      <c r="T416" s="204">
        <v>44843</v>
      </c>
      <c r="U416" s="145" t="str">
        <f t="shared" si="71"/>
        <v>2022</v>
      </c>
      <c r="V416" s="145" t="str">
        <f t="shared" si="72"/>
        <v>Oct</v>
      </c>
      <c r="W416" s="141">
        <f t="shared" ca="1" si="66"/>
        <v>51</v>
      </c>
      <c r="X416" s="157" t="s">
        <v>90</v>
      </c>
      <c r="Y416" s="157">
        <f t="shared" ca="1" si="73"/>
        <v>1224</v>
      </c>
      <c r="Z416" s="158">
        <v>36.72</v>
      </c>
      <c r="AA416" s="148">
        <v>5508</v>
      </c>
      <c r="AB416" s="148">
        <f t="shared" si="74"/>
        <v>150</v>
      </c>
      <c r="AC416" s="204">
        <v>44785</v>
      </c>
      <c r="AD416" s="146" t="str">
        <f t="shared" si="75"/>
        <v>2022</v>
      </c>
      <c r="AE416" s="150" t="str">
        <f t="shared" si="76"/>
        <v>Aug</v>
      </c>
    </row>
    <row r="417" spans="2:31" x14ac:dyDescent="0.25">
      <c r="B417" s="152">
        <v>3</v>
      </c>
      <c r="C417" s="157" t="s">
        <v>69</v>
      </c>
      <c r="D417" s="154" t="s">
        <v>62</v>
      </c>
      <c r="E417" s="157" t="s">
        <v>113</v>
      </c>
      <c r="F417" s="141">
        <v>515</v>
      </c>
      <c r="G417" s="155" t="s">
        <v>133</v>
      </c>
      <c r="H417" s="204">
        <v>44773</v>
      </c>
      <c r="I417" s="143" t="str">
        <f t="shared" si="67"/>
        <v>2022</v>
      </c>
      <c r="J417" s="143" t="str">
        <f t="shared" si="68"/>
        <v>Jul</v>
      </c>
      <c r="K417" s="204">
        <v>44777</v>
      </c>
      <c r="L417" s="157" t="s">
        <v>157</v>
      </c>
      <c r="M417" s="204">
        <v>44814</v>
      </c>
      <c r="N417" s="143" t="str">
        <f t="shared" si="69"/>
        <v>2022</v>
      </c>
      <c r="O417" s="143" t="str">
        <f t="shared" si="70"/>
        <v>Sep</v>
      </c>
      <c r="P417" s="157" t="s">
        <v>164</v>
      </c>
      <c r="Q417" s="146" t="s">
        <v>268</v>
      </c>
      <c r="R417" s="157" t="s">
        <v>41</v>
      </c>
      <c r="S417" s="141" t="s">
        <v>20</v>
      </c>
      <c r="T417" s="204">
        <v>45222</v>
      </c>
      <c r="U417" s="145" t="str">
        <f t="shared" si="71"/>
        <v>2023</v>
      </c>
      <c r="V417" s="145" t="str">
        <f t="shared" si="72"/>
        <v>Oct</v>
      </c>
      <c r="W417" s="141">
        <f t="shared" ca="1" si="66"/>
        <v>321</v>
      </c>
      <c r="X417" s="157" t="s">
        <v>91</v>
      </c>
      <c r="Y417" s="157">
        <f t="shared" ca="1" si="73"/>
        <v>7704</v>
      </c>
      <c r="Z417" s="158">
        <v>154.08000000000001</v>
      </c>
      <c r="AA417" s="148">
        <v>18489.600000000002</v>
      </c>
      <c r="AB417" s="148">
        <f t="shared" si="74"/>
        <v>120</v>
      </c>
      <c r="AC417" s="204">
        <v>44780</v>
      </c>
      <c r="AD417" s="146" t="str">
        <f t="shared" si="75"/>
        <v>2022</v>
      </c>
      <c r="AE417" s="150" t="str">
        <f t="shared" si="76"/>
        <v>Aug</v>
      </c>
    </row>
    <row r="418" spans="2:31" x14ac:dyDescent="0.25">
      <c r="B418" s="152">
        <v>4</v>
      </c>
      <c r="C418" s="157" t="s">
        <v>70</v>
      </c>
      <c r="D418" s="154" t="s">
        <v>63</v>
      </c>
      <c r="E418" s="157" t="s">
        <v>114</v>
      </c>
      <c r="F418" s="141">
        <v>516</v>
      </c>
      <c r="G418" s="155" t="s">
        <v>134</v>
      </c>
      <c r="H418" s="204">
        <v>44774</v>
      </c>
      <c r="I418" s="143" t="str">
        <f t="shared" si="67"/>
        <v>2022</v>
      </c>
      <c r="J418" s="143" t="str">
        <f t="shared" si="68"/>
        <v>Aug</v>
      </c>
      <c r="K418" s="204">
        <v>44784</v>
      </c>
      <c r="L418" s="157" t="s">
        <v>160</v>
      </c>
      <c r="M418" s="204">
        <v>44824</v>
      </c>
      <c r="N418" s="143" t="str">
        <f t="shared" si="69"/>
        <v>2022</v>
      </c>
      <c r="O418" s="143" t="str">
        <f t="shared" si="70"/>
        <v>Sep</v>
      </c>
      <c r="P418" s="157" t="s">
        <v>162</v>
      </c>
      <c r="Q418" s="146" t="s">
        <v>17</v>
      </c>
      <c r="R418" s="157" t="s">
        <v>42</v>
      </c>
      <c r="S418" s="141" t="s">
        <v>20</v>
      </c>
      <c r="T418" s="204">
        <v>45098</v>
      </c>
      <c r="U418" s="145" t="str">
        <f t="shared" si="71"/>
        <v>2023</v>
      </c>
      <c r="V418" s="145" t="str">
        <f t="shared" si="72"/>
        <v>Jun</v>
      </c>
      <c r="W418" s="141">
        <f t="shared" ca="1" si="66"/>
        <v>233</v>
      </c>
      <c r="X418" s="157" t="s">
        <v>92</v>
      </c>
      <c r="Y418" s="157">
        <f t="shared" ca="1" si="73"/>
        <v>5592</v>
      </c>
      <c r="Z418" s="158">
        <v>111.84</v>
      </c>
      <c r="AA418" s="148">
        <v>16776</v>
      </c>
      <c r="AB418" s="148">
        <f t="shared" si="74"/>
        <v>150</v>
      </c>
      <c r="AC418" s="204">
        <v>44787</v>
      </c>
      <c r="AD418" s="146" t="str">
        <f t="shared" si="75"/>
        <v>2022</v>
      </c>
      <c r="AE418" s="150" t="str">
        <f t="shared" si="76"/>
        <v>Aug</v>
      </c>
    </row>
    <row r="419" spans="2:31" x14ac:dyDescent="0.25">
      <c r="B419" s="152">
        <v>5</v>
      </c>
      <c r="C419" s="157" t="s">
        <v>71</v>
      </c>
      <c r="D419" s="154" t="s">
        <v>64</v>
      </c>
      <c r="E419" s="157" t="s">
        <v>115</v>
      </c>
      <c r="F419" s="141">
        <v>517</v>
      </c>
      <c r="G419" s="155" t="s">
        <v>144</v>
      </c>
      <c r="H419" s="204">
        <v>44782</v>
      </c>
      <c r="I419" s="143" t="str">
        <f t="shared" si="67"/>
        <v>2022</v>
      </c>
      <c r="J419" s="143" t="str">
        <f t="shared" si="68"/>
        <v>Aug</v>
      </c>
      <c r="K419" s="204">
        <v>44786</v>
      </c>
      <c r="L419" s="157" t="s">
        <v>160</v>
      </c>
      <c r="M419" s="204">
        <v>44833</v>
      </c>
      <c r="N419" s="143" t="str">
        <f t="shared" si="69"/>
        <v>2022</v>
      </c>
      <c r="O419" s="143" t="str">
        <f t="shared" si="70"/>
        <v>Sep</v>
      </c>
      <c r="P419" s="157" t="s">
        <v>162</v>
      </c>
      <c r="Q419" s="146" t="s">
        <v>17</v>
      </c>
      <c r="R419" s="157" t="s">
        <v>43</v>
      </c>
      <c r="S419" s="141" t="s">
        <v>20</v>
      </c>
      <c r="T419" s="204">
        <v>44822</v>
      </c>
      <c r="U419" s="145" t="str">
        <f t="shared" si="71"/>
        <v>2022</v>
      </c>
      <c r="V419" s="145" t="str">
        <f t="shared" si="72"/>
        <v>Sep</v>
      </c>
      <c r="W419" s="141">
        <f t="shared" ca="1" si="66"/>
        <v>29</v>
      </c>
      <c r="X419" s="157" t="s">
        <v>93</v>
      </c>
      <c r="Y419" s="157">
        <f t="shared" ca="1" si="73"/>
        <v>696</v>
      </c>
      <c r="Z419" s="158">
        <v>13.92</v>
      </c>
      <c r="AA419" s="148">
        <v>2088</v>
      </c>
      <c r="AB419" s="148">
        <f t="shared" si="74"/>
        <v>150</v>
      </c>
      <c r="AC419" s="204">
        <v>44789</v>
      </c>
      <c r="AD419" s="146" t="str">
        <f t="shared" si="75"/>
        <v>2022</v>
      </c>
      <c r="AE419" s="150" t="str">
        <f t="shared" si="76"/>
        <v>Aug</v>
      </c>
    </row>
    <row r="420" spans="2:31" x14ac:dyDescent="0.25">
      <c r="B420" s="152">
        <v>6</v>
      </c>
      <c r="C420" s="157" t="s">
        <v>72</v>
      </c>
      <c r="D420" s="154" t="s">
        <v>65</v>
      </c>
      <c r="E420" s="157" t="s">
        <v>116</v>
      </c>
      <c r="F420" s="141">
        <v>518</v>
      </c>
      <c r="G420" s="155" t="s">
        <v>135</v>
      </c>
      <c r="H420" s="204">
        <v>44782</v>
      </c>
      <c r="I420" s="143" t="str">
        <f t="shared" si="67"/>
        <v>2022</v>
      </c>
      <c r="J420" s="143" t="str">
        <f t="shared" si="68"/>
        <v>Aug</v>
      </c>
      <c r="K420" s="204">
        <v>44795</v>
      </c>
      <c r="L420" s="157" t="s">
        <v>157</v>
      </c>
      <c r="M420" s="204">
        <v>44810</v>
      </c>
      <c r="N420" s="143" t="str">
        <f t="shared" si="69"/>
        <v>2022</v>
      </c>
      <c r="O420" s="143" t="str">
        <f t="shared" si="70"/>
        <v>Sep</v>
      </c>
      <c r="P420" s="157" t="s">
        <v>162</v>
      </c>
      <c r="Q420" s="146" t="s">
        <v>269</v>
      </c>
      <c r="R420" s="157" t="s">
        <v>44</v>
      </c>
      <c r="S420" s="141" t="s">
        <v>20</v>
      </c>
      <c r="T420" s="204">
        <v>44994</v>
      </c>
      <c r="U420" s="145" t="str">
        <f t="shared" si="71"/>
        <v>2023</v>
      </c>
      <c r="V420" s="145" t="str">
        <f t="shared" si="72"/>
        <v>Mar</v>
      </c>
      <c r="W420" s="141">
        <f t="shared" ca="1" si="66"/>
        <v>153</v>
      </c>
      <c r="X420" s="157" t="s">
        <v>94</v>
      </c>
      <c r="Y420" s="157">
        <f t="shared" ca="1" si="73"/>
        <v>3672</v>
      </c>
      <c r="Z420" s="158">
        <v>110.16</v>
      </c>
      <c r="AA420" s="148">
        <v>5508</v>
      </c>
      <c r="AB420" s="148">
        <f t="shared" si="74"/>
        <v>50</v>
      </c>
      <c r="AC420" s="204">
        <v>44798</v>
      </c>
      <c r="AD420" s="146" t="str">
        <f t="shared" si="75"/>
        <v>2022</v>
      </c>
      <c r="AE420" s="150" t="str">
        <f t="shared" si="76"/>
        <v>Aug</v>
      </c>
    </row>
    <row r="421" spans="2:31" x14ac:dyDescent="0.25">
      <c r="B421" s="152">
        <v>7</v>
      </c>
      <c r="C421" s="157" t="s">
        <v>73</v>
      </c>
      <c r="D421" s="154" t="s">
        <v>66</v>
      </c>
      <c r="E421" s="157" t="s">
        <v>117</v>
      </c>
      <c r="F421" s="141">
        <v>519</v>
      </c>
      <c r="G421" s="155" t="s">
        <v>136</v>
      </c>
      <c r="H421" s="204">
        <v>44787</v>
      </c>
      <c r="I421" s="143" t="str">
        <f t="shared" si="67"/>
        <v>2022</v>
      </c>
      <c r="J421" s="143" t="str">
        <f t="shared" si="68"/>
        <v>Aug</v>
      </c>
      <c r="K421" s="204">
        <v>44789</v>
      </c>
      <c r="L421" s="157" t="s">
        <v>160</v>
      </c>
      <c r="M421" s="204">
        <v>44821</v>
      </c>
      <c r="N421" s="143" t="str">
        <f t="shared" si="69"/>
        <v>2022</v>
      </c>
      <c r="O421" s="143" t="str">
        <f t="shared" si="70"/>
        <v>Sep</v>
      </c>
      <c r="P421" s="157" t="s">
        <v>164</v>
      </c>
      <c r="Q421" s="146" t="s">
        <v>17</v>
      </c>
      <c r="R421" s="157" t="s">
        <v>45</v>
      </c>
      <c r="S421" s="141" t="s">
        <v>20</v>
      </c>
      <c r="T421" s="204">
        <v>45198</v>
      </c>
      <c r="U421" s="145" t="str">
        <f t="shared" si="71"/>
        <v>2023</v>
      </c>
      <c r="V421" s="145" t="str">
        <f t="shared" si="72"/>
        <v>Sep</v>
      </c>
      <c r="W421" s="141">
        <f t="shared" ca="1" si="66"/>
        <v>295</v>
      </c>
      <c r="X421" s="157" t="s">
        <v>95</v>
      </c>
      <c r="Y421" s="157">
        <f t="shared" ca="1" si="73"/>
        <v>7080</v>
      </c>
      <c r="Z421" s="158">
        <v>141.6</v>
      </c>
      <c r="AA421" s="148">
        <v>21240</v>
      </c>
      <c r="AB421" s="148">
        <f t="shared" si="74"/>
        <v>150</v>
      </c>
      <c r="AC421" s="204">
        <v>44792</v>
      </c>
      <c r="AD421" s="146" t="str">
        <f t="shared" si="75"/>
        <v>2022</v>
      </c>
      <c r="AE421" s="150" t="str">
        <f t="shared" si="76"/>
        <v>Aug</v>
      </c>
    </row>
    <row r="422" spans="2:31" x14ac:dyDescent="0.25">
      <c r="B422" s="152">
        <v>21</v>
      </c>
      <c r="C422" s="157" t="s">
        <v>87</v>
      </c>
      <c r="D422" s="154" t="s">
        <v>92</v>
      </c>
      <c r="E422" s="157" t="s">
        <v>115</v>
      </c>
      <c r="F422" s="141">
        <v>520</v>
      </c>
      <c r="G422" s="155" t="s">
        <v>137</v>
      </c>
      <c r="H422" s="204">
        <v>44788</v>
      </c>
      <c r="I422" s="143" t="str">
        <f t="shared" si="67"/>
        <v>2022</v>
      </c>
      <c r="J422" s="143" t="str">
        <f t="shared" si="68"/>
        <v>Aug</v>
      </c>
      <c r="K422" s="204">
        <v>44793</v>
      </c>
      <c r="L422" s="151" t="s">
        <v>161</v>
      </c>
      <c r="M422" s="204">
        <v>44838</v>
      </c>
      <c r="N422" s="143" t="str">
        <f t="shared" si="69"/>
        <v>2022</v>
      </c>
      <c r="O422" s="143" t="str">
        <f t="shared" si="70"/>
        <v>Oct</v>
      </c>
      <c r="P422" s="157" t="s">
        <v>167</v>
      </c>
      <c r="Q422" s="146" t="s">
        <v>29</v>
      </c>
      <c r="R422" s="157" t="s">
        <v>36</v>
      </c>
      <c r="S422" s="141" t="s">
        <v>167</v>
      </c>
      <c r="T422" s="204" t="s">
        <v>274</v>
      </c>
      <c r="U422" s="145" t="str">
        <f t="shared" si="71"/>
        <v/>
      </c>
      <c r="V422" s="145" t="str">
        <f t="shared" si="72"/>
        <v/>
      </c>
      <c r="W422" s="141">
        <f t="shared" ca="1" si="66"/>
        <v>508</v>
      </c>
      <c r="X422" s="157" t="s">
        <v>109</v>
      </c>
      <c r="Y422" s="157">
        <f t="shared" ca="1" si="73"/>
        <v>12192</v>
      </c>
      <c r="Z422" s="158">
        <v>121.44</v>
      </c>
      <c r="AA422" s="148">
        <v>3643.2</v>
      </c>
      <c r="AB422" s="148">
        <f t="shared" si="74"/>
        <v>30</v>
      </c>
      <c r="AC422" s="204"/>
      <c r="AD422" s="157" t="str">
        <f t="shared" si="75"/>
        <v/>
      </c>
      <c r="AE422" s="150" t="str">
        <f t="shared" si="76"/>
        <v/>
      </c>
    </row>
    <row r="423" spans="2:31" x14ac:dyDescent="0.25">
      <c r="B423" s="152">
        <v>22</v>
      </c>
      <c r="C423" s="157" t="s">
        <v>88</v>
      </c>
      <c r="D423" s="154" t="s">
        <v>39</v>
      </c>
      <c r="E423" s="157" t="s">
        <v>116</v>
      </c>
      <c r="F423" s="141">
        <v>521</v>
      </c>
      <c r="G423" s="155" t="s">
        <v>138</v>
      </c>
      <c r="H423" s="204">
        <v>44789</v>
      </c>
      <c r="I423" s="143" t="str">
        <f t="shared" si="67"/>
        <v>2022</v>
      </c>
      <c r="J423" s="143" t="str">
        <f t="shared" si="68"/>
        <v>Aug</v>
      </c>
      <c r="K423" s="204">
        <v>44802</v>
      </c>
      <c r="L423" s="157" t="s">
        <v>161</v>
      </c>
      <c r="M423" s="204">
        <v>44828</v>
      </c>
      <c r="N423" s="143" t="str">
        <f t="shared" si="69"/>
        <v>2022</v>
      </c>
      <c r="O423" s="143" t="str">
        <f t="shared" si="70"/>
        <v>Sep</v>
      </c>
      <c r="P423" s="157" t="s">
        <v>162</v>
      </c>
      <c r="Q423" s="146" t="s">
        <v>270</v>
      </c>
      <c r="R423" s="157" t="s">
        <v>37</v>
      </c>
      <c r="S423" s="141" t="s">
        <v>20</v>
      </c>
      <c r="T423" s="204">
        <v>44891</v>
      </c>
      <c r="U423" s="145" t="str">
        <f t="shared" si="71"/>
        <v>2022</v>
      </c>
      <c r="V423" s="145" t="str">
        <f t="shared" si="72"/>
        <v>Nov</v>
      </c>
      <c r="W423" s="141">
        <f t="shared" ca="1" si="66"/>
        <v>74</v>
      </c>
      <c r="X423" s="157" t="s">
        <v>110</v>
      </c>
      <c r="Y423" s="157">
        <f t="shared" ca="1" si="73"/>
        <v>1776</v>
      </c>
      <c r="Z423" s="158">
        <v>53.28</v>
      </c>
      <c r="AA423" s="148">
        <v>1598.4</v>
      </c>
      <c r="AB423" s="148">
        <f t="shared" si="74"/>
        <v>30</v>
      </c>
      <c r="AC423" s="204">
        <v>44805</v>
      </c>
      <c r="AD423" s="146" t="str">
        <f t="shared" si="75"/>
        <v>2022</v>
      </c>
      <c r="AE423" s="150" t="str">
        <f t="shared" si="76"/>
        <v>Sep</v>
      </c>
    </row>
    <row r="424" spans="2:31" x14ac:dyDescent="0.25">
      <c r="B424" s="152">
        <v>1</v>
      </c>
      <c r="C424" s="153" t="s">
        <v>7</v>
      </c>
      <c r="D424" s="154" t="s">
        <v>8</v>
      </c>
      <c r="E424" s="157" t="s">
        <v>111</v>
      </c>
      <c r="F424" s="141">
        <v>522</v>
      </c>
      <c r="G424" s="155" t="s">
        <v>139</v>
      </c>
      <c r="H424" s="204">
        <v>44797</v>
      </c>
      <c r="I424" s="143" t="str">
        <f t="shared" si="67"/>
        <v>2022</v>
      </c>
      <c r="J424" s="143" t="str">
        <f t="shared" si="68"/>
        <v>Aug</v>
      </c>
      <c r="K424" s="204">
        <v>44811</v>
      </c>
      <c r="L424" s="157" t="s">
        <v>158</v>
      </c>
      <c r="M424" s="204">
        <v>44845</v>
      </c>
      <c r="N424" s="143" t="str">
        <f t="shared" si="69"/>
        <v>2022</v>
      </c>
      <c r="O424" s="143" t="str">
        <f t="shared" si="70"/>
        <v>Oct</v>
      </c>
      <c r="P424" s="157" t="s">
        <v>164</v>
      </c>
      <c r="Q424" s="146" t="s">
        <v>271</v>
      </c>
      <c r="R424" s="157" t="s">
        <v>18</v>
      </c>
      <c r="S424" s="141" t="s">
        <v>20</v>
      </c>
      <c r="T424" s="204">
        <v>44938</v>
      </c>
      <c r="U424" s="145" t="str">
        <f t="shared" si="71"/>
        <v>2023</v>
      </c>
      <c r="V424" s="145" t="str">
        <f t="shared" si="72"/>
        <v>Jan</v>
      </c>
      <c r="W424" s="141">
        <f t="shared" ca="1" si="66"/>
        <v>102</v>
      </c>
      <c r="X424" s="157" t="s">
        <v>89</v>
      </c>
      <c r="Y424" s="157">
        <f t="shared" ca="1" si="73"/>
        <v>2448</v>
      </c>
      <c r="Z424" s="158">
        <v>73.44</v>
      </c>
      <c r="AA424" s="148">
        <v>4406.3999999999996</v>
      </c>
      <c r="AB424" s="148">
        <f t="shared" si="74"/>
        <v>60</v>
      </c>
      <c r="AC424" s="204">
        <v>44814</v>
      </c>
      <c r="AD424" s="146" t="str">
        <f t="shared" si="75"/>
        <v>2022</v>
      </c>
      <c r="AE424" s="150" t="str">
        <f t="shared" si="76"/>
        <v>Sep</v>
      </c>
    </row>
    <row r="425" spans="2:31" x14ac:dyDescent="0.25">
      <c r="B425" s="152">
        <v>2</v>
      </c>
      <c r="C425" s="153" t="s">
        <v>10</v>
      </c>
      <c r="D425" s="154" t="s">
        <v>11</v>
      </c>
      <c r="E425" s="157" t="s">
        <v>112</v>
      </c>
      <c r="F425" s="141">
        <v>523</v>
      </c>
      <c r="G425" s="155" t="s">
        <v>140</v>
      </c>
      <c r="H425" s="204">
        <v>44802</v>
      </c>
      <c r="I425" s="143" t="str">
        <f t="shared" si="67"/>
        <v>2022</v>
      </c>
      <c r="J425" s="143" t="str">
        <f t="shared" si="68"/>
        <v>Aug</v>
      </c>
      <c r="K425" s="204">
        <v>44814</v>
      </c>
      <c r="L425" s="157" t="s">
        <v>156</v>
      </c>
      <c r="M425" s="204">
        <v>44854</v>
      </c>
      <c r="N425" s="143" t="str">
        <f t="shared" si="69"/>
        <v>2022</v>
      </c>
      <c r="O425" s="143" t="str">
        <f t="shared" si="70"/>
        <v>Oct</v>
      </c>
      <c r="P425" s="157" t="s">
        <v>162</v>
      </c>
      <c r="Q425" s="146" t="s">
        <v>266</v>
      </c>
      <c r="R425" s="157" t="s">
        <v>19</v>
      </c>
      <c r="S425" s="141" t="s">
        <v>20</v>
      </c>
      <c r="T425" s="204">
        <v>45142</v>
      </c>
      <c r="U425" s="145" t="str">
        <f t="shared" si="71"/>
        <v>2023</v>
      </c>
      <c r="V425" s="145" t="str">
        <f t="shared" si="72"/>
        <v>Aug</v>
      </c>
      <c r="W425" s="141">
        <f t="shared" ca="1" si="66"/>
        <v>245</v>
      </c>
      <c r="X425" s="157" t="s">
        <v>90</v>
      </c>
      <c r="Y425" s="157">
        <f t="shared" ca="1" si="73"/>
        <v>5880</v>
      </c>
      <c r="Z425" s="158">
        <v>58.800000000000004</v>
      </c>
      <c r="AA425" s="148">
        <v>2940</v>
      </c>
      <c r="AB425" s="148">
        <f t="shared" si="74"/>
        <v>49.999999999999993</v>
      </c>
      <c r="AC425" s="204">
        <v>44817</v>
      </c>
      <c r="AD425" s="146" t="str">
        <f t="shared" si="75"/>
        <v>2022</v>
      </c>
      <c r="AE425" s="150" t="str">
        <f t="shared" si="76"/>
        <v>Sep</v>
      </c>
    </row>
    <row r="426" spans="2:31" x14ac:dyDescent="0.25">
      <c r="B426" s="152">
        <v>3</v>
      </c>
      <c r="C426" s="157" t="s">
        <v>69</v>
      </c>
      <c r="D426" s="154" t="s">
        <v>62</v>
      </c>
      <c r="E426" s="157" t="s">
        <v>113</v>
      </c>
      <c r="F426" s="141">
        <v>524</v>
      </c>
      <c r="G426" s="155" t="s">
        <v>141</v>
      </c>
      <c r="H426" s="204">
        <v>44804</v>
      </c>
      <c r="I426" s="143" t="str">
        <f t="shared" si="67"/>
        <v>2022</v>
      </c>
      <c r="J426" s="143" t="str">
        <f t="shared" si="68"/>
        <v>Aug</v>
      </c>
      <c r="K426" s="204">
        <v>44814</v>
      </c>
      <c r="L426" s="157" t="s">
        <v>159</v>
      </c>
      <c r="M426" s="204">
        <v>44858</v>
      </c>
      <c r="N426" s="143" t="str">
        <f t="shared" si="69"/>
        <v>2022</v>
      </c>
      <c r="O426" s="143" t="str">
        <f t="shared" si="70"/>
        <v>Oct</v>
      </c>
      <c r="P426" s="157" t="s">
        <v>162</v>
      </c>
      <c r="Q426" s="146" t="s">
        <v>17</v>
      </c>
      <c r="R426" s="157" t="s">
        <v>41</v>
      </c>
      <c r="S426" s="141" t="s">
        <v>20</v>
      </c>
      <c r="T426" s="204">
        <v>45023</v>
      </c>
      <c r="U426" s="145" t="str">
        <f t="shared" si="71"/>
        <v>2023</v>
      </c>
      <c r="V426" s="145" t="str">
        <f t="shared" si="72"/>
        <v>Apr</v>
      </c>
      <c r="W426" s="141">
        <f t="shared" ca="1" si="66"/>
        <v>158</v>
      </c>
      <c r="X426" s="157" t="s">
        <v>91</v>
      </c>
      <c r="Y426" s="157">
        <f t="shared" ca="1" si="73"/>
        <v>3792</v>
      </c>
      <c r="Z426" s="158">
        <v>75.84</v>
      </c>
      <c r="AA426" s="148">
        <v>11376</v>
      </c>
      <c r="AB426" s="148">
        <f t="shared" si="74"/>
        <v>150</v>
      </c>
      <c r="AC426" s="204">
        <v>44817</v>
      </c>
      <c r="AD426" s="146" t="str">
        <f t="shared" si="75"/>
        <v>2022</v>
      </c>
      <c r="AE426" s="150" t="str">
        <f t="shared" si="76"/>
        <v>Sep</v>
      </c>
    </row>
    <row r="427" spans="2:31" x14ac:dyDescent="0.25">
      <c r="B427" s="152">
        <v>4</v>
      </c>
      <c r="C427" s="157" t="s">
        <v>70</v>
      </c>
      <c r="D427" s="154" t="s">
        <v>63</v>
      </c>
      <c r="E427" s="157" t="s">
        <v>114</v>
      </c>
      <c r="F427" s="141">
        <v>525</v>
      </c>
      <c r="G427" s="155" t="s">
        <v>142</v>
      </c>
      <c r="H427" s="204">
        <v>44804</v>
      </c>
      <c r="I427" s="143" t="str">
        <f t="shared" si="67"/>
        <v>2022</v>
      </c>
      <c r="J427" s="143" t="str">
        <f t="shared" si="68"/>
        <v>Aug</v>
      </c>
      <c r="K427" s="204">
        <v>44810</v>
      </c>
      <c r="L427" s="157" t="s">
        <v>159</v>
      </c>
      <c r="M427" s="204">
        <v>44858</v>
      </c>
      <c r="N427" s="143" t="str">
        <f t="shared" si="69"/>
        <v>2022</v>
      </c>
      <c r="O427" s="143" t="str">
        <f t="shared" si="70"/>
        <v>Oct</v>
      </c>
      <c r="P427" s="157" t="s">
        <v>162</v>
      </c>
      <c r="Q427" s="146" t="s">
        <v>266</v>
      </c>
      <c r="R427" s="157" t="s">
        <v>42</v>
      </c>
      <c r="S427" s="141" t="s">
        <v>20</v>
      </c>
      <c r="T427" s="204">
        <v>44852</v>
      </c>
      <c r="U427" s="145" t="str">
        <f t="shared" si="71"/>
        <v>2022</v>
      </c>
      <c r="V427" s="145" t="str">
        <f t="shared" si="72"/>
        <v>Oct</v>
      </c>
      <c r="W427" s="141">
        <f t="shared" ca="1" si="66"/>
        <v>35</v>
      </c>
      <c r="X427" s="157" t="s">
        <v>92</v>
      </c>
      <c r="Y427" s="157">
        <f t="shared" ca="1" si="73"/>
        <v>840</v>
      </c>
      <c r="Z427" s="158">
        <v>25.2</v>
      </c>
      <c r="AA427" s="148">
        <v>1260</v>
      </c>
      <c r="AB427" s="148">
        <f t="shared" si="74"/>
        <v>50</v>
      </c>
      <c r="AC427" s="204">
        <v>44813</v>
      </c>
      <c r="AD427" s="146" t="str">
        <f t="shared" si="75"/>
        <v>2022</v>
      </c>
      <c r="AE427" s="150" t="str">
        <f t="shared" si="76"/>
        <v>Sep</v>
      </c>
    </row>
    <row r="428" spans="2:31" x14ac:dyDescent="0.25">
      <c r="B428" s="152">
        <v>5</v>
      </c>
      <c r="C428" s="157" t="s">
        <v>71</v>
      </c>
      <c r="D428" s="154" t="s">
        <v>64</v>
      </c>
      <c r="E428" s="157" t="s">
        <v>115</v>
      </c>
      <c r="F428" s="141">
        <v>526</v>
      </c>
      <c r="G428" s="155" t="s">
        <v>143</v>
      </c>
      <c r="H428" s="204">
        <v>44805</v>
      </c>
      <c r="I428" s="143" t="str">
        <f t="shared" si="67"/>
        <v>2022</v>
      </c>
      <c r="J428" s="143" t="str">
        <f t="shared" si="68"/>
        <v>Sep</v>
      </c>
      <c r="K428" s="204">
        <v>44811</v>
      </c>
      <c r="L428" s="157" t="s">
        <v>157</v>
      </c>
      <c r="M428" s="204">
        <v>44847</v>
      </c>
      <c r="N428" s="143" t="str">
        <f t="shared" si="69"/>
        <v>2022</v>
      </c>
      <c r="O428" s="143" t="str">
        <f t="shared" si="70"/>
        <v>Oct</v>
      </c>
      <c r="P428" s="157" t="s">
        <v>164</v>
      </c>
      <c r="Q428" s="146" t="s">
        <v>266</v>
      </c>
      <c r="R428" s="157" t="s">
        <v>43</v>
      </c>
      <c r="S428" s="141" t="s">
        <v>20</v>
      </c>
      <c r="T428" s="204">
        <v>45194</v>
      </c>
      <c r="U428" s="145" t="str">
        <f t="shared" si="71"/>
        <v>2023</v>
      </c>
      <c r="V428" s="145" t="str">
        <f t="shared" si="72"/>
        <v>Sep</v>
      </c>
      <c r="W428" s="141">
        <f t="shared" ca="1" si="66"/>
        <v>278</v>
      </c>
      <c r="X428" s="157" t="s">
        <v>93</v>
      </c>
      <c r="Y428" s="157">
        <f t="shared" ca="1" si="73"/>
        <v>6672</v>
      </c>
      <c r="Z428" s="158">
        <v>200.16</v>
      </c>
      <c r="AA428" s="148">
        <v>10008</v>
      </c>
      <c r="AB428" s="148">
        <f t="shared" si="74"/>
        <v>50</v>
      </c>
      <c r="AC428" s="204">
        <v>44814</v>
      </c>
      <c r="AD428" s="146" t="str">
        <f t="shared" si="75"/>
        <v>2022</v>
      </c>
      <c r="AE428" s="150" t="str">
        <f t="shared" si="76"/>
        <v>Sep</v>
      </c>
    </row>
    <row r="429" spans="2:31" x14ac:dyDescent="0.25">
      <c r="B429" s="152">
        <v>6</v>
      </c>
      <c r="C429" s="157" t="s">
        <v>72</v>
      </c>
      <c r="D429" s="154" t="s">
        <v>65</v>
      </c>
      <c r="E429" s="157" t="s">
        <v>116</v>
      </c>
      <c r="F429" s="141">
        <v>527</v>
      </c>
      <c r="G429" s="155" t="s">
        <v>144</v>
      </c>
      <c r="H429" s="204">
        <v>44808</v>
      </c>
      <c r="I429" s="143" t="str">
        <f t="shared" si="67"/>
        <v>2022</v>
      </c>
      <c r="J429" s="143" t="str">
        <f t="shared" si="68"/>
        <v>Sep</v>
      </c>
      <c r="K429" s="204">
        <v>44812</v>
      </c>
      <c r="L429" s="157" t="s">
        <v>158</v>
      </c>
      <c r="M429" s="204">
        <v>44851</v>
      </c>
      <c r="N429" s="143" t="str">
        <f t="shared" si="69"/>
        <v>2022</v>
      </c>
      <c r="O429" s="143" t="str">
        <f t="shared" si="70"/>
        <v>Oct</v>
      </c>
      <c r="P429" s="157" t="s">
        <v>165</v>
      </c>
      <c r="Q429" s="146" t="s">
        <v>17</v>
      </c>
      <c r="R429" s="157" t="s">
        <v>44</v>
      </c>
      <c r="S429" s="141" t="s">
        <v>20</v>
      </c>
      <c r="T429" s="204">
        <v>45078</v>
      </c>
      <c r="U429" s="145" t="str">
        <f t="shared" si="71"/>
        <v>2023</v>
      </c>
      <c r="V429" s="145" t="str">
        <f t="shared" si="72"/>
        <v>Jun</v>
      </c>
      <c r="W429" s="141">
        <f t="shared" ca="1" si="66"/>
        <v>194</v>
      </c>
      <c r="X429" s="157" t="s">
        <v>94</v>
      </c>
      <c r="Y429" s="157">
        <f t="shared" ca="1" si="73"/>
        <v>4656</v>
      </c>
      <c r="Z429" s="158">
        <v>139.68</v>
      </c>
      <c r="AA429" s="148">
        <v>20952</v>
      </c>
      <c r="AB429" s="148">
        <f t="shared" si="74"/>
        <v>150</v>
      </c>
      <c r="AC429" s="204">
        <v>44815</v>
      </c>
      <c r="AD429" s="146" t="str">
        <f t="shared" si="75"/>
        <v>2022</v>
      </c>
      <c r="AE429" s="150" t="str">
        <f t="shared" si="76"/>
        <v>Sep</v>
      </c>
    </row>
    <row r="430" spans="2:31" x14ac:dyDescent="0.25">
      <c r="B430" s="152">
        <v>7</v>
      </c>
      <c r="C430" s="157" t="s">
        <v>73</v>
      </c>
      <c r="D430" s="154" t="s">
        <v>66</v>
      </c>
      <c r="E430" s="157" t="s">
        <v>117</v>
      </c>
      <c r="F430" s="141">
        <v>528</v>
      </c>
      <c r="G430" s="155" t="s">
        <v>145</v>
      </c>
      <c r="H430" s="204">
        <v>44816</v>
      </c>
      <c r="I430" s="143" t="str">
        <f t="shared" si="67"/>
        <v>2022</v>
      </c>
      <c r="J430" s="143" t="str">
        <f t="shared" si="68"/>
        <v>Sep</v>
      </c>
      <c r="K430" s="204">
        <v>44830</v>
      </c>
      <c r="L430" s="157" t="s">
        <v>156</v>
      </c>
      <c r="M430" s="204">
        <v>44852</v>
      </c>
      <c r="N430" s="143" t="str">
        <f t="shared" si="69"/>
        <v>2022</v>
      </c>
      <c r="O430" s="143" t="str">
        <f t="shared" si="70"/>
        <v>Oct</v>
      </c>
      <c r="P430" s="157" t="s">
        <v>165</v>
      </c>
      <c r="Q430" s="146" t="s">
        <v>266</v>
      </c>
      <c r="R430" s="157" t="s">
        <v>45</v>
      </c>
      <c r="S430" s="141" t="s">
        <v>20</v>
      </c>
      <c r="T430" s="204">
        <v>45167</v>
      </c>
      <c r="U430" s="145" t="str">
        <f t="shared" si="71"/>
        <v>2023</v>
      </c>
      <c r="V430" s="145" t="str">
        <f t="shared" si="72"/>
        <v>Aug</v>
      </c>
      <c r="W430" s="141">
        <f t="shared" ca="1" si="66"/>
        <v>252</v>
      </c>
      <c r="X430" s="157" t="s">
        <v>95</v>
      </c>
      <c r="Y430" s="157">
        <f t="shared" ca="1" si="73"/>
        <v>6048</v>
      </c>
      <c r="Z430" s="158">
        <v>120.96000000000001</v>
      </c>
      <c r="AA430" s="148">
        <v>6048</v>
      </c>
      <c r="AB430" s="148">
        <f t="shared" si="74"/>
        <v>50</v>
      </c>
      <c r="AC430" s="204">
        <v>44833</v>
      </c>
      <c r="AD430" s="146" t="str">
        <f t="shared" si="75"/>
        <v>2022</v>
      </c>
      <c r="AE430" s="150" t="str">
        <f t="shared" si="76"/>
        <v>Sep</v>
      </c>
    </row>
    <row r="431" spans="2:31" x14ac:dyDescent="0.25">
      <c r="B431" s="152">
        <v>8</v>
      </c>
      <c r="C431" s="157" t="s">
        <v>74</v>
      </c>
      <c r="D431" s="154" t="s">
        <v>67</v>
      </c>
      <c r="E431" s="157" t="s">
        <v>118</v>
      </c>
      <c r="F431" s="141">
        <v>529</v>
      </c>
      <c r="G431" s="155" t="s">
        <v>146</v>
      </c>
      <c r="H431" s="204">
        <v>44817</v>
      </c>
      <c r="I431" s="143" t="str">
        <f t="shared" si="67"/>
        <v>2022</v>
      </c>
      <c r="J431" s="143" t="str">
        <f t="shared" si="68"/>
        <v>Sep</v>
      </c>
      <c r="K431" s="204">
        <v>44830</v>
      </c>
      <c r="L431" s="157" t="s">
        <v>159</v>
      </c>
      <c r="M431" s="204">
        <v>44871</v>
      </c>
      <c r="N431" s="143" t="str">
        <f t="shared" si="69"/>
        <v>2022</v>
      </c>
      <c r="O431" s="143" t="str">
        <f t="shared" si="70"/>
        <v>Nov</v>
      </c>
      <c r="P431" s="157" t="s">
        <v>165</v>
      </c>
      <c r="Q431" s="146" t="s">
        <v>17</v>
      </c>
      <c r="R431" s="157" t="s">
        <v>46</v>
      </c>
      <c r="S431" s="141" t="s">
        <v>20</v>
      </c>
      <c r="T431" s="204">
        <v>45110</v>
      </c>
      <c r="U431" s="145" t="str">
        <f t="shared" si="71"/>
        <v>2023</v>
      </c>
      <c r="V431" s="145" t="str">
        <f t="shared" si="72"/>
        <v>Jul</v>
      </c>
      <c r="W431" s="141">
        <f t="shared" ca="1" si="66"/>
        <v>210</v>
      </c>
      <c r="X431" s="157" t="s">
        <v>96</v>
      </c>
      <c r="Y431" s="157">
        <f t="shared" ca="1" si="73"/>
        <v>5040</v>
      </c>
      <c r="Z431" s="158">
        <v>151.19999999999999</v>
      </c>
      <c r="AA431" s="148">
        <v>22680</v>
      </c>
      <c r="AB431" s="148">
        <f t="shared" si="74"/>
        <v>150</v>
      </c>
      <c r="AC431" s="204">
        <v>44833</v>
      </c>
      <c r="AD431" s="146" t="str">
        <f t="shared" si="75"/>
        <v>2022</v>
      </c>
      <c r="AE431" s="150" t="str">
        <f t="shared" si="76"/>
        <v>Sep</v>
      </c>
    </row>
    <row r="432" spans="2:31" x14ac:dyDescent="0.25">
      <c r="B432" s="152">
        <v>9</v>
      </c>
      <c r="C432" s="157" t="s">
        <v>75</v>
      </c>
      <c r="D432" s="154" t="s">
        <v>68</v>
      </c>
      <c r="E432" s="157" t="s">
        <v>115</v>
      </c>
      <c r="F432" s="141">
        <v>530</v>
      </c>
      <c r="G432" s="155" t="s">
        <v>144</v>
      </c>
      <c r="H432" s="204">
        <v>44821</v>
      </c>
      <c r="I432" s="143" t="str">
        <f t="shared" si="67"/>
        <v>2022</v>
      </c>
      <c r="J432" s="143" t="str">
        <f t="shared" si="68"/>
        <v>Sep</v>
      </c>
      <c r="K432" s="204">
        <v>44831</v>
      </c>
      <c r="L432" s="157" t="s">
        <v>159</v>
      </c>
      <c r="M432" s="204">
        <v>44870</v>
      </c>
      <c r="N432" s="143" t="str">
        <f t="shared" si="69"/>
        <v>2022</v>
      </c>
      <c r="O432" s="143" t="str">
        <f t="shared" si="70"/>
        <v>Nov</v>
      </c>
      <c r="P432" s="157" t="s">
        <v>165</v>
      </c>
      <c r="Q432" s="146" t="s">
        <v>17</v>
      </c>
      <c r="R432" s="157" t="s">
        <v>47</v>
      </c>
      <c r="S432" s="141" t="s">
        <v>20</v>
      </c>
      <c r="T432" s="204">
        <v>45081</v>
      </c>
      <c r="U432" s="145" t="str">
        <f t="shared" si="71"/>
        <v>2023</v>
      </c>
      <c r="V432" s="145" t="str">
        <f t="shared" si="72"/>
        <v>Jun</v>
      </c>
      <c r="W432" s="141">
        <f t="shared" ca="1" si="66"/>
        <v>185</v>
      </c>
      <c r="X432" s="157" t="s">
        <v>97</v>
      </c>
      <c r="Y432" s="157">
        <f t="shared" ca="1" si="73"/>
        <v>4440</v>
      </c>
      <c r="Z432" s="158">
        <v>44.4</v>
      </c>
      <c r="AA432" s="148">
        <v>6660</v>
      </c>
      <c r="AB432" s="148">
        <f t="shared" si="74"/>
        <v>150</v>
      </c>
      <c r="AC432" s="204">
        <v>44834</v>
      </c>
      <c r="AD432" s="146" t="str">
        <f t="shared" si="75"/>
        <v>2022</v>
      </c>
      <c r="AE432" s="150" t="str">
        <f t="shared" si="76"/>
        <v>Sep</v>
      </c>
    </row>
    <row r="433" spans="1:31" x14ac:dyDescent="0.25">
      <c r="B433" s="152">
        <v>10</v>
      </c>
      <c r="C433" s="157" t="s">
        <v>76</v>
      </c>
      <c r="D433" s="154" t="s">
        <v>55</v>
      </c>
      <c r="E433" s="157" t="s">
        <v>116</v>
      </c>
      <c r="F433" s="141">
        <v>531</v>
      </c>
      <c r="G433" s="155" t="s">
        <v>147</v>
      </c>
      <c r="H433" s="204">
        <v>44822</v>
      </c>
      <c r="I433" s="143" t="str">
        <f t="shared" si="67"/>
        <v>2022</v>
      </c>
      <c r="J433" s="143" t="str">
        <f t="shared" si="68"/>
        <v>Sep</v>
      </c>
      <c r="K433" s="204">
        <v>44825</v>
      </c>
      <c r="L433" s="157" t="s">
        <v>159</v>
      </c>
      <c r="M433" s="204">
        <v>44865</v>
      </c>
      <c r="N433" s="143" t="str">
        <f t="shared" si="69"/>
        <v>2022</v>
      </c>
      <c r="O433" s="143" t="str">
        <f t="shared" si="70"/>
        <v>Oct</v>
      </c>
      <c r="P433" s="157" t="s">
        <v>165</v>
      </c>
      <c r="Q433" s="146" t="s">
        <v>272</v>
      </c>
      <c r="R433" s="157" t="s">
        <v>48</v>
      </c>
      <c r="S433" s="141" t="s">
        <v>20</v>
      </c>
      <c r="T433" s="204">
        <v>45055</v>
      </c>
      <c r="U433" s="145" t="str">
        <f t="shared" si="71"/>
        <v>2023</v>
      </c>
      <c r="V433" s="145" t="str">
        <f t="shared" si="72"/>
        <v>May</v>
      </c>
      <c r="W433" s="141">
        <f t="shared" ca="1" si="66"/>
        <v>167</v>
      </c>
      <c r="X433" s="157" t="s">
        <v>98</v>
      </c>
      <c r="Y433" s="157">
        <f t="shared" ca="1" si="73"/>
        <v>4008</v>
      </c>
      <c r="Z433" s="158">
        <v>80.16</v>
      </c>
      <c r="AA433" s="148">
        <v>6412.7999999999993</v>
      </c>
      <c r="AB433" s="148">
        <f t="shared" si="74"/>
        <v>80</v>
      </c>
      <c r="AC433" s="204">
        <v>44828</v>
      </c>
      <c r="AD433" s="146" t="str">
        <f t="shared" si="75"/>
        <v>2022</v>
      </c>
      <c r="AE433" s="150" t="str">
        <f t="shared" si="76"/>
        <v>Sep</v>
      </c>
    </row>
    <row r="434" spans="1:31" x14ac:dyDescent="0.25">
      <c r="B434" s="152">
        <v>11</v>
      </c>
      <c r="C434" s="157" t="s">
        <v>77</v>
      </c>
      <c r="D434" s="154" t="s">
        <v>56</v>
      </c>
      <c r="E434" s="157" t="s">
        <v>117</v>
      </c>
      <c r="F434" s="141">
        <v>532</v>
      </c>
      <c r="G434" s="155" t="s">
        <v>148</v>
      </c>
      <c r="H434" s="204">
        <v>44822</v>
      </c>
      <c r="I434" s="143" t="str">
        <f t="shared" si="67"/>
        <v>2022</v>
      </c>
      <c r="J434" s="143" t="str">
        <f t="shared" si="68"/>
        <v>Sep</v>
      </c>
      <c r="K434" s="204">
        <v>44835</v>
      </c>
      <c r="L434" s="157" t="s">
        <v>160</v>
      </c>
      <c r="M434" s="204">
        <v>44851</v>
      </c>
      <c r="N434" s="143" t="str">
        <f t="shared" si="69"/>
        <v>2022</v>
      </c>
      <c r="O434" s="143" t="str">
        <f t="shared" si="70"/>
        <v>Oct</v>
      </c>
      <c r="P434" s="157" t="s">
        <v>164</v>
      </c>
      <c r="Q434" s="146" t="s">
        <v>17</v>
      </c>
      <c r="R434" s="157" t="s">
        <v>49</v>
      </c>
      <c r="S434" s="141" t="s">
        <v>20</v>
      </c>
      <c r="T434" s="204">
        <v>45362</v>
      </c>
      <c r="U434" s="145" t="str">
        <f t="shared" si="71"/>
        <v>2024</v>
      </c>
      <c r="V434" s="145" t="str">
        <f t="shared" si="72"/>
        <v>Mar</v>
      </c>
      <c r="W434" s="141">
        <f t="shared" ca="1" si="66"/>
        <v>386</v>
      </c>
      <c r="X434" s="157" t="s">
        <v>99</v>
      </c>
      <c r="Y434" s="157">
        <f t="shared" ca="1" si="73"/>
        <v>9264</v>
      </c>
      <c r="Z434" s="158">
        <v>277.92</v>
      </c>
      <c r="AA434" s="148">
        <v>41688</v>
      </c>
      <c r="AB434" s="148">
        <f t="shared" si="74"/>
        <v>150</v>
      </c>
      <c r="AC434" s="204">
        <v>44838</v>
      </c>
      <c r="AD434" s="146" t="str">
        <f t="shared" si="75"/>
        <v>2022</v>
      </c>
      <c r="AE434" s="150" t="str">
        <f t="shared" si="76"/>
        <v>Oct</v>
      </c>
    </row>
    <row r="435" spans="1:31" x14ac:dyDescent="0.25">
      <c r="B435" s="152">
        <v>12</v>
      </c>
      <c r="C435" s="157" t="s">
        <v>78</v>
      </c>
      <c r="D435" s="154" t="s">
        <v>57</v>
      </c>
      <c r="E435" s="157" t="s">
        <v>118</v>
      </c>
      <c r="F435" s="141">
        <v>533</v>
      </c>
      <c r="G435" s="155" t="s">
        <v>149</v>
      </c>
      <c r="H435" s="204">
        <v>44823</v>
      </c>
      <c r="I435" s="143" t="str">
        <f t="shared" si="67"/>
        <v>2022</v>
      </c>
      <c r="J435" s="143" t="str">
        <f t="shared" si="68"/>
        <v>Sep</v>
      </c>
      <c r="K435" s="204">
        <v>44826</v>
      </c>
      <c r="L435" s="157" t="s">
        <v>157</v>
      </c>
      <c r="M435" s="204">
        <v>44862</v>
      </c>
      <c r="N435" s="143" t="str">
        <f t="shared" si="69"/>
        <v>2022</v>
      </c>
      <c r="O435" s="143" t="str">
        <f t="shared" si="70"/>
        <v>Oct</v>
      </c>
      <c r="P435" s="157" t="s">
        <v>164</v>
      </c>
      <c r="Q435" s="146" t="s">
        <v>17</v>
      </c>
      <c r="R435" s="157" t="s">
        <v>50</v>
      </c>
      <c r="S435" s="141" t="s">
        <v>20</v>
      </c>
      <c r="T435" s="204">
        <v>45008</v>
      </c>
      <c r="U435" s="145" t="str">
        <f t="shared" si="71"/>
        <v>2023</v>
      </c>
      <c r="V435" s="145" t="str">
        <f t="shared" si="72"/>
        <v>Mar</v>
      </c>
      <c r="W435" s="141">
        <f t="shared" ca="1" si="66"/>
        <v>134</v>
      </c>
      <c r="X435" s="157" t="s">
        <v>100</v>
      </c>
      <c r="Y435" s="157">
        <f t="shared" ca="1" si="73"/>
        <v>3216</v>
      </c>
      <c r="Z435" s="158">
        <v>32.160000000000004</v>
      </c>
      <c r="AA435" s="148">
        <v>4824.0000000000009</v>
      </c>
      <c r="AB435" s="148">
        <f t="shared" si="74"/>
        <v>150</v>
      </c>
      <c r="AC435" s="204">
        <v>44829</v>
      </c>
      <c r="AD435" s="146" t="str">
        <f t="shared" si="75"/>
        <v>2022</v>
      </c>
      <c r="AE435" s="150" t="str">
        <f t="shared" si="76"/>
        <v>Sep</v>
      </c>
    </row>
    <row r="436" spans="1:31" x14ac:dyDescent="0.25">
      <c r="B436" s="152">
        <v>1</v>
      </c>
      <c r="C436" s="153" t="s">
        <v>7</v>
      </c>
      <c r="D436" s="154" t="s">
        <v>8</v>
      </c>
      <c r="E436" s="157" t="s">
        <v>111</v>
      </c>
      <c r="F436" s="141">
        <v>534</v>
      </c>
      <c r="G436" s="155" t="s">
        <v>145</v>
      </c>
      <c r="H436" s="204">
        <v>44827</v>
      </c>
      <c r="I436" s="143" t="str">
        <f t="shared" si="67"/>
        <v>2022</v>
      </c>
      <c r="J436" s="143" t="str">
        <f t="shared" si="68"/>
        <v>Sep</v>
      </c>
      <c r="K436" s="204">
        <v>44827</v>
      </c>
      <c r="L436" s="157" t="s">
        <v>159</v>
      </c>
      <c r="M436" s="204">
        <v>44857</v>
      </c>
      <c r="N436" s="143" t="str">
        <f t="shared" si="69"/>
        <v>2022</v>
      </c>
      <c r="O436" s="143" t="str">
        <f t="shared" si="70"/>
        <v>Oct</v>
      </c>
      <c r="P436" s="157" t="s">
        <v>165</v>
      </c>
      <c r="Q436" s="146" t="s">
        <v>266</v>
      </c>
      <c r="R436" s="157" t="s">
        <v>18</v>
      </c>
      <c r="S436" s="141" t="s">
        <v>20</v>
      </c>
      <c r="T436" s="204">
        <v>45186</v>
      </c>
      <c r="U436" s="145" t="str">
        <f t="shared" si="71"/>
        <v>2023</v>
      </c>
      <c r="V436" s="145" t="str">
        <f t="shared" si="72"/>
        <v>Sep</v>
      </c>
      <c r="W436" s="141">
        <f t="shared" ca="1" si="66"/>
        <v>256</v>
      </c>
      <c r="X436" s="157" t="s">
        <v>89</v>
      </c>
      <c r="Y436" s="157">
        <f t="shared" ca="1" si="73"/>
        <v>6144</v>
      </c>
      <c r="Z436" s="158">
        <v>122.88</v>
      </c>
      <c r="AA436" s="148">
        <v>6144</v>
      </c>
      <c r="AB436" s="148">
        <f t="shared" si="74"/>
        <v>50</v>
      </c>
      <c r="AC436" s="204">
        <v>44830</v>
      </c>
      <c r="AD436" s="146" t="str">
        <f t="shared" si="75"/>
        <v>2022</v>
      </c>
      <c r="AE436" s="150" t="str">
        <f t="shared" si="76"/>
        <v>Sep</v>
      </c>
    </row>
    <row r="437" spans="1:31" x14ac:dyDescent="0.25">
      <c r="B437" s="152">
        <v>2</v>
      </c>
      <c r="C437" s="153" t="s">
        <v>10</v>
      </c>
      <c r="D437" s="154" t="s">
        <v>11</v>
      </c>
      <c r="E437" s="157" t="s">
        <v>112</v>
      </c>
      <c r="F437" s="141">
        <v>535</v>
      </c>
      <c r="G437" s="155" t="s">
        <v>150</v>
      </c>
      <c r="H437" s="204">
        <v>44828</v>
      </c>
      <c r="I437" s="143" t="str">
        <f t="shared" si="67"/>
        <v>2022</v>
      </c>
      <c r="J437" s="143" t="str">
        <f t="shared" si="68"/>
        <v>Sep</v>
      </c>
      <c r="K437" s="204">
        <v>44839</v>
      </c>
      <c r="L437" s="157" t="s">
        <v>160</v>
      </c>
      <c r="M437" s="204">
        <v>44871</v>
      </c>
      <c r="N437" s="143" t="str">
        <f t="shared" si="69"/>
        <v>2022</v>
      </c>
      <c r="O437" s="143" t="str">
        <f t="shared" si="70"/>
        <v>Nov</v>
      </c>
      <c r="P437" s="157" t="s">
        <v>167</v>
      </c>
      <c r="Q437" s="146" t="s">
        <v>29</v>
      </c>
      <c r="R437" s="157" t="s">
        <v>19</v>
      </c>
      <c r="S437" s="141" t="s">
        <v>167</v>
      </c>
      <c r="T437" s="204" t="s">
        <v>274</v>
      </c>
      <c r="U437" s="145" t="str">
        <f t="shared" si="71"/>
        <v/>
      </c>
      <c r="V437" s="145" t="str">
        <f t="shared" si="72"/>
        <v/>
      </c>
      <c r="W437" s="141">
        <f t="shared" ca="1" si="66"/>
        <v>478</v>
      </c>
      <c r="X437" s="157" t="s">
        <v>90</v>
      </c>
      <c r="Y437" s="157">
        <f t="shared" ca="1" si="73"/>
        <v>11472</v>
      </c>
      <c r="Z437" s="158">
        <v>114.24000000000001</v>
      </c>
      <c r="AA437" s="148">
        <v>3427.2000000000003</v>
      </c>
      <c r="AB437" s="148">
        <f t="shared" si="74"/>
        <v>30</v>
      </c>
      <c r="AC437" s="204"/>
      <c r="AD437" s="157" t="str">
        <f t="shared" si="75"/>
        <v/>
      </c>
      <c r="AE437" s="150" t="str">
        <f t="shared" si="76"/>
        <v/>
      </c>
    </row>
    <row r="438" spans="1:31" x14ac:dyDescent="0.25">
      <c r="B438" s="152">
        <v>3</v>
      </c>
      <c r="C438" s="157" t="s">
        <v>69</v>
      </c>
      <c r="D438" s="154" t="s">
        <v>62</v>
      </c>
      <c r="E438" s="157" t="s">
        <v>113</v>
      </c>
      <c r="F438" s="141">
        <v>536</v>
      </c>
      <c r="G438" s="155" t="s">
        <v>151</v>
      </c>
      <c r="H438" s="204">
        <v>44828</v>
      </c>
      <c r="I438" s="143" t="str">
        <f t="shared" si="67"/>
        <v>2022</v>
      </c>
      <c r="J438" s="143" t="str">
        <f t="shared" si="68"/>
        <v>Sep</v>
      </c>
      <c r="K438" s="204">
        <v>44828</v>
      </c>
      <c r="L438" s="157" t="s">
        <v>157</v>
      </c>
      <c r="M438" s="204">
        <v>44862</v>
      </c>
      <c r="N438" s="143" t="str">
        <f t="shared" si="69"/>
        <v>2022</v>
      </c>
      <c r="O438" s="143" t="str">
        <f t="shared" si="70"/>
        <v>Oct</v>
      </c>
      <c r="P438" s="157" t="s">
        <v>164</v>
      </c>
      <c r="Q438" s="146" t="s">
        <v>17</v>
      </c>
      <c r="R438" s="157" t="s">
        <v>41</v>
      </c>
      <c r="S438" s="141" t="s">
        <v>20</v>
      </c>
      <c r="T438" s="204">
        <v>45172</v>
      </c>
      <c r="U438" s="145" t="str">
        <f t="shared" si="71"/>
        <v>2023</v>
      </c>
      <c r="V438" s="145" t="str">
        <f t="shared" si="72"/>
        <v>Sep</v>
      </c>
      <c r="W438" s="141">
        <f t="shared" ca="1" si="66"/>
        <v>245</v>
      </c>
      <c r="X438" s="157" t="s">
        <v>91</v>
      </c>
      <c r="Y438" s="157">
        <f t="shared" ca="1" si="73"/>
        <v>5880</v>
      </c>
      <c r="Z438" s="158">
        <v>176.4</v>
      </c>
      <c r="AA438" s="148">
        <v>26460</v>
      </c>
      <c r="AB438" s="148">
        <f t="shared" si="74"/>
        <v>150</v>
      </c>
      <c r="AC438" s="204">
        <v>44831</v>
      </c>
      <c r="AD438" s="146" t="str">
        <f t="shared" si="75"/>
        <v>2022</v>
      </c>
      <c r="AE438" s="150" t="str">
        <f t="shared" si="76"/>
        <v>Sep</v>
      </c>
    </row>
    <row r="439" spans="1:31" x14ac:dyDescent="0.25">
      <c r="B439" s="152">
        <v>4</v>
      </c>
      <c r="C439" s="157" t="s">
        <v>70</v>
      </c>
      <c r="D439" s="154" t="s">
        <v>63</v>
      </c>
      <c r="E439" s="157" t="s">
        <v>114</v>
      </c>
      <c r="F439" s="141">
        <v>537</v>
      </c>
      <c r="G439" s="155" t="s">
        <v>152</v>
      </c>
      <c r="H439" s="204">
        <v>44832</v>
      </c>
      <c r="I439" s="143" t="str">
        <f t="shared" si="67"/>
        <v>2022</v>
      </c>
      <c r="J439" s="143" t="str">
        <f t="shared" si="68"/>
        <v>Sep</v>
      </c>
      <c r="K439" s="204">
        <v>44845</v>
      </c>
      <c r="L439" s="157" t="s">
        <v>161</v>
      </c>
      <c r="M439" s="204">
        <v>44872</v>
      </c>
      <c r="N439" s="143" t="str">
        <f t="shared" si="69"/>
        <v>2022</v>
      </c>
      <c r="O439" s="143" t="str">
        <f t="shared" si="70"/>
        <v>Nov</v>
      </c>
      <c r="P439" s="157" t="s">
        <v>165</v>
      </c>
      <c r="Q439" s="146" t="s">
        <v>17</v>
      </c>
      <c r="R439" s="157" t="s">
        <v>42</v>
      </c>
      <c r="S439" s="141" t="s">
        <v>20</v>
      </c>
      <c r="T439" s="204">
        <v>45190</v>
      </c>
      <c r="U439" s="145" t="str">
        <f t="shared" si="71"/>
        <v>2023</v>
      </c>
      <c r="V439" s="145" t="str">
        <f t="shared" si="72"/>
        <v>Sep</v>
      </c>
      <c r="W439" s="141">
        <f t="shared" ca="1" si="66"/>
        <v>257</v>
      </c>
      <c r="X439" s="157" t="s">
        <v>92</v>
      </c>
      <c r="Y439" s="157">
        <f t="shared" ca="1" si="73"/>
        <v>6168</v>
      </c>
      <c r="Z439" s="158">
        <v>61.68</v>
      </c>
      <c r="AA439" s="148">
        <v>9252</v>
      </c>
      <c r="AB439" s="148">
        <f t="shared" si="74"/>
        <v>150</v>
      </c>
      <c r="AC439" s="204">
        <v>44848</v>
      </c>
      <c r="AD439" s="146" t="str">
        <f t="shared" si="75"/>
        <v>2022</v>
      </c>
      <c r="AE439" s="150" t="str">
        <f t="shared" si="76"/>
        <v>Oct</v>
      </c>
    </row>
    <row r="440" spans="1:31" x14ac:dyDescent="0.25">
      <c r="B440" s="152">
        <v>5</v>
      </c>
      <c r="C440" s="157" t="s">
        <v>71</v>
      </c>
      <c r="D440" s="154" t="s">
        <v>64</v>
      </c>
      <c r="E440" s="157" t="s">
        <v>115</v>
      </c>
      <c r="F440" s="141">
        <v>538</v>
      </c>
      <c r="G440" s="155" t="s">
        <v>153</v>
      </c>
      <c r="H440" s="204">
        <v>44848</v>
      </c>
      <c r="I440" s="143" t="str">
        <f t="shared" si="67"/>
        <v>2022</v>
      </c>
      <c r="J440" s="143" t="str">
        <f t="shared" si="68"/>
        <v>Oct</v>
      </c>
      <c r="K440" s="204">
        <v>44858</v>
      </c>
      <c r="L440" s="157" t="s">
        <v>156</v>
      </c>
      <c r="M440" s="204">
        <v>44891</v>
      </c>
      <c r="N440" s="143" t="str">
        <f t="shared" si="69"/>
        <v>2022</v>
      </c>
      <c r="O440" s="143" t="str">
        <f t="shared" si="70"/>
        <v>Nov</v>
      </c>
      <c r="P440" s="157" t="s">
        <v>165</v>
      </c>
      <c r="Q440" s="146" t="s">
        <v>17</v>
      </c>
      <c r="R440" s="157" t="s">
        <v>43</v>
      </c>
      <c r="S440" s="141" t="s">
        <v>20</v>
      </c>
      <c r="T440" s="204">
        <v>45271</v>
      </c>
      <c r="U440" s="145" t="str">
        <f t="shared" si="71"/>
        <v>2023</v>
      </c>
      <c r="V440" s="145" t="str">
        <f t="shared" si="72"/>
        <v>Dec</v>
      </c>
      <c r="W440" s="141">
        <f t="shared" ca="1" si="66"/>
        <v>302</v>
      </c>
      <c r="X440" s="157" t="s">
        <v>93</v>
      </c>
      <c r="Y440" s="157">
        <f t="shared" ca="1" si="73"/>
        <v>7248</v>
      </c>
      <c r="Z440" s="158">
        <v>217.44</v>
      </c>
      <c r="AA440" s="148">
        <v>32616</v>
      </c>
      <c r="AB440" s="148">
        <f t="shared" si="74"/>
        <v>150</v>
      </c>
      <c r="AC440" s="204">
        <v>44861</v>
      </c>
      <c r="AD440" s="146" t="str">
        <f t="shared" si="75"/>
        <v>2022</v>
      </c>
      <c r="AE440" s="150" t="str">
        <f t="shared" si="76"/>
        <v>Oct</v>
      </c>
    </row>
    <row r="441" spans="1:31" x14ac:dyDescent="0.25">
      <c r="B441" s="152">
        <v>6</v>
      </c>
      <c r="C441" s="157" t="s">
        <v>72</v>
      </c>
      <c r="D441" s="154" t="s">
        <v>65</v>
      </c>
      <c r="E441" s="157" t="s">
        <v>116</v>
      </c>
      <c r="F441" s="141">
        <v>539</v>
      </c>
      <c r="G441" s="155" t="s">
        <v>145</v>
      </c>
      <c r="H441" s="204">
        <v>44849</v>
      </c>
      <c r="I441" s="143" t="str">
        <f t="shared" si="67"/>
        <v>2022</v>
      </c>
      <c r="J441" s="143" t="str">
        <f t="shared" si="68"/>
        <v>Oct</v>
      </c>
      <c r="K441" s="204">
        <v>44862</v>
      </c>
      <c r="L441" s="157" t="s">
        <v>161</v>
      </c>
      <c r="M441" s="204">
        <v>44890</v>
      </c>
      <c r="N441" s="143" t="str">
        <f t="shared" si="69"/>
        <v>2022</v>
      </c>
      <c r="O441" s="143" t="str">
        <f t="shared" si="70"/>
        <v>Nov</v>
      </c>
      <c r="P441" s="157" t="s">
        <v>165</v>
      </c>
      <c r="Q441" s="146" t="s">
        <v>266</v>
      </c>
      <c r="R441" s="157" t="s">
        <v>44</v>
      </c>
      <c r="S441" s="141" t="s">
        <v>20</v>
      </c>
      <c r="T441" s="204">
        <v>44886</v>
      </c>
      <c r="U441" s="145" t="str">
        <f t="shared" si="71"/>
        <v>2022</v>
      </c>
      <c r="V441" s="145" t="str">
        <f t="shared" si="72"/>
        <v>Nov</v>
      </c>
      <c r="W441" s="141">
        <f t="shared" ca="1" si="66"/>
        <v>26</v>
      </c>
      <c r="X441" s="157" t="s">
        <v>94</v>
      </c>
      <c r="Y441" s="157">
        <f t="shared" ca="1" si="73"/>
        <v>624</v>
      </c>
      <c r="Z441" s="158">
        <v>12.48</v>
      </c>
      <c r="AA441" s="148">
        <v>624</v>
      </c>
      <c r="AB441" s="148">
        <f t="shared" si="74"/>
        <v>50</v>
      </c>
      <c r="AC441" s="204">
        <v>44865</v>
      </c>
      <c r="AD441" s="146" t="str">
        <f t="shared" si="75"/>
        <v>2022</v>
      </c>
      <c r="AE441" s="150" t="str">
        <f t="shared" si="76"/>
        <v>Oct</v>
      </c>
    </row>
    <row r="442" spans="1:31" x14ac:dyDescent="0.25">
      <c r="B442" s="152">
        <v>7</v>
      </c>
      <c r="C442" s="157" t="s">
        <v>73</v>
      </c>
      <c r="D442" s="154" t="s">
        <v>66</v>
      </c>
      <c r="E442" s="157" t="s">
        <v>117</v>
      </c>
      <c r="F442" s="141">
        <v>540</v>
      </c>
      <c r="G442" s="155" t="s">
        <v>145</v>
      </c>
      <c r="H442" s="204">
        <v>44851</v>
      </c>
      <c r="I442" s="143" t="str">
        <f t="shared" si="67"/>
        <v>2022</v>
      </c>
      <c r="J442" s="143" t="str">
        <f t="shared" si="68"/>
        <v>Oct</v>
      </c>
      <c r="K442" s="204">
        <v>44851</v>
      </c>
      <c r="L442" s="157" t="s">
        <v>160</v>
      </c>
      <c r="M442" s="204">
        <v>44891</v>
      </c>
      <c r="N442" s="143" t="str">
        <f t="shared" si="69"/>
        <v>2022</v>
      </c>
      <c r="O442" s="143" t="str">
        <f t="shared" si="70"/>
        <v>Nov</v>
      </c>
      <c r="P442" s="157" t="s">
        <v>165</v>
      </c>
      <c r="Q442" s="146" t="s">
        <v>266</v>
      </c>
      <c r="R442" s="157" t="s">
        <v>45</v>
      </c>
      <c r="S442" s="141" t="s">
        <v>20</v>
      </c>
      <c r="T442" s="204">
        <v>45085</v>
      </c>
      <c r="U442" s="145" t="str">
        <f t="shared" si="71"/>
        <v>2023</v>
      </c>
      <c r="V442" s="145" t="str">
        <f t="shared" si="72"/>
        <v>Jun</v>
      </c>
      <c r="W442" s="141">
        <f t="shared" ca="1" si="66"/>
        <v>169</v>
      </c>
      <c r="X442" s="157" t="s">
        <v>95</v>
      </c>
      <c r="Y442" s="157">
        <f t="shared" ca="1" si="73"/>
        <v>4056</v>
      </c>
      <c r="Z442" s="158">
        <v>81.12</v>
      </c>
      <c r="AA442" s="148">
        <v>4056</v>
      </c>
      <c r="AB442" s="148">
        <f t="shared" si="74"/>
        <v>50</v>
      </c>
      <c r="AC442" s="204">
        <v>44854</v>
      </c>
      <c r="AD442" s="146" t="str">
        <f t="shared" si="75"/>
        <v>2022</v>
      </c>
      <c r="AE442" s="150" t="str">
        <f t="shared" si="76"/>
        <v>Oct</v>
      </c>
    </row>
    <row r="443" spans="1:31" x14ac:dyDescent="0.25">
      <c r="B443" s="152">
        <v>8</v>
      </c>
      <c r="C443" s="157" t="s">
        <v>74</v>
      </c>
      <c r="D443" s="154" t="s">
        <v>67</v>
      </c>
      <c r="E443" s="157" t="s">
        <v>118</v>
      </c>
      <c r="F443" s="141">
        <v>541</v>
      </c>
      <c r="G443" s="155" t="s">
        <v>154</v>
      </c>
      <c r="H443" s="204">
        <v>44854</v>
      </c>
      <c r="I443" s="143" t="str">
        <f t="shared" si="67"/>
        <v>2022</v>
      </c>
      <c r="J443" s="143" t="str">
        <f t="shared" si="68"/>
        <v>Oct</v>
      </c>
      <c r="K443" s="204">
        <v>44857</v>
      </c>
      <c r="L443" s="157" t="s">
        <v>159</v>
      </c>
      <c r="M443" s="204">
        <v>44896</v>
      </c>
      <c r="N443" s="143" t="str">
        <f t="shared" si="69"/>
        <v>2022</v>
      </c>
      <c r="O443" s="143" t="str">
        <f t="shared" si="70"/>
        <v>Dec</v>
      </c>
      <c r="P443" s="157" t="s">
        <v>165</v>
      </c>
      <c r="Q443" s="146" t="s">
        <v>266</v>
      </c>
      <c r="R443" s="157" t="s">
        <v>46</v>
      </c>
      <c r="S443" s="141" t="s">
        <v>20</v>
      </c>
      <c r="T443" s="204">
        <v>45285</v>
      </c>
      <c r="U443" s="145" t="str">
        <f t="shared" si="71"/>
        <v>2023</v>
      </c>
      <c r="V443" s="145" t="str">
        <f t="shared" si="72"/>
        <v>Dec</v>
      </c>
      <c r="W443" s="141">
        <f t="shared" ca="1" si="66"/>
        <v>308</v>
      </c>
      <c r="X443" s="157" t="s">
        <v>96</v>
      </c>
      <c r="Y443" s="157">
        <f t="shared" ca="1" si="73"/>
        <v>7392</v>
      </c>
      <c r="Z443" s="158">
        <v>147.84</v>
      </c>
      <c r="AA443" s="148">
        <v>7392</v>
      </c>
      <c r="AB443" s="148">
        <f t="shared" si="74"/>
        <v>50</v>
      </c>
      <c r="AC443" s="204">
        <v>44860</v>
      </c>
      <c r="AD443" s="146" t="str">
        <f t="shared" si="75"/>
        <v>2022</v>
      </c>
      <c r="AE443" s="150" t="str">
        <f t="shared" si="76"/>
        <v>Oct</v>
      </c>
    </row>
    <row r="444" spans="1:31" x14ac:dyDescent="0.25">
      <c r="B444" s="152">
        <v>5</v>
      </c>
      <c r="C444" s="157" t="s">
        <v>71</v>
      </c>
      <c r="D444" s="154" t="s">
        <v>64</v>
      </c>
      <c r="E444" s="157" t="s">
        <v>115</v>
      </c>
      <c r="F444" s="141">
        <v>542</v>
      </c>
      <c r="G444" s="155" t="s">
        <v>155</v>
      </c>
      <c r="H444" s="204">
        <v>44855</v>
      </c>
      <c r="I444" s="143" t="str">
        <f t="shared" si="67"/>
        <v>2022</v>
      </c>
      <c r="J444" s="143" t="str">
        <f t="shared" si="68"/>
        <v>Oct</v>
      </c>
      <c r="K444" s="204">
        <v>44857</v>
      </c>
      <c r="L444" s="157" t="s">
        <v>156</v>
      </c>
      <c r="M444" s="204">
        <v>44893</v>
      </c>
      <c r="N444" s="143" t="str">
        <f t="shared" si="69"/>
        <v>2022</v>
      </c>
      <c r="O444" s="143" t="str">
        <f t="shared" si="70"/>
        <v>Nov</v>
      </c>
      <c r="P444" s="157" t="s">
        <v>164</v>
      </c>
      <c r="Q444" s="146" t="s">
        <v>266</v>
      </c>
      <c r="R444" s="157" t="s">
        <v>43</v>
      </c>
      <c r="S444" s="141" t="s">
        <v>20</v>
      </c>
      <c r="T444" s="204">
        <v>45222</v>
      </c>
      <c r="U444" s="145" t="str">
        <f t="shared" si="71"/>
        <v>2023</v>
      </c>
      <c r="V444" s="145" t="str">
        <f t="shared" si="72"/>
        <v>Oct</v>
      </c>
      <c r="W444" s="141">
        <f t="shared" ca="1" si="66"/>
        <v>262</v>
      </c>
      <c r="X444" s="157" t="s">
        <v>93</v>
      </c>
      <c r="Y444" s="157">
        <f t="shared" ca="1" si="73"/>
        <v>6288</v>
      </c>
      <c r="Z444" s="158">
        <v>188.64</v>
      </c>
      <c r="AA444" s="148">
        <v>9432</v>
      </c>
      <c r="AB444" s="148">
        <f t="shared" si="74"/>
        <v>50.000000000000007</v>
      </c>
      <c r="AC444" s="204">
        <v>44860</v>
      </c>
      <c r="AD444" s="146" t="str">
        <f t="shared" si="75"/>
        <v>2022</v>
      </c>
      <c r="AE444" s="150" t="str">
        <f t="shared" si="76"/>
        <v>Oct</v>
      </c>
    </row>
    <row r="445" spans="1:31" x14ac:dyDescent="0.25">
      <c r="B445" s="152">
        <v>6</v>
      </c>
      <c r="C445" s="157" t="s">
        <v>72</v>
      </c>
      <c r="D445" s="154" t="s">
        <v>65</v>
      </c>
      <c r="E445" s="157" t="s">
        <v>116</v>
      </c>
      <c r="F445" s="141">
        <v>543</v>
      </c>
      <c r="G445" s="154" t="s">
        <v>119</v>
      </c>
      <c r="H445" s="204">
        <v>44861</v>
      </c>
      <c r="I445" s="143" t="str">
        <f t="shared" si="67"/>
        <v>2022</v>
      </c>
      <c r="J445" s="143" t="str">
        <f t="shared" si="68"/>
        <v>Oct</v>
      </c>
      <c r="K445" s="204">
        <v>44861</v>
      </c>
      <c r="L445" s="157" t="s">
        <v>157</v>
      </c>
      <c r="M445" s="204">
        <v>44899</v>
      </c>
      <c r="N445" s="143" t="str">
        <f t="shared" si="69"/>
        <v>2022</v>
      </c>
      <c r="O445" s="143" t="str">
        <f t="shared" si="70"/>
        <v>Dec</v>
      </c>
      <c r="P445" s="157" t="s">
        <v>162</v>
      </c>
      <c r="Q445" s="146" t="s">
        <v>17</v>
      </c>
      <c r="R445" s="157" t="s">
        <v>44</v>
      </c>
      <c r="S445" s="141" t="s">
        <v>20</v>
      </c>
      <c r="T445" s="204">
        <v>44951</v>
      </c>
      <c r="U445" s="145" t="str">
        <f t="shared" si="71"/>
        <v>2023</v>
      </c>
      <c r="V445" s="145" t="str">
        <f t="shared" si="72"/>
        <v>Jan</v>
      </c>
      <c r="W445" s="141">
        <f t="shared" ca="1" si="66"/>
        <v>65</v>
      </c>
      <c r="X445" s="157" t="s">
        <v>94</v>
      </c>
      <c r="Y445" s="157">
        <f t="shared" ca="1" si="73"/>
        <v>1560</v>
      </c>
      <c r="Z445" s="158">
        <v>46.8</v>
      </c>
      <c r="AA445" s="148">
        <v>7020</v>
      </c>
      <c r="AB445" s="148">
        <f t="shared" si="74"/>
        <v>150</v>
      </c>
      <c r="AC445" s="204">
        <v>44864</v>
      </c>
      <c r="AD445" s="146" t="str">
        <f t="shared" si="75"/>
        <v>2022</v>
      </c>
      <c r="AE445" s="150" t="str">
        <f t="shared" si="76"/>
        <v>Oct</v>
      </c>
    </row>
    <row r="446" spans="1:31" x14ac:dyDescent="0.25">
      <c r="B446" s="152">
        <v>7</v>
      </c>
      <c r="C446" s="157" t="s">
        <v>73</v>
      </c>
      <c r="D446" s="154" t="s">
        <v>66</v>
      </c>
      <c r="E446" s="157" t="s">
        <v>117</v>
      </c>
      <c r="F446" s="141">
        <v>544</v>
      </c>
      <c r="G446" s="155" t="s">
        <v>145</v>
      </c>
      <c r="H446" s="204">
        <v>44864</v>
      </c>
      <c r="I446" s="143" t="str">
        <f t="shared" si="67"/>
        <v>2022</v>
      </c>
      <c r="J446" s="143" t="str">
        <f t="shared" si="68"/>
        <v>Oct</v>
      </c>
      <c r="K446" s="204">
        <v>44879</v>
      </c>
      <c r="L446" s="157" t="s">
        <v>156</v>
      </c>
      <c r="M446" s="204">
        <v>44896</v>
      </c>
      <c r="N446" s="143" t="str">
        <f t="shared" si="69"/>
        <v>2022</v>
      </c>
      <c r="O446" s="143" t="str">
        <f t="shared" si="70"/>
        <v>Dec</v>
      </c>
      <c r="P446" s="157" t="s">
        <v>165</v>
      </c>
      <c r="Q446" s="146" t="s">
        <v>266</v>
      </c>
      <c r="R446" s="157" t="s">
        <v>45</v>
      </c>
      <c r="S446" s="141" t="s">
        <v>20</v>
      </c>
      <c r="T446" s="204">
        <v>44994</v>
      </c>
      <c r="U446" s="145" t="str">
        <f t="shared" si="71"/>
        <v>2023</v>
      </c>
      <c r="V446" s="145" t="str">
        <f t="shared" si="72"/>
        <v>Mar</v>
      </c>
      <c r="W446" s="141">
        <f t="shared" ca="1" si="66"/>
        <v>94</v>
      </c>
      <c r="X446" s="157" t="s">
        <v>95</v>
      </c>
      <c r="Y446" s="157">
        <f t="shared" ca="1" si="73"/>
        <v>2256</v>
      </c>
      <c r="Z446" s="158">
        <v>67.679999999999993</v>
      </c>
      <c r="AA446" s="148">
        <v>3383.9999999999995</v>
      </c>
      <c r="AB446" s="148">
        <f t="shared" si="74"/>
        <v>50</v>
      </c>
      <c r="AC446" s="204">
        <v>44882</v>
      </c>
      <c r="AD446" s="146" t="str">
        <f t="shared" si="75"/>
        <v>2022</v>
      </c>
      <c r="AE446" s="150" t="str">
        <f t="shared" si="76"/>
        <v>Nov</v>
      </c>
    </row>
    <row r="447" spans="1:31" x14ac:dyDescent="0.25">
      <c r="B447" s="152">
        <v>8</v>
      </c>
      <c r="C447" s="157" t="s">
        <v>74</v>
      </c>
      <c r="D447" s="154" t="s">
        <v>67</v>
      </c>
      <c r="E447" s="157" t="s">
        <v>118</v>
      </c>
      <c r="F447" s="141">
        <v>545</v>
      </c>
      <c r="G447" s="155" t="s">
        <v>137</v>
      </c>
      <c r="H447" s="204">
        <v>44865</v>
      </c>
      <c r="I447" s="143" t="str">
        <f t="shared" si="67"/>
        <v>2022</v>
      </c>
      <c r="J447" s="143" t="str">
        <f t="shared" si="68"/>
        <v>Oct</v>
      </c>
      <c r="K447" s="204">
        <v>44879</v>
      </c>
      <c r="L447" s="157" t="s">
        <v>159</v>
      </c>
      <c r="M447" s="204">
        <v>44895</v>
      </c>
      <c r="N447" s="143" t="str">
        <f t="shared" si="69"/>
        <v>2022</v>
      </c>
      <c r="O447" s="143" t="str">
        <f t="shared" si="70"/>
        <v>Nov</v>
      </c>
      <c r="P447" s="157" t="s">
        <v>165</v>
      </c>
      <c r="Q447" s="146" t="s">
        <v>29</v>
      </c>
      <c r="R447" s="157" t="s">
        <v>46</v>
      </c>
      <c r="S447" s="141" t="s">
        <v>20</v>
      </c>
      <c r="T447" s="204">
        <v>45069</v>
      </c>
      <c r="U447" s="145" t="str">
        <f t="shared" si="71"/>
        <v>2023</v>
      </c>
      <c r="V447" s="145" t="str">
        <f t="shared" si="72"/>
        <v>May</v>
      </c>
      <c r="W447" s="141">
        <f t="shared" ca="1" si="66"/>
        <v>147</v>
      </c>
      <c r="X447" s="157" t="s">
        <v>96</v>
      </c>
      <c r="Y447" s="157">
        <f t="shared" ca="1" si="73"/>
        <v>3528</v>
      </c>
      <c r="Z447" s="158">
        <v>70.56</v>
      </c>
      <c r="AA447" s="148">
        <v>2116.8000000000002</v>
      </c>
      <c r="AB447" s="148">
        <f t="shared" si="74"/>
        <v>30</v>
      </c>
      <c r="AC447" s="204">
        <v>44882</v>
      </c>
      <c r="AD447" s="146" t="str">
        <f t="shared" si="75"/>
        <v>2022</v>
      </c>
      <c r="AE447" s="150" t="str">
        <f t="shared" si="76"/>
        <v>Nov</v>
      </c>
    </row>
    <row r="448" spans="1:31" s="164" customFormat="1" x14ac:dyDescent="0.25">
      <c r="A448" s="151"/>
      <c r="B448" s="159">
        <v>9</v>
      </c>
      <c r="C448" s="155" t="s">
        <v>75</v>
      </c>
      <c r="D448" s="154" t="s">
        <v>68</v>
      </c>
      <c r="E448" s="155" t="s">
        <v>115</v>
      </c>
      <c r="F448" s="141">
        <v>546</v>
      </c>
      <c r="G448" s="155" t="s">
        <v>138</v>
      </c>
      <c r="H448" s="205">
        <v>44875</v>
      </c>
      <c r="I448" s="160" t="str">
        <f t="shared" si="67"/>
        <v>2022</v>
      </c>
      <c r="J448" s="160" t="str">
        <f t="shared" si="68"/>
        <v>Nov</v>
      </c>
      <c r="K448" s="204">
        <v>44888</v>
      </c>
      <c r="L448" s="155" t="s">
        <v>158</v>
      </c>
      <c r="M448" s="204">
        <v>44920</v>
      </c>
      <c r="N448" s="160" t="str">
        <f t="shared" si="69"/>
        <v>2022</v>
      </c>
      <c r="O448" s="160" t="str">
        <f t="shared" si="70"/>
        <v>Dec</v>
      </c>
      <c r="P448" s="155" t="s">
        <v>162</v>
      </c>
      <c r="Q448" s="161" t="s">
        <v>270</v>
      </c>
      <c r="R448" s="155" t="s">
        <v>47</v>
      </c>
      <c r="S448" s="142" t="s">
        <v>20</v>
      </c>
      <c r="T448" s="204">
        <v>45358</v>
      </c>
      <c r="U448" s="162" t="str">
        <f t="shared" si="71"/>
        <v>2024</v>
      </c>
      <c r="V448" s="162" t="str">
        <f t="shared" si="72"/>
        <v>Mar</v>
      </c>
      <c r="W448" s="142">
        <f t="shared" ca="1" si="66"/>
        <v>346</v>
      </c>
      <c r="X448" s="155" t="s">
        <v>97</v>
      </c>
      <c r="Y448" s="155">
        <f t="shared" ca="1" si="73"/>
        <v>8304</v>
      </c>
      <c r="Z448" s="163">
        <v>249.12</v>
      </c>
      <c r="AA448" s="148">
        <v>7473.6</v>
      </c>
      <c r="AB448" s="148">
        <f t="shared" si="74"/>
        <v>30</v>
      </c>
      <c r="AC448" s="204">
        <v>44891</v>
      </c>
      <c r="AD448" s="146" t="str">
        <f t="shared" si="75"/>
        <v>2022</v>
      </c>
      <c r="AE448" s="150" t="str">
        <f t="shared" si="76"/>
        <v>Nov</v>
      </c>
    </row>
    <row r="449" spans="1:31" s="164" customFormat="1" x14ac:dyDescent="0.25">
      <c r="A449" s="151"/>
      <c r="B449" s="159">
        <v>10</v>
      </c>
      <c r="C449" s="155" t="s">
        <v>76</v>
      </c>
      <c r="D449" s="154" t="s">
        <v>55</v>
      </c>
      <c r="E449" s="155" t="s">
        <v>116</v>
      </c>
      <c r="F449" s="141">
        <v>547</v>
      </c>
      <c r="G449" s="155" t="s">
        <v>139</v>
      </c>
      <c r="H449" s="205">
        <v>44886</v>
      </c>
      <c r="I449" s="160" t="str">
        <f t="shared" si="67"/>
        <v>2022</v>
      </c>
      <c r="J449" s="160" t="str">
        <f t="shared" si="68"/>
        <v>Nov</v>
      </c>
      <c r="K449" s="204">
        <v>44894</v>
      </c>
      <c r="L449" s="155" t="s">
        <v>157</v>
      </c>
      <c r="M449" s="204">
        <v>44922</v>
      </c>
      <c r="N449" s="160" t="str">
        <f t="shared" si="69"/>
        <v>2022</v>
      </c>
      <c r="O449" s="160" t="str">
        <f t="shared" si="70"/>
        <v>Dec</v>
      </c>
      <c r="P449" s="155" t="s">
        <v>162</v>
      </c>
      <c r="Q449" s="161" t="s">
        <v>271</v>
      </c>
      <c r="R449" s="155" t="s">
        <v>48</v>
      </c>
      <c r="S449" s="142" t="s">
        <v>20</v>
      </c>
      <c r="T449" s="204">
        <v>45438</v>
      </c>
      <c r="U449" s="162" t="str">
        <f t="shared" si="71"/>
        <v>2024</v>
      </c>
      <c r="V449" s="162" t="str">
        <f t="shared" si="72"/>
        <v>May</v>
      </c>
      <c r="W449" s="142">
        <f t="shared" ca="1" si="66"/>
        <v>395</v>
      </c>
      <c r="X449" s="155" t="s">
        <v>98</v>
      </c>
      <c r="Y449" s="155">
        <f t="shared" ca="1" si="73"/>
        <v>9480</v>
      </c>
      <c r="Z449" s="163">
        <v>284.39999999999998</v>
      </c>
      <c r="AA449" s="148">
        <v>17064</v>
      </c>
      <c r="AB449" s="148">
        <f t="shared" si="74"/>
        <v>60.000000000000007</v>
      </c>
      <c r="AC449" s="204">
        <v>44897</v>
      </c>
      <c r="AD449" s="146" t="str">
        <f t="shared" si="75"/>
        <v>2022</v>
      </c>
      <c r="AE449" s="150" t="str">
        <f t="shared" si="76"/>
        <v>Dec</v>
      </c>
    </row>
    <row r="450" spans="1:31" s="164" customFormat="1" x14ac:dyDescent="0.25">
      <c r="A450" s="151"/>
      <c r="B450" s="159">
        <v>11</v>
      </c>
      <c r="C450" s="155" t="s">
        <v>77</v>
      </c>
      <c r="D450" s="154" t="s">
        <v>56</v>
      </c>
      <c r="E450" s="155" t="s">
        <v>117</v>
      </c>
      <c r="F450" s="141">
        <v>548</v>
      </c>
      <c r="G450" s="155" t="s">
        <v>140</v>
      </c>
      <c r="H450" s="205">
        <v>44891</v>
      </c>
      <c r="I450" s="160" t="str">
        <f t="shared" si="67"/>
        <v>2022</v>
      </c>
      <c r="J450" s="160" t="str">
        <f t="shared" si="68"/>
        <v>Nov</v>
      </c>
      <c r="K450" s="204">
        <v>44899</v>
      </c>
      <c r="L450" s="155" t="s">
        <v>156</v>
      </c>
      <c r="M450" s="204">
        <v>44939</v>
      </c>
      <c r="N450" s="160" t="str">
        <f t="shared" si="69"/>
        <v>2023</v>
      </c>
      <c r="O450" s="160" t="str">
        <f t="shared" si="70"/>
        <v>Jan</v>
      </c>
      <c r="P450" s="157" t="s">
        <v>164</v>
      </c>
      <c r="Q450" s="161" t="s">
        <v>266</v>
      </c>
      <c r="R450" s="155" t="s">
        <v>49</v>
      </c>
      <c r="S450" s="142" t="s">
        <v>20</v>
      </c>
      <c r="T450" s="204">
        <v>45186</v>
      </c>
      <c r="U450" s="162" t="str">
        <f t="shared" si="71"/>
        <v>2023</v>
      </c>
      <c r="V450" s="162" t="str">
        <f t="shared" si="72"/>
        <v>Sep</v>
      </c>
      <c r="W450" s="142">
        <f t="shared" ca="1" si="66"/>
        <v>210</v>
      </c>
      <c r="X450" s="155" t="s">
        <v>99</v>
      </c>
      <c r="Y450" s="155">
        <f t="shared" ca="1" si="73"/>
        <v>5040</v>
      </c>
      <c r="Z450" s="163">
        <v>100.8</v>
      </c>
      <c r="AA450" s="148">
        <v>5040</v>
      </c>
      <c r="AB450" s="148">
        <f t="shared" si="74"/>
        <v>50</v>
      </c>
      <c r="AC450" s="204">
        <v>44902</v>
      </c>
      <c r="AD450" s="146" t="str">
        <f t="shared" si="75"/>
        <v>2022</v>
      </c>
      <c r="AE450" s="150" t="str">
        <f t="shared" si="76"/>
        <v>Dec</v>
      </c>
    </row>
    <row r="451" spans="1:31" s="164" customFormat="1" x14ac:dyDescent="0.25">
      <c r="A451" s="151"/>
      <c r="B451" s="159">
        <v>12</v>
      </c>
      <c r="C451" s="155" t="s">
        <v>78</v>
      </c>
      <c r="D451" s="154" t="s">
        <v>57</v>
      </c>
      <c r="E451" s="155" t="s">
        <v>118</v>
      </c>
      <c r="F451" s="141">
        <v>549</v>
      </c>
      <c r="G451" s="155" t="s">
        <v>141</v>
      </c>
      <c r="H451" s="205">
        <v>44891</v>
      </c>
      <c r="I451" s="160" t="str">
        <f t="shared" si="67"/>
        <v>2022</v>
      </c>
      <c r="J451" s="160" t="str">
        <f t="shared" si="68"/>
        <v>Nov</v>
      </c>
      <c r="K451" s="204">
        <v>44904</v>
      </c>
      <c r="L451" s="155" t="s">
        <v>156</v>
      </c>
      <c r="M451" s="204">
        <v>44927</v>
      </c>
      <c r="N451" s="160" t="str">
        <f t="shared" si="69"/>
        <v>2023</v>
      </c>
      <c r="O451" s="160" t="str">
        <f t="shared" si="70"/>
        <v>Jan</v>
      </c>
      <c r="P451" s="157" t="s">
        <v>165</v>
      </c>
      <c r="Q451" s="161" t="s">
        <v>17</v>
      </c>
      <c r="R451" s="155" t="s">
        <v>50</v>
      </c>
      <c r="S451" s="142" t="s">
        <v>20</v>
      </c>
      <c r="T451" s="204">
        <v>45132</v>
      </c>
      <c r="U451" s="162" t="str">
        <f t="shared" si="71"/>
        <v>2023</v>
      </c>
      <c r="V451" s="162" t="str">
        <f t="shared" si="72"/>
        <v>Jul</v>
      </c>
      <c r="W451" s="142">
        <f t="shared" ref="W451:W503" ca="1" si="77">IF($T451="",NETWORKDAYS($H451,TODAY()),NETWORKDAYS($H451,$T451))</f>
        <v>172</v>
      </c>
      <c r="X451" s="155" t="s">
        <v>100</v>
      </c>
      <c r="Y451" s="155">
        <f t="shared" ca="1" si="73"/>
        <v>4128</v>
      </c>
      <c r="Z451" s="163">
        <v>82.56</v>
      </c>
      <c r="AA451" s="148">
        <v>12384</v>
      </c>
      <c r="AB451" s="148">
        <f t="shared" si="74"/>
        <v>150</v>
      </c>
      <c r="AC451" s="204">
        <v>44907</v>
      </c>
      <c r="AD451" s="146" t="str">
        <f t="shared" si="75"/>
        <v>2022</v>
      </c>
      <c r="AE451" s="150" t="str">
        <f t="shared" si="76"/>
        <v>Dec</v>
      </c>
    </row>
    <row r="452" spans="1:31" s="164" customFormat="1" x14ac:dyDescent="0.25">
      <c r="A452" s="151"/>
      <c r="B452" s="159">
        <v>13</v>
      </c>
      <c r="C452" s="155" t="s">
        <v>79</v>
      </c>
      <c r="D452" s="154" t="s">
        <v>58</v>
      </c>
      <c r="E452" s="155" t="s">
        <v>111</v>
      </c>
      <c r="F452" s="141">
        <v>550</v>
      </c>
      <c r="G452" s="155" t="s">
        <v>142</v>
      </c>
      <c r="H452" s="205">
        <v>44897</v>
      </c>
      <c r="I452" s="160" t="str">
        <f t="shared" ref="I452:I503" si="78">TEXT($H452,"YYYY")</f>
        <v>2022</v>
      </c>
      <c r="J452" s="160" t="str">
        <f t="shared" ref="J452:J503" si="79">TEXT($H452,"MMM")</f>
        <v>Dec</v>
      </c>
      <c r="K452" s="204">
        <v>44902</v>
      </c>
      <c r="L452" s="155" t="s">
        <v>161</v>
      </c>
      <c r="M452" s="204">
        <v>44923</v>
      </c>
      <c r="N452" s="160" t="str">
        <f t="shared" ref="N452:N503" si="80">TEXT($M452,"YYYY")</f>
        <v>2022</v>
      </c>
      <c r="O452" s="160" t="str">
        <f t="shared" ref="O452:O503" si="81">TEXT($M452,"MMM")</f>
        <v>Dec</v>
      </c>
      <c r="P452" s="155" t="s">
        <v>164</v>
      </c>
      <c r="Q452" s="161" t="s">
        <v>266</v>
      </c>
      <c r="R452" s="155" t="s">
        <v>51</v>
      </c>
      <c r="S452" s="142" t="s">
        <v>20</v>
      </c>
      <c r="T452" s="204">
        <v>45256</v>
      </c>
      <c r="U452" s="162" t="str">
        <f t="shared" ref="U452:U503" si="82">IF($T452="","",TEXT($T452,"YYYY"))</f>
        <v>2023</v>
      </c>
      <c r="V452" s="162" t="str">
        <f t="shared" ref="V452:V503" si="83">IF($T452="","",TEXT($T452,"MMM"))</f>
        <v>Nov</v>
      </c>
      <c r="W452" s="142">
        <f t="shared" ca="1" si="77"/>
        <v>256</v>
      </c>
      <c r="X452" s="155" t="s">
        <v>101</v>
      </c>
      <c r="Y452" s="155">
        <f t="shared" ref="Y452:Y503" ca="1" si="84">W452*24</f>
        <v>6144</v>
      </c>
      <c r="Z452" s="163">
        <v>61.44</v>
      </c>
      <c r="AA452" s="148">
        <v>3072</v>
      </c>
      <c r="AB452" s="148">
        <f t="shared" ref="AB452:AB503" si="85">AA452/Z452</f>
        <v>50</v>
      </c>
      <c r="AC452" s="204">
        <v>44905</v>
      </c>
      <c r="AD452" s="146" t="str">
        <f t="shared" ref="AD452:AD503" si="86">IF(AC452="","",TEXT(AC452,"yyyy"))</f>
        <v>2022</v>
      </c>
      <c r="AE452" s="150" t="str">
        <f t="shared" ref="AE452:AE503" si="87">IF(AC452="","",TEXT(AC452,"mmm"))</f>
        <v>Dec</v>
      </c>
    </row>
    <row r="453" spans="1:31" s="164" customFormat="1" x14ac:dyDescent="0.25">
      <c r="A453" s="151"/>
      <c r="B453" s="159">
        <v>14</v>
      </c>
      <c r="C453" s="155" t="s">
        <v>80</v>
      </c>
      <c r="D453" s="154" t="s">
        <v>59</v>
      </c>
      <c r="E453" s="155" t="s">
        <v>112</v>
      </c>
      <c r="F453" s="141">
        <v>551</v>
      </c>
      <c r="G453" s="155" t="s">
        <v>146</v>
      </c>
      <c r="H453" s="205">
        <v>44902</v>
      </c>
      <c r="I453" s="160" t="str">
        <f t="shared" si="78"/>
        <v>2022</v>
      </c>
      <c r="J453" s="160" t="str">
        <f t="shared" si="79"/>
        <v>Dec</v>
      </c>
      <c r="K453" s="204">
        <v>44912</v>
      </c>
      <c r="L453" s="155" t="s">
        <v>161</v>
      </c>
      <c r="M453" s="204">
        <v>44944</v>
      </c>
      <c r="N453" s="160" t="str">
        <f t="shared" si="80"/>
        <v>2023</v>
      </c>
      <c r="O453" s="160" t="str">
        <f t="shared" si="81"/>
        <v>Jan</v>
      </c>
      <c r="P453" s="155" t="s">
        <v>164</v>
      </c>
      <c r="Q453" s="161" t="s">
        <v>17</v>
      </c>
      <c r="R453" s="155" t="s">
        <v>52</v>
      </c>
      <c r="S453" s="142" t="s">
        <v>20</v>
      </c>
      <c r="T453" s="204">
        <v>45048</v>
      </c>
      <c r="U453" s="162" t="str">
        <f t="shared" si="82"/>
        <v>2023</v>
      </c>
      <c r="V453" s="162" t="str">
        <f t="shared" si="83"/>
        <v>May</v>
      </c>
      <c r="W453" s="142">
        <f t="shared" ca="1" si="77"/>
        <v>105</v>
      </c>
      <c r="X453" s="155" t="s">
        <v>102</v>
      </c>
      <c r="Y453" s="155">
        <f t="shared" ca="1" si="84"/>
        <v>2520</v>
      </c>
      <c r="Z453" s="163">
        <v>75.599999999999994</v>
      </c>
      <c r="AA453" s="148">
        <v>11340</v>
      </c>
      <c r="AB453" s="148">
        <f t="shared" si="85"/>
        <v>150</v>
      </c>
      <c r="AC453" s="204">
        <v>44915</v>
      </c>
      <c r="AD453" s="146" t="str">
        <f t="shared" si="86"/>
        <v>2022</v>
      </c>
      <c r="AE453" s="150" t="str">
        <f t="shared" si="87"/>
        <v>Dec</v>
      </c>
    </row>
    <row r="454" spans="1:31" x14ac:dyDescent="0.25">
      <c r="B454" s="152">
        <v>15</v>
      </c>
      <c r="C454" s="157" t="s">
        <v>81</v>
      </c>
      <c r="D454" s="154" t="s">
        <v>60</v>
      </c>
      <c r="E454" s="157" t="s">
        <v>113</v>
      </c>
      <c r="F454" s="141">
        <v>552</v>
      </c>
      <c r="G454" s="155" t="s">
        <v>125</v>
      </c>
      <c r="H454" s="204">
        <v>44902</v>
      </c>
      <c r="I454" s="143" t="str">
        <f t="shared" si="78"/>
        <v>2022</v>
      </c>
      <c r="J454" s="143" t="str">
        <f t="shared" si="79"/>
        <v>Dec</v>
      </c>
      <c r="K454" s="204">
        <v>44906</v>
      </c>
      <c r="L454" s="157" t="s">
        <v>161</v>
      </c>
      <c r="M454" s="204">
        <v>44935</v>
      </c>
      <c r="N454" s="143" t="str">
        <f t="shared" si="80"/>
        <v>2023</v>
      </c>
      <c r="O454" s="143" t="str">
        <f t="shared" si="81"/>
        <v>Jan</v>
      </c>
      <c r="P454" s="157" t="s">
        <v>164</v>
      </c>
      <c r="Q454" s="146" t="s">
        <v>17</v>
      </c>
      <c r="R454" s="157" t="s">
        <v>53</v>
      </c>
      <c r="S454" s="141" t="s">
        <v>20</v>
      </c>
      <c r="T454" s="204">
        <v>45365</v>
      </c>
      <c r="U454" s="145" t="str">
        <f t="shared" si="82"/>
        <v>2024</v>
      </c>
      <c r="V454" s="145" t="str">
        <f t="shared" si="83"/>
        <v>Mar</v>
      </c>
      <c r="W454" s="141">
        <f t="shared" ca="1" si="77"/>
        <v>332</v>
      </c>
      <c r="X454" s="157" t="s">
        <v>103</v>
      </c>
      <c r="Y454" s="157">
        <f t="shared" ca="1" si="84"/>
        <v>7968</v>
      </c>
      <c r="Z454" s="158">
        <v>159.36000000000001</v>
      </c>
      <c r="AA454" s="148">
        <v>23904.000000000004</v>
      </c>
      <c r="AB454" s="148">
        <f t="shared" si="85"/>
        <v>150</v>
      </c>
      <c r="AC454" s="204">
        <v>44909</v>
      </c>
      <c r="AD454" s="146" t="str">
        <f t="shared" si="86"/>
        <v>2022</v>
      </c>
      <c r="AE454" s="150" t="str">
        <f t="shared" si="87"/>
        <v>Dec</v>
      </c>
    </row>
    <row r="455" spans="1:31" x14ac:dyDescent="0.25">
      <c r="B455" s="152">
        <v>16</v>
      </c>
      <c r="C455" s="157" t="s">
        <v>82</v>
      </c>
      <c r="D455" s="154" t="s">
        <v>61</v>
      </c>
      <c r="E455" s="157" t="s">
        <v>114</v>
      </c>
      <c r="F455" s="141">
        <v>553</v>
      </c>
      <c r="G455" s="155" t="s">
        <v>126</v>
      </c>
      <c r="H455" s="204">
        <v>44902</v>
      </c>
      <c r="I455" s="143" t="str">
        <f t="shared" si="78"/>
        <v>2022</v>
      </c>
      <c r="J455" s="143" t="str">
        <f t="shared" si="79"/>
        <v>Dec</v>
      </c>
      <c r="K455" s="204">
        <v>44904</v>
      </c>
      <c r="L455" s="157" t="s">
        <v>158</v>
      </c>
      <c r="M455" s="204">
        <v>44950</v>
      </c>
      <c r="N455" s="143" t="str">
        <f t="shared" si="80"/>
        <v>2023</v>
      </c>
      <c r="O455" s="143" t="str">
        <f t="shared" si="81"/>
        <v>Jan</v>
      </c>
      <c r="P455" s="157" t="s">
        <v>162</v>
      </c>
      <c r="Q455" s="146" t="s">
        <v>17</v>
      </c>
      <c r="R455" s="157" t="s">
        <v>54</v>
      </c>
      <c r="S455" s="141" t="s">
        <v>20</v>
      </c>
      <c r="T455" s="204">
        <v>45036</v>
      </c>
      <c r="U455" s="145" t="str">
        <f t="shared" si="82"/>
        <v>2023</v>
      </c>
      <c r="V455" s="145" t="str">
        <f t="shared" si="83"/>
        <v>Apr</v>
      </c>
      <c r="W455" s="141">
        <f t="shared" ca="1" si="77"/>
        <v>97</v>
      </c>
      <c r="X455" s="157" t="s">
        <v>104</v>
      </c>
      <c r="Y455" s="157">
        <f t="shared" ca="1" si="84"/>
        <v>2328</v>
      </c>
      <c r="Z455" s="158">
        <v>46.56</v>
      </c>
      <c r="AA455" s="148">
        <v>6984</v>
      </c>
      <c r="AB455" s="148">
        <f t="shared" si="85"/>
        <v>150</v>
      </c>
      <c r="AC455" s="204">
        <v>44907</v>
      </c>
      <c r="AD455" s="146" t="str">
        <f t="shared" si="86"/>
        <v>2022</v>
      </c>
      <c r="AE455" s="150" t="str">
        <f t="shared" si="87"/>
        <v>Dec</v>
      </c>
    </row>
    <row r="456" spans="1:31" x14ac:dyDescent="0.25">
      <c r="B456" s="152">
        <v>17</v>
      </c>
      <c r="C456" s="157" t="s">
        <v>83</v>
      </c>
      <c r="D456" s="154" t="s">
        <v>33</v>
      </c>
      <c r="E456" s="157" t="s">
        <v>115</v>
      </c>
      <c r="F456" s="141">
        <v>554</v>
      </c>
      <c r="G456" s="155" t="s">
        <v>127</v>
      </c>
      <c r="H456" s="204">
        <v>44906</v>
      </c>
      <c r="I456" s="143" t="str">
        <f t="shared" si="78"/>
        <v>2022</v>
      </c>
      <c r="J456" s="143" t="str">
        <f t="shared" si="79"/>
        <v>Dec</v>
      </c>
      <c r="K456" s="204">
        <v>44910</v>
      </c>
      <c r="L456" s="157" t="s">
        <v>160</v>
      </c>
      <c r="M456" s="204">
        <v>44946</v>
      </c>
      <c r="N456" s="143" t="str">
        <f t="shared" si="80"/>
        <v>2023</v>
      </c>
      <c r="O456" s="143" t="str">
        <f t="shared" si="81"/>
        <v>Jan</v>
      </c>
      <c r="P456" s="157" t="s">
        <v>162</v>
      </c>
      <c r="Q456" s="146" t="s">
        <v>17</v>
      </c>
      <c r="R456" s="157" t="s">
        <v>38</v>
      </c>
      <c r="S456" s="141" t="s">
        <v>20</v>
      </c>
      <c r="T456" s="204">
        <v>45286</v>
      </c>
      <c r="U456" s="145" t="str">
        <f t="shared" si="82"/>
        <v>2023</v>
      </c>
      <c r="V456" s="145" t="str">
        <f t="shared" si="83"/>
        <v>Dec</v>
      </c>
      <c r="W456" s="141">
        <f t="shared" ca="1" si="77"/>
        <v>272</v>
      </c>
      <c r="X456" s="157" t="s">
        <v>105</v>
      </c>
      <c r="Y456" s="157">
        <f t="shared" ca="1" si="84"/>
        <v>6528</v>
      </c>
      <c r="Z456" s="158">
        <v>65.28</v>
      </c>
      <c r="AA456" s="148">
        <v>9792</v>
      </c>
      <c r="AB456" s="148">
        <f t="shared" si="85"/>
        <v>150</v>
      </c>
      <c r="AC456" s="204">
        <v>44913</v>
      </c>
      <c r="AD456" s="146" t="str">
        <f t="shared" si="86"/>
        <v>2022</v>
      </c>
      <c r="AE456" s="150" t="str">
        <f t="shared" si="87"/>
        <v>Dec</v>
      </c>
    </row>
    <row r="457" spans="1:31" x14ac:dyDescent="0.25">
      <c r="B457" s="152">
        <v>18</v>
      </c>
      <c r="C457" s="157" t="s">
        <v>84</v>
      </c>
      <c r="D457" s="154" t="s">
        <v>89</v>
      </c>
      <c r="E457" s="157" t="s">
        <v>112</v>
      </c>
      <c r="F457" s="141">
        <v>555</v>
      </c>
      <c r="G457" s="155" t="s">
        <v>128</v>
      </c>
      <c r="H457" s="204">
        <v>44906</v>
      </c>
      <c r="I457" s="143" t="str">
        <f t="shared" si="78"/>
        <v>2022</v>
      </c>
      <c r="J457" s="143" t="str">
        <f t="shared" si="79"/>
        <v>Dec</v>
      </c>
      <c r="K457" s="204">
        <v>44918</v>
      </c>
      <c r="L457" s="157" t="s">
        <v>156</v>
      </c>
      <c r="M457" s="204">
        <v>44959</v>
      </c>
      <c r="N457" s="143" t="str">
        <f t="shared" si="80"/>
        <v>2023</v>
      </c>
      <c r="O457" s="143" t="str">
        <f t="shared" si="81"/>
        <v>Feb</v>
      </c>
      <c r="P457" s="157" t="s">
        <v>164</v>
      </c>
      <c r="Q457" s="146" t="s">
        <v>267</v>
      </c>
      <c r="R457" s="157" t="s">
        <v>40</v>
      </c>
      <c r="S457" s="141" t="s">
        <v>20</v>
      </c>
      <c r="T457" s="204">
        <v>45107</v>
      </c>
      <c r="U457" s="145" t="str">
        <f t="shared" si="82"/>
        <v>2023</v>
      </c>
      <c r="V457" s="145" t="str">
        <f t="shared" si="83"/>
        <v>Jun</v>
      </c>
      <c r="W457" s="141">
        <f t="shared" ca="1" si="77"/>
        <v>145</v>
      </c>
      <c r="X457" s="157" t="s">
        <v>106</v>
      </c>
      <c r="Y457" s="157">
        <f t="shared" ca="1" si="84"/>
        <v>3480</v>
      </c>
      <c r="Z457" s="158">
        <v>69.600000000000009</v>
      </c>
      <c r="AA457" s="148">
        <v>5220.0000000000009</v>
      </c>
      <c r="AB457" s="148">
        <f t="shared" si="85"/>
        <v>75</v>
      </c>
      <c r="AC457" s="204">
        <v>44921</v>
      </c>
      <c r="AD457" s="146" t="str">
        <f t="shared" si="86"/>
        <v>2022</v>
      </c>
      <c r="AE457" s="150" t="str">
        <f t="shared" si="87"/>
        <v>Dec</v>
      </c>
    </row>
    <row r="458" spans="1:31" x14ac:dyDescent="0.25">
      <c r="B458" s="152">
        <v>1</v>
      </c>
      <c r="C458" s="153" t="s">
        <v>7</v>
      </c>
      <c r="D458" s="154" t="s">
        <v>8</v>
      </c>
      <c r="E458" s="157" t="s">
        <v>111</v>
      </c>
      <c r="F458" s="141">
        <v>556</v>
      </c>
      <c r="G458" s="155" t="s">
        <v>129</v>
      </c>
      <c r="H458" s="204">
        <v>44907</v>
      </c>
      <c r="I458" s="143" t="str">
        <f t="shared" si="78"/>
        <v>2022</v>
      </c>
      <c r="J458" s="143" t="str">
        <f t="shared" si="79"/>
        <v>Dec</v>
      </c>
      <c r="K458" s="204">
        <v>44919</v>
      </c>
      <c r="L458" s="151" t="s">
        <v>159</v>
      </c>
      <c r="M458" s="204">
        <v>44948</v>
      </c>
      <c r="N458" s="143" t="str">
        <f t="shared" si="80"/>
        <v>2023</v>
      </c>
      <c r="O458" s="143" t="str">
        <f t="shared" si="81"/>
        <v>Jan</v>
      </c>
      <c r="P458" s="157" t="s">
        <v>167</v>
      </c>
      <c r="Q458" s="146" t="s">
        <v>17</v>
      </c>
      <c r="R458" s="157" t="s">
        <v>18</v>
      </c>
      <c r="S458" s="141" t="s">
        <v>167</v>
      </c>
      <c r="T458" s="204" t="s">
        <v>274</v>
      </c>
      <c r="U458" s="145" t="str">
        <f t="shared" si="82"/>
        <v/>
      </c>
      <c r="V458" s="145" t="str">
        <f t="shared" si="83"/>
        <v/>
      </c>
      <c r="W458" s="141">
        <f t="shared" ca="1" si="77"/>
        <v>423</v>
      </c>
      <c r="X458" s="157" t="s">
        <v>89</v>
      </c>
      <c r="Y458" s="157">
        <f t="shared" ca="1" si="84"/>
        <v>10152</v>
      </c>
      <c r="Z458" s="158">
        <v>202.08</v>
      </c>
      <c r="AA458" s="148">
        <v>30312.000000000004</v>
      </c>
      <c r="AB458" s="148">
        <f t="shared" si="85"/>
        <v>150</v>
      </c>
      <c r="AC458" s="204"/>
      <c r="AD458" s="157" t="str">
        <f t="shared" si="86"/>
        <v/>
      </c>
      <c r="AE458" s="150" t="str">
        <f t="shared" si="87"/>
        <v/>
      </c>
    </row>
    <row r="459" spans="1:31" x14ac:dyDescent="0.25">
      <c r="B459" s="152">
        <v>2</v>
      </c>
      <c r="C459" s="153" t="s">
        <v>10</v>
      </c>
      <c r="D459" s="154" t="s">
        <v>11</v>
      </c>
      <c r="E459" s="157" t="s">
        <v>112</v>
      </c>
      <c r="F459" s="141">
        <v>557</v>
      </c>
      <c r="G459" s="155" t="s">
        <v>146</v>
      </c>
      <c r="H459" s="204">
        <v>44910</v>
      </c>
      <c r="I459" s="143" t="str">
        <f t="shared" si="78"/>
        <v>2022</v>
      </c>
      <c r="J459" s="143" t="str">
        <f t="shared" si="79"/>
        <v>Dec</v>
      </c>
      <c r="K459" s="204">
        <v>44924</v>
      </c>
      <c r="L459" s="151" t="s">
        <v>157</v>
      </c>
      <c r="M459" s="204">
        <v>44951</v>
      </c>
      <c r="N459" s="143" t="str">
        <f t="shared" si="80"/>
        <v>2023</v>
      </c>
      <c r="O459" s="143" t="str">
        <f t="shared" si="81"/>
        <v>Jan</v>
      </c>
      <c r="P459" s="157" t="s">
        <v>163</v>
      </c>
      <c r="Q459" s="146" t="s">
        <v>17</v>
      </c>
      <c r="R459" s="157" t="s">
        <v>19</v>
      </c>
      <c r="S459" s="141" t="s">
        <v>163</v>
      </c>
      <c r="T459" s="204"/>
      <c r="U459" s="145" t="str">
        <f t="shared" si="82"/>
        <v/>
      </c>
      <c r="V459" s="145" t="str">
        <f t="shared" si="83"/>
        <v/>
      </c>
      <c r="W459" s="141">
        <f t="shared" ca="1" si="77"/>
        <v>420</v>
      </c>
      <c r="X459" s="157" t="s">
        <v>90</v>
      </c>
      <c r="Y459" s="157">
        <f t="shared" ca="1" si="84"/>
        <v>10080</v>
      </c>
      <c r="Z459" s="158">
        <v>300.95999999999998</v>
      </c>
      <c r="AA459" s="148">
        <v>45144</v>
      </c>
      <c r="AB459" s="148">
        <f t="shared" si="85"/>
        <v>150</v>
      </c>
      <c r="AC459" s="204"/>
      <c r="AD459" s="157" t="str">
        <f t="shared" si="86"/>
        <v/>
      </c>
      <c r="AE459" s="150" t="str">
        <f t="shared" si="87"/>
        <v/>
      </c>
    </row>
    <row r="460" spans="1:31" x14ac:dyDescent="0.25">
      <c r="B460" s="152">
        <v>3</v>
      </c>
      <c r="C460" s="157" t="s">
        <v>69</v>
      </c>
      <c r="D460" s="154" t="s">
        <v>62</v>
      </c>
      <c r="E460" s="157" t="s">
        <v>113</v>
      </c>
      <c r="F460" s="141">
        <v>558</v>
      </c>
      <c r="G460" s="155" t="s">
        <v>130</v>
      </c>
      <c r="H460" s="204">
        <v>44912</v>
      </c>
      <c r="I460" s="143" t="str">
        <f t="shared" si="78"/>
        <v>2022</v>
      </c>
      <c r="J460" s="143" t="str">
        <f t="shared" si="79"/>
        <v>Dec</v>
      </c>
      <c r="K460" s="204">
        <v>44924</v>
      </c>
      <c r="L460" s="157" t="s">
        <v>159</v>
      </c>
      <c r="M460" s="204">
        <v>44961</v>
      </c>
      <c r="N460" s="143" t="str">
        <f t="shared" si="80"/>
        <v>2023</v>
      </c>
      <c r="O460" s="143" t="str">
        <f t="shared" si="81"/>
        <v>Feb</v>
      </c>
      <c r="P460" s="157" t="s">
        <v>164</v>
      </c>
      <c r="Q460" s="146" t="s">
        <v>17</v>
      </c>
      <c r="R460" s="157" t="s">
        <v>41</v>
      </c>
      <c r="S460" s="141" t="s">
        <v>20</v>
      </c>
      <c r="T460" s="204">
        <v>45169</v>
      </c>
      <c r="U460" s="145" t="str">
        <f t="shared" si="82"/>
        <v>2023</v>
      </c>
      <c r="V460" s="145" t="str">
        <f t="shared" si="83"/>
        <v>Aug</v>
      </c>
      <c r="W460" s="141">
        <f t="shared" ca="1" si="77"/>
        <v>184</v>
      </c>
      <c r="X460" s="157" t="s">
        <v>91</v>
      </c>
      <c r="Y460" s="157">
        <f t="shared" ca="1" si="84"/>
        <v>4416</v>
      </c>
      <c r="Z460" s="158">
        <v>88.320000000000007</v>
      </c>
      <c r="AA460" s="148">
        <v>13248.000000000002</v>
      </c>
      <c r="AB460" s="148">
        <f t="shared" si="85"/>
        <v>150</v>
      </c>
      <c r="AC460" s="204">
        <v>44927</v>
      </c>
      <c r="AD460" s="146" t="str">
        <f t="shared" si="86"/>
        <v>2023</v>
      </c>
      <c r="AE460" s="150" t="str">
        <f t="shared" si="87"/>
        <v>Jan</v>
      </c>
    </row>
    <row r="461" spans="1:31" x14ac:dyDescent="0.25">
      <c r="B461" s="152">
        <v>4</v>
      </c>
      <c r="C461" s="157" t="s">
        <v>70</v>
      </c>
      <c r="D461" s="154" t="s">
        <v>63</v>
      </c>
      <c r="E461" s="157" t="s">
        <v>114</v>
      </c>
      <c r="F461" s="141">
        <v>559</v>
      </c>
      <c r="G461" s="155" t="s">
        <v>131</v>
      </c>
      <c r="H461" s="204">
        <v>44917</v>
      </c>
      <c r="I461" s="143" t="str">
        <f t="shared" si="78"/>
        <v>2022</v>
      </c>
      <c r="J461" s="143" t="str">
        <f t="shared" si="79"/>
        <v>Dec</v>
      </c>
      <c r="K461" s="204">
        <v>44920</v>
      </c>
      <c r="L461" s="157" t="s">
        <v>159</v>
      </c>
      <c r="M461" s="204">
        <v>44959</v>
      </c>
      <c r="N461" s="143" t="str">
        <f t="shared" si="80"/>
        <v>2023</v>
      </c>
      <c r="O461" s="143" t="str">
        <f t="shared" si="81"/>
        <v>Feb</v>
      </c>
      <c r="P461" s="157" t="s">
        <v>165</v>
      </c>
      <c r="Q461" s="146" t="s">
        <v>266</v>
      </c>
      <c r="R461" s="157" t="s">
        <v>42</v>
      </c>
      <c r="S461" s="141" t="s">
        <v>20</v>
      </c>
      <c r="T461" s="204">
        <v>45317</v>
      </c>
      <c r="U461" s="145" t="str">
        <f t="shared" si="82"/>
        <v>2024</v>
      </c>
      <c r="V461" s="145" t="str">
        <f t="shared" si="83"/>
        <v>Jan</v>
      </c>
      <c r="W461" s="141">
        <f t="shared" ca="1" si="77"/>
        <v>287</v>
      </c>
      <c r="X461" s="157" t="s">
        <v>92</v>
      </c>
      <c r="Y461" s="157">
        <f t="shared" ca="1" si="84"/>
        <v>6888</v>
      </c>
      <c r="Z461" s="158">
        <v>137.76</v>
      </c>
      <c r="AA461" s="148">
        <v>6888</v>
      </c>
      <c r="AB461" s="148">
        <f t="shared" si="85"/>
        <v>50</v>
      </c>
      <c r="AC461" s="204">
        <v>44923</v>
      </c>
      <c r="AD461" s="146" t="str">
        <f t="shared" si="86"/>
        <v>2022</v>
      </c>
      <c r="AE461" s="150" t="str">
        <f t="shared" si="87"/>
        <v>Dec</v>
      </c>
    </row>
    <row r="462" spans="1:31" x14ac:dyDescent="0.25">
      <c r="B462" s="152">
        <v>5</v>
      </c>
      <c r="C462" s="157" t="s">
        <v>71</v>
      </c>
      <c r="D462" s="154" t="s">
        <v>64</v>
      </c>
      <c r="E462" s="157" t="s">
        <v>115</v>
      </c>
      <c r="F462" s="141">
        <v>560</v>
      </c>
      <c r="G462" s="155" t="s">
        <v>132</v>
      </c>
      <c r="H462" s="204">
        <v>44917</v>
      </c>
      <c r="I462" s="143" t="str">
        <f t="shared" si="78"/>
        <v>2022</v>
      </c>
      <c r="J462" s="143" t="str">
        <f t="shared" si="79"/>
        <v>Dec</v>
      </c>
      <c r="K462" s="204">
        <v>44925</v>
      </c>
      <c r="L462" s="157" t="s">
        <v>157</v>
      </c>
      <c r="M462" s="204">
        <v>44966</v>
      </c>
      <c r="N462" s="143" t="str">
        <f t="shared" si="80"/>
        <v>2023</v>
      </c>
      <c r="O462" s="143" t="str">
        <f t="shared" si="81"/>
        <v>Feb</v>
      </c>
      <c r="P462" s="157" t="s">
        <v>164</v>
      </c>
      <c r="Q462" s="146" t="s">
        <v>17</v>
      </c>
      <c r="R462" s="157" t="s">
        <v>43</v>
      </c>
      <c r="S462" s="141" t="s">
        <v>20</v>
      </c>
      <c r="T462" s="204">
        <v>45220</v>
      </c>
      <c r="U462" s="145" t="str">
        <f t="shared" si="82"/>
        <v>2023</v>
      </c>
      <c r="V462" s="145" t="str">
        <f t="shared" si="83"/>
        <v>Oct</v>
      </c>
      <c r="W462" s="141">
        <f t="shared" ca="1" si="77"/>
        <v>217</v>
      </c>
      <c r="X462" s="157" t="s">
        <v>93</v>
      </c>
      <c r="Y462" s="157">
        <f t="shared" ca="1" si="84"/>
        <v>5208</v>
      </c>
      <c r="Z462" s="158">
        <v>104.16</v>
      </c>
      <c r="AA462" s="148">
        <v>15624</v>
      </c>
      <c r="AB462" s="148">
        <f t="shared" si="85"/>
        <v>150</v>
      </c>
      <c r="AC462" s="204">
        <v>44928</v>
      </c>
      <c r="AD462" s="146" t="str">
        <f t="shared" si="86"/>
        <v>2023</v>
      </c>
      <c r="AE462" s="150" t="str">
        <f t="shared" si="87"/>
        <v>Jan</v>
      </c>
    </row>
    <row r="463" spans="1:31" x14ac:dyDescent="0.25">
      <c r="B463" s="152">
        <v>6</v>
      </c>
      <c r="C463" s="157" t="s">
        <v>72</v>
      </c>
      <c r="D463" s="154" t="s">
        <v>65</v>
      </c>
      <c r="E463" s="157" t="s">
        <v>116</v>
      </c>
      <c r="F463" s="141">
        <v>561</v>
      </c>
      <c r="G463" s="155" t="s">
        <v>146</v>
      </c>
      <c r="H463" s="204">
        <v>44924</v>
      </c>
      <c r="I463" s="143" t="str">
        <f t="shared" si="78"/>
        <v>2022</v>
      </c>
      <c r="J463" s="143" t="str">
        <f t="shared" si="79"/>
        <v>Dec</v>
      </c>
      <c r="K463" s="204">
        <v>44927</v>
      </c>
      <c r="L463" s="157" t="s">
        <v>157</v>
      </c>
      <c r="M463" s="204">
        <v>44965</v>
      </c>
      <c r="N463" s="143" t="str">
        <f t="shared" si="80"/>
        <v>2023</v>
      </c>
      <c r="O463" s="143" t="str">
        <f t="shared" si="81"/>
        <v>Feb</v>
      </c>
      <c r="P463" s="157" t="s">
        <v>162</v>
      </c>
      <c r="Q463" s="146" t="s">
        <v>17</v>
      </c>
      <c r="R463" s="157" t="s">
        <v>44</v>
      </c>
      <c r="S463" s="141" t="s">
        <v>20</v>
      </c>
      <c r="T463" s="204">
        <v>45287</v>
      </c>
      <c r="U463" s="145" t="str">
        <f t="shared" si="82"/>
        <v>2023</v>
      </c>
      <c r="V463" s="145" t="str">
        <f t="shared" si="83"/>
        <v>Dec</v>
      </c>
      <c r="W463" s="141">
        <f t="shared" ca="1" si="77"/>
        <v>260</v>
      </c>
      <c r="X463" s="157" t="s">
        <v>94</v>
      </c>
      <c r="Y463" s="157">
        <f t="shared" ca="1" si="84"/>
        <v>6240</v>
      </c>
      <c r="Z463" s="158">
        <v>187.2</v>
      </c>
      <c r="AA463" s="148">
        <v>28080</v>
      </c>
      <c r="AB463" s="148">
        <f t="shared" si="85"/>
        <v>150</v>
      </c>
      <c r="AC463" s="204">
        <v>44930</v>
      </c>
      <c r="AD463" s="146" t="str">
        <f t="shared" si="86"/>
        <v>2023</v>
      </c>
      <c r="AE463" s="150" t="str">
        <f t="shared" si="87"/>
        <v>Jan</v>
      </c>
    </row>
    <row r="464" spans="1:31" x14ac:dyDescent="0.25">
      <c r="B464" s="152">
        <v>7</v>
      </c>
      <c r="C464" s="157" t="s">
        <v>73</v>
      </c>
      <c r="D464" s="154" t="s">
        <v>66</v>
      </c>
      <c r="E464" s="157" t="s">
        <v>117</v>
      </c>
      <c r="F464" s="141">
        <v>562</v>
      </c>
      <c r="G464" s="155" t="s">
        <v>133</v>
      </c>
      <c r="H464" s="204">
        <v>44925</v>
      </c>
      <c r="I464" s="143" t="str">
        <f t="shared" si="78"/>
        <v>2022</v>
      </c>
      <c r="J464" s="143" t="str">
        <f t="shared" si="79"/>
        <v>Dec</v>
      </c>
      <c r="K464" s="204">
        <v>44928</v>
      </c>
      <c r="L464" s="157" t="s">
        <v>160</v>
      </c>
      <c r="M464" s="204">
        <v>44968</v>
      </c>
      <c r="N464" s="143" t="str">
        <f t="shared" si="80"/>
        <v>2023</v>
      </c>
      <c r="O464" s="143" t="str">
        <f t="shared" si="81"/>
        <v>Feb</v>
      </c>
      <c r="P464" s="157" t="s">
        <v>167</v>
      </c>
      <c r="Q464" s="146" t="s">
        <v>268</v>
      </c>
      <c r="R464" s="157" t="s">
        <v>45</v>
      </c>
      <c r="S464" s="141" t="s">
        <v>167</v>
      </c>
      <c r="T464" s="204" t="s">
        <v>274</v>
      </c>
      <c r="U464" s="145" t="str">
        <f t="shared" si="82"/>
        <v/>
      </c>
      <c r="V464" s="145" t="str">
        <f t="shared" si="83"/>
        <v/>
      </c>
      <c r="W464" s="141">
        <f t="shared" ca="1" si="77"/>
        <v>409</v>
      </c>
      <c r="X464" s="157" t="s">
        <v>95</v>
      </c>
      <c r="Y464" s="157">
        <f t="shared" ca="1" si="84"/>
        <v>9816</v>
      </c>
      <c r="Z464" s="158">
        <v>195.36</v>
      </c>
      <c r="AA464" s="148">
        <v>23443.200000000001</v>
      </c>
      <c r="AB464" s="148">
        <f t="shared" si="85"/>
        <v>120</v>
      </c>
      <c r="AC464" s="204"/>
      <c r="AD464" s="157" t="str">
        <f t="shared" si="86"/>
        <v/>
      </c>
      <c r="AE464" s="150" t="str">
        <f t="shared" si="87"/>
        <v/>
      </c>
    </row>
    <row r="465" spans="2:31" x14ac:dyDescent="0.25">
      <c r="B465" s="152">
        <v>8</v>
      </c>
      <c r="C465" s="157" t="s">
        <v>74</v>
      </c>
      <c r="D465" s="154" t="s">
        <v>67</v>
      </c>
      <c r="E465" s="157" t="s">
        <v>118</v>
      </c>
      <c r="F465" s="141">
        <v>563</v>
      </c>
      <c r="G465" s="155" t="s">
        <v>134</v>
      </c>
      <c r="H465" s="204">
        <v>44926</v>
      </c>
      <c r="I465" s="143" t="str">
        <f t="shared" si="78"/>
        <v>2022</v>
      </c>
      <c r="J465" s="143" t="str">
        <f t="shared" si="79"/>
        <v>Dec</v>
      </c>
      <c r="K465" s="204">
        <v>44938</v>
      </c>
      <c r="L465" s="157" t="s">
        <v>159</v>
      </c>
      <c r="M465" s="204">
        <v>44974</v>
      </c>
      <c r="N465" s="143" t="str">
        <f t="shared" si="80"/>
        <v>2023</v>
      </c>
      <c r="O465" s="143" t="str">
        <f t="shared" si="81"/>
        <v>Feb</v>
      </c>
      <c r="P465" s="157" t="s">
        <v>165</v>
      </c>
      <c r="Q465" s="146" t="s">
        <v>17</v>
      </c>
      <c r="R465" s="157" t="s">
        <v>46</v>
      </c>
      <c r="S465" s="141" t="s">
        <v>20</v>
      </c>
      <c r="T465" s="204">
        <v>45406</v>
      </c>
      <c r="U465" s="145" t="str">
        <f t="shared" si="82"/>
        <v>2024</v>
      </c>
      <c r="V465" s="145" t="str">
        <f t="shared" si="83"/>
        <v>Apr</v>
      </c>
      <c r="W465" s="141">
        <f t="shared" ca="1" si="77"/>
        <v>343</v>
      </c>
      <c r="X465" s="157" t="s">
        <v>96</v>
      </c>
      <c r="Y465" s="157">
        <f t="shared" ca="1" si="84"/>
        <v>8232</v>
      </c>
      <c r="Z465" s="158">
        <v>164.64000000000001</v>
      </c>
      <c r="AA465" s="148">
        <v>24696.000000000004</v>
      </c>
      <c r="AB465" s="148">
        <f t="shared" si="85"/>
        <v>150</v>
      </c>
      <c r="AC465" s="204">
        <v>44941</v>
      </c>
      <c r="AD465" s="146" t="str">
        <f t="shared" si="86"/>
        <v>2023</v>
      </c>
      <c r="AE465" s="150" t="str">
        <f t="shared" si="87"/>
        <v>Jan</v>
      </c>
    </row>
    <row r="466" spans="2:31" x14ac:dyDescent="0.25">
      <c r="B466" s="152">
        <v>9</v>
      </c>
      <c r="C466" s="157" t="s">
        <v>75</v>
      </c>
      <c r="D466" s="154" t="s">
        <v>68</v>
      </c>
      <c r="E466" s="157" t="s">
        <v>115</v>
      </c>
      <c r="F466" s="141">
        <v>564</v>
      </c>
      <c r="G466" s="155" t="s">
        <v>146</v>
      </c>
      <c r="H466" s="204">
        <v>44931</v>
      </c>
      <c r="I466" s="143" t="str">
        <f t="shared" si="78"/>
        <v>2023</v>
      </c>
      <c r="J466" s="143" t="str">
        <f t="shared" si="79"/>
        <v>Jan</v>
      </c>
      <c r="K466" s="204">
        <v>44942</v>
      </c>
      <c r="L466" s="157" t="s">
        <v>159</v>
      </c>
      <c r="M466" s="204">
        <v>44976</v>
      </c>
      <c r="N466" s="143" t="str">
        <f t="shared" si="80"/>
        <v>2023</v>
      </c>
      <c r="O466" s="143" t="str">
        <f t="shared" si="81"/>
        <v>Feb</v>
      </c>
      <c r="P466" s="157" t="s">
        <v>167</v>
      </c>
      <c r="Q466" s="146" t="s">
        <v>17</v>
      </c>
      <c r="R466" s="157" t="s">
        <v>47</v>
      </c>
      <c r="S466" s="157" t="s">
        <v>167</v>
      </c>
      <c r="T466" s="204" t="s">
        <v>274</v>
      </c>
      <c r="U466" s="143" t="str">
        <f t="shared" si="82"/>
        <v/>
      </c>
      <c r="V466" s="143" t="str">
        <f t="shared" si="83"/>
        <v/>
      </c>
      <c r="W466" s="157">
        <f t="shared" ca="1" si="77"/>
        <v>405</v>
      </c>
      <c r="X466" s="157" t="s">
        <v>97</v>
      </c>
      <c r="Y466" s="157">
        <f t="shared" ca="1" si="84"/>
        <v>9720</v>
      </c>
      <c r="Z466" s="158">
        <v>193.44</v>
      </c>
      <c r="AA466" s="148">
        <v>29016</v>
      </c>
      <c r="AB466" s="148">
        <f t="shared" si="85"/>
        <v>150</v>
      </c>
      <c r="AC466" s="204"/>
      <c r="AD466" s="157" t="str">
        <f t="shared" si="86"/>
        <v/>
      </c>
      <c r="AE466" s="150" t="str">
        <f t="shared" si="87"/>
        <v/>
      </c>
    </row>
    <row r="467" spans="2:31" x14ac:dyDescent="0.25">
      <c r="B467" s="152">
        <v>10</v>
      </c>
      <c r="C467" s="157" t="s">
        <v>76</v>
      </c>
      <c r="D467" s="154" t="s">
        <v>55</v>
      </c>
      <c r="E467" s="157" t="s">
        <v>116</v>
      </c>
      <c r="F467" s="141">
        <v>565</v>
      </c>
      <c r="G467" s="155" t="s">
        <v>135</v>
      </c>
      <c r="H467" s="204">
        <v>44931</v>
      </c>
      <c r="I467" s="143" t="str">
        <f t="shared" si="78"/>
        <v>2023</v>
      </c>
      <c r="J467" s="143" t="str">
        <f t="shared" si="79"/>
        <v>Jan</v>
      </c>
      <c r="K467" s="204">
        <v>44939</v>
      </c>
      <c r="L467" s="157" t="s">
        <v>160</v>
      </c>
      <c r="M467" s="204">
        <v>44963</v>
      </c>
      <c r="N467" s="143" t="str">
        <f t="shared" si="80"/>
        <v>2023</v>
      </c>
      <c r="O467" s="143" t="str">
        <f t="shared" si="81"/>
        <v>Feb</v>
      </c>
      <c r="P467" s="157" t="s">
        <v>165</v>
      </c>
      <c r="Q467" s="146" t="s">
        <v>269</v>
      </c>
      <c r="R467" s="157" t="s">
        <v>48</v>
      </c>
      <c r="S467" s="157" t="s">
        <v>20</v>
      </c>
      <c r="T467" s="204">
        <v>45122</v>
      </c>
      <c r="U467" s="143" t="str">
        <f t="shared" si="82"/>
        <v>2023</v>
      </c>
      <c r="V467" s="143" t="str">
        <f t="shared" si="83"/>
        <v>Jul</v>
      </c>
      <c r="W467" s="157">
        <f t="shared" ca="1" si="77"/>
        <v>137</v>
      </c>
      <c r="X467" s="157" t="s">
        <v>98</v>
      </c>
      <c r="Y467" s="157">
        <f t="shared" ca="1" si="84"/>
        <v>3288</v>
      </c>
      <c r="Z467" s="158">
        <v>32.880000000000003</v>
      </c>
      <c r="AA467" s="148">
        <v>1644.0000000000002</v>
      </c>
      <c r="AB467" s="148">
        <f t="shared" si="85"/>
        <v>50</v>
      </c>
      <c r="AC467" s="204">
        <v>44942</v>
      </c>
      <c r="AD467" s="146" t="str">
        <f t="shared" si="86"/>
        <v>2023</v>
      </c>
      <c r="AE467" s="150" t="str">
        <f t="shared" si="87"/>
        <v>Jan</v>
      </c>
    </row>
    <row r="468" spans="2:31" x14ac:dyDescent="0.25">
      <c r="B468" s="152">
        <v>11</v>
      </c>
      <c r="C468" s="157" t="s">
        <v>77</v>
      </c>
      <c r="D468" s="154" t="s">
        <v>56</v>
      </c>
      <c r="E468" s="157" t="s">
        <v>117</v>
      </c>
      <c r="F468" s="141">
        <v>566</v>
      </c>
      <c r="G468" s="155" t="s">
        <v>136</v>
      </c>
      <c r="H468" s="204">
        <v>44932</v>
      </c>
      <c r="I468" s="143" t="str">
        <f t="shared" si="78"/>
        <v>2023</v>
      </c>
      <c r="J468" s="143" t="str">
        <f t="shared" si="79"/>
        <v>Jan</v>
      </c>
      <c r="K468" s="204">
        <v>44932</v>
      </c>
      <c r="L468" s="157" t="s">
        <v>159</v>
      </c>
      <c r="M468" s="204">
        <v>44973</v>
      </c>
      <c r="N468" s="143" t="str">
        <f t="shared" si="80"/>
        <v>2023</v>
      </c>
      <c r="O468" s="143" t="str">
        <f t="shared" si="81"/>
        <v>Feb</v>
      </c>
      <c r="P468" s="157" t="s">
        <v>167</v>
      </c>
      <c r="Q468" s="146" t="s">
        <v>17</v>
      </c>
      <c r="R468" s="157" t="s">
        <v>49</v>
      </c>
      <c r="S468" s="157" t="s">
        <v>167</v>
      </c>
      <c r="T468" s="204" t="s">
        <v>274</v>
      </c>
      <c r="U468" s="143" t="str">
        <f t="shared" si="82"/>
        <v/>
      </c>
      <c r="V468" s="143" t="str">
        <f t="shared" si="83"/>
        <v/>
      </c>
      <c r="W468" s="157">
        <f t="shared" ca="1" si="77"/>
        <v>404</v>
      </c>
      <c r="X468" s="157" t="s">
        <v>99</v>
      </c>
      <c r="Y468" s="157">
        <f t="shared" ca="1" si="84"/>
        <v>9696</v>
      </c>
      <c r="Z468" s="158">
        <v>96.48</v>
      </c>
      <c r="AA468" s="148">
        <v>14472</v>
      </c>
      <c r="AB468" s="148">
        <f t="shared" si="85"/>
        <v>150</v>
      </c>
      <c r="AC468" s="204"/>
      <c r="AD468" s="157" t="str">
        <f t="shared" si="86"/>
        <v/>
      </c>
      <c r="AE468" s="150" t="str">
        <f t="shared" si="87"/>
        <v/>
      </c>
    </row>
    <row r="469" spans="2:31" x14ac:dyDescent="0.25">
      <c r="B469" s="152">
        <v>12</v>
      </c>
      <c r="C469" s="157" t="s">
        <v>78</v>
      </c>
      <c r="D469" s="154" t="s">
        <v>57</v>
      </c>
      <c r="E469" s="157" t="s">
        <v>118</v>
      </c>
      <c r="F469" s="141">
        <v>567</v>
      </c>
      <c r="G469" s="155" t="s">
        <v>122</v>
      </c>
      <c r="H469" s="204">
        <v>44934</v>
      </c>
      <c r="I469" s="143" t="str">
        <f t="shared" si="78"/>
        <v>2023</v>
      </c>
      <c r="J469" s="143" t="str">
        <f t="shared" si="79"/>
        <v>Jan</v>
      </c>
      <c r="K469" s="204">
        <v>44935</v>
      </c>
      <c r="L469" s="157" t="s">
        <v>157</v>
      </c>
      <c r="M469" s="204">
        <v>44965</v>
      </c>
      <c r="N469" s="143" t="str">
        <f t="shared" si="80"/>
        <v>2023</v>
      </c>
      <c r="O469" s="143" t="str">
        <f t="shared" si="81"/>
        <v>Feb</v>
      </c>
      <c r="P469" s="157" t="s">
        <v>163</v>
      </c>
      <c r="Q469" s="146" t="s">
        <v>265</v>
      </c>
      <c r="R469" s="157" t="s">
        <v>50</v>
      </c>
      <c r="S469" s="157" t="s">
        <v>163</v>
      </c>
      <c r="T469" s="204" t="s">
        <v>274</v>
      </c>
      <c r="U469" s="143" t="str">
        <f t="shared" si="82"/>
        <v/>
      </c>
      <c r="V469" s="143" t="str">
        <f t="shared" si="83"/>
        <v/>
      </c>
      <c r="W469" s="157">
        <f t="shared" ca="1" si="77"/>
        <v>403</v>
      </c>
      <c r="X469" s="157" t="s">
        <v>100</v>
      </c>
      <c r="Y469" s="157">
        <f t="shared" ca="1" si="84"/>
        <v>9672</v>
      </c>
      <c r="Z469" s="158">
        <v>288.71999999999997</v>
      </c>
      <c r="AA469" s="148">
        <v>28871.999999999996</v>
      </c>
      <c r="AB469" s="148">
        <f t="shared" si="85"/>
        <v>100</v>
      </c>
      <c r="AC469" s="204"/>
      <c r="AD469" s="157" t="str">
        <f t="shared" si="86"/>
        <v/>
      </c>
      <c r="AE469" s="150" t="str">
        <f t="shared" si="87"/>
        <v/>
      </c>
    </row>
    <row r="470" spans="2:31" x14ac:dyDescent="0.25">
      <c r="B470" s="152">
        <v>13</v>
      </c>
      <c r="C470" s="157" t="s">
        <v>79</v>
      </c>
      <c r="D470" s="154" t="s">
        <v>58</v>
      </c>
      <c r="E470" s="157" t="s">
        <v>111</v>
      </c>
      <c r="F470" s="141">
        <v>568</v>
      </c>
      <c r="G470" s="155" t="s">
        <v>123</v>
      </c>
      <c r="H470" s="204">
        <v>44939</v>
      </c>
      <c r="I470" s="143" t="str">
        <f t="shared" si="78"/>
        <v>2023</v>
      </c>
      <c r="J470" s="143" t="str">
        <f t="shared" si="79"/>
        <v>Jan</v>
      </c>
      <c r="K470" s="204">
        <v>44944</v>
      </c>
      <c r="L470" s="157" t="s">
        <v>160</v>
      </c>
      <c r="M470" s="204">
        <v>44980</v>
      </c>
      <c r="N470" s="143" t="str">
        <f t="shared" si="80"/>
        <v>2023</v>
      </c>
      <c r="O470" s="143" t="str">
        <f t="shared" si="81"/>
        <v>Feb</v>
      </c>
      <c r="P470" s="157" t="s">
        <v>167</v>
      </c>
      <c r="Q470" s="146" t="s">
        <v>266</v>
      </c>
      <c r="R470" s="157" t="s">
        <v>51</v>
      </c>
      <c r="S470" s="157" t="s">
        <v>167</v>
      </c>
      <c r="T470" s="204" t="s">
        <v>274</v>
      </c>
      <c r="U470" s="143" t="str">
        <f t="shared" si="82"/>
        <v/>
      </c>
      <c r="V470" s="143" t="str">
        <f t="shared" si="83"/>
        <v/>
      </c>
      <c r="W470" s="157">
        <f t="shared" ca="1" si="77"/>
        <v>399</v>
      </c>
      <c r="X470" s="157" t="s">
        <v>101</v>
      </c>
      <c r="Y470" s="157">
        <f t="shared" ca="1" si="84"/>
        <v>9576</v>
      </c>
      <c r="Z470" s="158">
        <v>95.28</v>
      </c>
      <c r="AA470" s="148">
        <v>4764</v>
      </c>
      <c r="AB470" s="148">
        <f t="shared" si="85"/>
        <v>50</v>
      </c>
      <c r="AC470" s="204"/>
      <c r="AD470" s="157" t="str">
        <f t="shared" si="86"/>
        <v/>
      </c>
      <c r="AE470" s="150" t="str">
        <f t="shared" si="87"/>
        <v/>
      </c>
    </row>
    <row r="471" spans="2:31" x14ac:dyDescent="0.25">
      <c r="B471" s="152">
        <v>14</v>
      </c>
      <c r="C471" s="157" t="s">
        <v>80</v>
      </c>
      <c r="D471" s="154" t="s">
        <v>59</v>
      </c>
      <c r="E471" s="157" t="s">
        <v>112</v>
      </c>
      <c r="F471" s="141">
        <v>569</v>
      </c>
      <c r="G471" s="155" t="s">
        <v>120</v>
      </c>
      <c r="H471" s="204">
        <v>44941</v>
      </c>
      <c r="I471" s="143" t="str">
        <f t="shared" si="78"/>
        <v>2023</v>
      </c>
      <c r="J471" s="143" t="str">
        <f t="shared" si="79"/>
        <v>Jan</v>
      </c>
      <c r="K471" s="204">
        <v>44945</v>
      </c>
      <c r="L471" s="151" t="s">
        <v>158</v>
      </c>
      <c r="M471" s="204">
        <v>44975</v>
      </c>
      <c r="N471" s="143" t="str">
        <f t="shared" si="80"/>
        <v>2023</v>
      </c>
      <c r="O471" s="143" t="str">
        <f t="shared" si="81"/>
        <v>Feb</v>
      </c>
      <c r="P471" s="157" t="s">
        <v>163</v>
      </c>
      <c r="Q471" s="146" t="s">
        <v>17</v>
      </c>
      <c r="R471" s="157" t="s">
        <v>52</v>
      </c>
      <c r="S471" s="157" t="s">
        <v>163</v>
      </c>
      <c r="T471" s="204" t="s">
        <v>274</v>
      </c>
      <c r="U471" s="143" t="str">
        <f t="shared" si="82"/>
        <v/>
      </c>
      <c r="V471" s="143" t="str">
        <f t="shared" si="83"/>
        <v/>
      </c>
      <c r="W471" s="157">
        <f t="shared" ca="1" si="77"/>
        <v>398</v>
      </c>
      <c r="X471" s="157" t="s">
        <v>102</v>
      </c>
      <c r="Y471" s="157">
        <f t="shared" ca="1" si="84"/>
        <v>9552</v>
      </c>
      <c r="Z471" s="158">
        <v>190.08</v>
      </c>
      <c r="AA471" s="148">
        <v>28512.000000000004</v>
      </c>
      <c r="AB471" s="148">
        <f t="shared" si="85"/>
        <v>150</v>
      </c>
      <c r="AC471" s="204"/>
      <c r="AD471" s="157" t="str">
        <f t="shared" si="86"/>
        <v/>
      </c>
      <c r="AE471" s="150" t="str">
        <f t="shared" si="87"/>
        <v/>
      </c>
    </row>
    <row r="472" spans="2:31" x14ac:dyDescent="0.25">
      <c r="B472" s="152">
        <v>15</v>
      </c>
      <c r="C472" s="157" t="s">
        <v>81</v>
      </c>
      <c r="D472" s="154" t="s">
        <v>60</v>
      </c>
      <c r="E472" s="157" t="s">
        <v>113</v>
      </c>
      <c r="F472" s="141">
        <v>570</v>
      </c>
      <c r="G472" s="155" t="s">
        <v>121</v>
      </c>
      <c r="H472" s="204">
        <v>44946</v>
      </c>
      <c r="I472" s="143" t="str">
        <f t="shared" si="78"/>
        <v>2023</v>
      </c>
      <c r="J472" s="143" t="str">
        <f t="shared" si="79"/>
        <v>Jan</v>
      </c>
      <c r="K472" s="204">
        <v>44951</v>
      </c>
      <c r="L472" s="157" t="s">
        <v>156</v>
      </c>
      <c r="M472" s="204">
        <v>44992</v>
      </c>
      <c r="N472" s="143" t="str">
        <f t="shared" si="80"/>
        <v>2023</v>
      </c>
      <c r="O472" s="143" t="str">
        <f t="shared" si="81"/>
        <v>Mar</v>
      </c>
      <c r="P472" s="157" t="s">
        <v>165</v>
      </c>
      <c r="Q472" s="146" t="s">
        <v>264</v>
      </c>
      <c r="R472" s="157" t="s">
        <v>53</v>
      </c>
      <c r="S472" s="157" t="s">
        <v>20</v>
      </c>
      <c r="T472" s="204">
        <v>45471</v>
      </c>
      <c r="U472" s="143" t="str">
        <f t="shared" si="82"/>
        <v>2024</v>
      </c>
      <c r="V472" s="143" t="str">
        <f t="shared" si="83"/>
        <v>Jun</v>
      </c>
      <c r="W472" s="141">
        <f t="shared" ca="1" si="77"/>
        <v>376</v>
      </c>
      <c r="X472" s="157" t="s">
        <v>103</v>
      </c>
      <c r="Y472" s="157">
        <f t="shared" ca="1" si="84"/>
        <v>9024</v>
      </c>
      <c r="Z472" s="158">
        <v>270.71999999999997</v>
      </c>
      <c r="AA472" s="148">
        <v>8121.5999999999995</v>
      </c>
      <c r="AB472" s="148">
        <f t="shared" si="85"/>
        <v>30</v>
      </c>
      <c r="AC472" s="204">
        <v>44954</v>
      </c>
      <c r="AD472" s="146" t="str">
        <f t="shared" si="86"/>
        <v>2023</v>
      </c>
      <c r="AE472" s="150" t="str">
        <f t="shared" si="87"/>
        <v>Jan</v>
      </c>
    </row>
    <row r="473" spans="2:31" x14ac:dyDescent="0.25">
      <c r="B473" s="152">
        <v>16</v>
      </c>
      <c r="C473" s="157" t="s">
        <v>82</v>
      </c>
      <c r="D473" s="154" t="s">
        <v>61</v>
      </c>
      <c r="E473" s="157" t="s">
        <v>114</v>
      </c>
      <c r="F473" s="141">
        <v>571</v>
      </c>
      <c r="G473" s="155" t="s">
        <v>122</v>
      </c>
      <c r="H473" s="204">
        <v>44946</v>
      </c>
      <c r="I473" s="143" t="str">
        <f t="shared" si="78"/>
        <v>2023</v>
      </c>
      <c r="J473" s="143" t="str">
        <f t="shared" si="79"/>
        <v>Jan</v>
      </c>
      <c r="K473" s="204">
        <v>44948</v>
      </c>
      <c r="L473" s="157" t="s">
        <v>158</v>
      </c>
      <c r="M473" s="204">
        <v>44984</v>
      </c>
      <c r="N473" s="143" t="str">
        <f t="shared" si="80"/>
        <v>2023</v>
      </c>
      <c r="O473" s="143" t="str">
        <f t="shared" si="81"/>
        <v>Feb</v>
      </c>
      <c r="P473" s="157" t="s">
        <v>165</v>
      </c>
      <c r="Q473" s="146" t="s">
        <v>265</v>
      </c>
      <c r="R473" s="157" t="s">
        <v>54</v>
      </c>
      <c r="S473" s="157" t="s">
        <v>20</v>
      </c>
      <c r="T473" s="204">
        <v>45099</v>
      </c>
      <c r="U473" s="143" t="str">
        <f t="shared" si="82"/>
        <v>2023</v>
      </c>
      <c r="V473" s="143" t="str">
        <f t="shared" si="83"/>
        <v>Jun</v>
      </c>
      <c r="W473" s="157">
        <f t="shared" ca="1" si="77"/>
        <v>110</v>
      </c>
      <c r="X473" s="157" t="s">
        <v>104</v>
      </c>
      <c r="Y473" s="157">
        <f t="shared" ca="1" si="84"/>
        <v>2640</v>
      </c>
      <c r="Z473" s="158">
        <v>26.400000000000002</v>
      </c>
      <c r="AA473" s="148">
        <v>2640</v>
      </c>
      <c r="AB473" s="148">
        <f t="shared" si="85"/>
        <v>99.999999999999986</v>
      </c>
      <c r="AC473" s="204">
        <v>44951</v>
      </c>
      <c r="AD473" s="146" t="str">
        <f t="shared" si="86"/>
        <v>2023</v>
      </c>
      <c r="AE473" s="150" t="str">
        <f t="shared" si="87"/>
        <v>Jan</v>
      </c>
    </row>
    <row r="474" spans="2:31" x14ac:dyDescent="0.25">
      <c r="B474" s="152">
        <v>17</v>
      </c>
      <c r="C474" s="157" t="s">
        <v>83</v>
      </c>
      <c r="D474" s="154" t="s">
        <v>33</v>
      </c>
      <c r="E474" s="157" t="s">
        <v>115</v>
      </c>
      <c r="F474" s="141">
        <v>572</v>
      </c>
      <c r="G474" s="155" t="s">
        <v>123</v>
      </c>
      <c r="H474" s="204">
        <v>45313</v>
      </c>
      <c r="I474" s="143" t="str">
        <f t="shared" si="78"/>
        <v>2024</v>
      </c>
      <c r="J474" s="143" t="str">
        <f t="shared" si="79"/>
        <v>Jan</v>
      </c>
      <c r="K474" s="204">
        <v>44951</v>
      </c>
      <c r="L474" s="151" t="s">
        <v>157</v>
      </c>
      <c r="M474" s="204">
        <v>44996</v>
      </c>
      <c r="N474" s="143" t="str">
        <f t="shared" si="80"/>
        <v>2023</v>
      </c>
      <c r="O474" s="143" t="str">
        <f t="shared" si="81"/>
        <v>Mar</v>
      </c>
      <c r="P474" s="157" t="s">
        <v>163</v>
      </c>
      <c r="Q474" s="146" t="s">
        <v>266</v>
      </c>
      <c r="R474" s="157" t="s">
        <v>38</v>
      </c>
      <c r="S474" s="157" t="s">
        <v>163</v>
      </c>
      <c r="T474" s="204" t="s">
        <v>274</v>
      </c>
      <c r="U474" s="143" t="str">
        <f t="shared" si="82"/>
        <v/>
      </c>
      <c r="V474" s="143" t="str">
        <f t="shared" si="83"/>
        <v/>
      </c>
      <c r="W474" s="157">
        <f t="shared" ca="1" si="77"/>
        <v>133</v>
      </c>
      <c r="X474" s="157" t="s">
        <v>105</v>
      </c>
      <c r="Y474" s="157">
        <f t="shared" ca="1" si="84"/>
        <v>3192</v>
      </c>
      <c r="Z474" s="158">
        <v>94.32</v>
      </c>
      <c r="AA474" s="148">
        <v>4716</v>
      </c>
      <c r="AB474" s="148">
        <f t="shared" si="85"/>
        <v>50.000000000000007</v>
      </c>
      <c r="AC474" s="204"/>
      <c r="AD474" s="157" t="str">
        <f t="shared" si="86"/>
        <v/>
      </c>
      <c r="AE474" s="150" t="str">
        <f t="shared" si="87"/>
        <v/>
      </c>
    </row>
    <row r="475" spans="2:31" x14ac:dyDescent="0.25">
      <c r="B475" s="152">
        <v>18</v>
      </c>
      <c r="C475" s="157" t="s">
        <v>84</v>
      </c>
      <c r="D475" s="154" t="s">
        <v>89</v>
      </c>
      <c r="E475" s="157" t="s">
        <v>112</v>
      </c>
      <c r="F475" s="141">
        <v>573</v>
      </c>
      <c r="G475" s="155" t="s">
        <v>147</v>
      </c>
      <c r="H475" s="204">
        <v>44954</v>
      </c>
      <c r="I475" s="143" t="str">
        <f t="shared" si="78"/>
        <v>2023</v>
      </c>
      <c r="J475" s="143" t="str">
        <f t="shared" si="79"/>
        <v>Jan</v>
      </c>
      <c r="K475" s="204">
        <v>44963</v>
      </c>
      <c r="L475" s="151" t="s">
        <v>160</v>
      </c>
      <c r="M475" s="204">
        <v>44991</v>
      </c>
      <c r="N475" s="143" t="str">
        <f t="shared" si="80"/>
        <v>2023</v>
      </c>
      <c r="O475" s="143" t="str">
        <f t="shared" si="81"/>
        <v>Mar</v>
      </c>
      <c r="P475" s="157" t="s">
        <v>167</v>
      </c>
      <c r="Q475" s="146" t="s">
        <v>272</v>
      </c>
      <c r="R475" s="157" t="s">
        <v>40</v>
      </c>
      <c r="S475" s="157" t="s">
        <v>167</v>
      </c>
      <c r="T475" s="204" t="s">
        <v>274</v>
      </c>
      <c r="U475" s="143" t="str">
        <f t="shared" si="82"/>
        <v/>
      </c>
      <c r="V475" s="143" t="str">
        <f t="shared" si="83"/>
        <v/>
      </c>
      <c r="W475" s="157">
        <f t="shared" ca="1" si="77"/>
        <v>388</v>
      </c>
      <c r="X475" s="157" t="s">
        <v>106</v>
      </c>
      <c r="Y475" s="157">
        <f t="shared" ca="1" si="84"/>
        <v>9312</v>
      </c>
      <c r="Z475" s="158">
        <v>92.64</v>
      </c>
      <c r="AA475" s="148">
        <v>7411.2</v>
      </c>
      <c r="AB475" s="148">
        <f t="shared" si="85"/>
        <v>80</v>
      </c>
      <c r="AC475" s="204"/>
      <c r="AD475" s="157" t="str">
        <f t="shared" si="86"/>
        <v/>
      </c>
      <c r="AE475" s="150" t="str">
        <f t="shared" si="87"/>
        <v/>
      </c>
    </row>
    <row r="476" spans="2:31" x14ac:dyDescent="0.25">
      <c r="B476" s="152">
        <v>19</v>
      </c>
      <c r="C476" s="157" t="s">
        <v>85</v>
      </c>
      <c r="D476" s="154" t="s">
        <v>90</v>
      </c>
      <c r="E476" s="157" t="s">
        <v>113</v>
      </c>
      <c r="F476" s="141">
        <v>574</v>
      </c>
      <c r="G476" s="155" t="s">
        <v>124</v>
      </c>
      <c r="H476" s="204">
        <v>44958</v>
      </c>
      <c r="I476" s="143" t="str">
        <f t="shared" si="78"/>
        <v>2023</v>
      </c>
      <c r="J476" s="143" t="str">
        <f t="shared" si="79"/>
        <v>Feb</v>
      </c>
      <c r="K476" s="204">
        <v>44971</v>
      </c>
      <c r="L476" s="157" t="s">
        <v>159</v>
      </c>
      <c r="M476" s="204">
        <v>45001</v>
      </c>
      <c r="N476" s="143" t="str">
        <f t="shared" si="80"/>
        <v>2023</v>
      </c>
      <c r="O476" s="143" t="str">
        <f t="shared" si="81"/>
        <v>Mar</v>
      </c>
      <c r="P476" s="157" t="s">
        <v>162</v>
      </c>
      <c r="Q476" s="146" t="s">
        <v>17</v>
      </c>
      <c r="R476" s="157" t="s">
        <v>34</v>
      </c>
      <c r="S476" s="157" t="s">
        <v>20</v>
      </c>
      <c r="T476" s="204">
        <v>45066</v>
      </c>
      <c r="U476" s="143" t="str">
        <f t="shared" si="82"/>
        <v>2023</v>
      </c>
      <c r="V476" s="143" t="str">
        <f t="shared" si="83"/>
        <v>May</v>
      </c>
      <c r="W476" s="157">
        <f t="shared" ca="1" si="77"/>
        <v>78</v>
      </c>
      <c r="X476" s="157" t="s">
        <v>107</v>
      </c>
      <c r="Y476" s="157">
        <f t="shared" ca="1" si="84"/>
        <v>1872</v>
      </c>
      <c r="Z476" s="158">
        <v>37.44</v>
      </c>
      <c r="AA476" s="148">
        <v>5616</v>
      </c>
      <c r="AB476" s="148">
        <f t="shared" si="85"/>
        <v>150</v>
      </c>
      <c r="AC476" s="204">
        <v>44974</v>
      </c>
      <c r="AD476" s="146" t="str">
        <f t="shared" si="86"/>
        <v>2023</v>
      </c>
      <c r="AE476" s="150" t="str">
        <f t="shared" si="87"/>
        <v>Feb</v>
      </c>
    </row>
    <row r="477" spans="2:31" x14ac:dyDescent="0.25">
      <c r="B477" s="152">
        <v>20</v>
      </c>
      <c r="C477" s="157" t="s">
        <v>86</v>
      </c>
      <c r="D477" s="154" t="s">
        <v>91</v>
      </c>
      <c r="E477" s="157" t="s">
        <v>114</v>
      </c>
      <c r="F477" s="141">
        <v>575</v>
      </c>
      <c r="G477" s="155" t="s">
        <v>148</v>
      </c>
      <c r="H477" s="204">
        <v>44960</v>
      </c>
      <c r="I477" s="143" t="str">
        <f t="shared" si="78"/>
        <v>2023</v>
      </c>
      <c r="J477" s="143" t="str">
        <f t="shared" si="79"/>
        <v>Feb</v>
      </c>
      <c r="K477" s="204">
        <v>44965</v>
      </c>
      <c r="L477" s="151" t="s">
        <v>158</v>
      </c>
      <c r="M477" s="204">
        <v>45013</v>
      </c>
      <c r="N477" s="143" t="str">
        <f t="shared" si="80"/>
        <v>2023</v>
      </c>
      <c r="O477" s="143" t="str">
        <f t="shared" si="81"/>
        <v>Mar</v>
      </c>
      <c r="P477" s="157" t="s">
        <v>163</v>
      </c>
      <c r="Q477" s="146" t="s">
        <v>17</v>
      </c>
      <c r="R477" s="157" t="s">
        <v>35</v>
      </c>
      <c r="S477" s="157" t="s">
        <v>163</v>
      </c>
      <c r="T477" s="204" t="s">
        <v>274</v>
      </c>
      <c r="U477" s="143" t="str">
        <f t="shared" si="82"/>
        <v/>
      </c>
      <c r="V477" s="143" t="str">
        <f t="shared" si="83"/>
        <v/>
      </c>
      <c r="W477" s="157">
        <f t="shared" ca="1" si="77"/>
        <v>384</v>
      </c>
      <c r="X477" s="157" t="s">
        <v>108</v>
      </c>
      <c r="Y477" s="157">
        <f t="shared" ca="1" si="84"/>
        <v>9216</v>
      </c>
      <c r="Z477" s="158">
        <v>183.36</v>
      </c>
      <c r="AA477" s="148">
        <v>27504.000000000004</v>
      </c>
      <c r="AB477" s="148">
        <f t="shared" si="85"/>
        <v>150</v>
      </c>
      <c r="AC477" s="204"/>
      <c r="AD477" s="157" t="str">
        <f t="shared" si="86"/>
        <v/>
      </c>
      <c r="AE477" s="150" t="str">
        <f t="shared" si="87"/>
        <v/>
      </c>
    </row>
    <row r="478" spans="2:31" x14ac:dyDescent="0.25">
      <c r="B478" s="152">
        <v>21</v>
      </c>
      <c r="C478" s="157" t="s">
        <v>87</v>
      </c>
      <c r="D478" s="154" t="s">
        <v>92</v>
      </c>
      <c r="E478" s="157" t="s">
        <v>115</v>
      </c>
      <c r="F478" s="141">
        <v>576</v>
      </c>
      <c r="G478" s="155" t="s">
        <v>125</v>
      </c>
      <c r="H478" s="204">
        <v>44961</v>
      </c>
      <c r="I478" s="143" t="str">
        <f t="shared" si="78"/>
        <v>2023</v>
      </c>
      <c r="J478" s="143" t="str">
        <f t="shared" si="79"/>
        <v>Feb</v>
      </c>
      <c r="K478" s="204">
        <v>44974</v>
      </c>
      <c r="L478" s="151" t="s">
        <v>157</v>
      </c>
      <c r="M478" s="204">
        <v>44992</v>
      </c>
      <c r="N478" s="143" t="str">
        <f t="shared" si="80"/>
        <v>2023</v>
      </c>
      <c r="O478" s="143" t="str">
        <f t="shared" si="81"/>
        <v>Mar</v>
      </c>
      <c r="P478" s="157" t="s">
        <v>163</v>
      </c>
      <c r="Q478" s="146" t="s">
        <v>17</v>
      </c>
      <c r="R478" s="157" t="s">
        <v>36</v>
      </c>
      <c r="S478" s="157" t="s">
        <v>163</v>
      </c>
      <c r="T478" s="204"/>
      <c r="U478" s="143" t="str">
        <f t="shared" si="82"/>
        <v/>
      </c>
      <c r="V478" s="143" t="str">
        <f t="shared" si="83"/>
        <v/>
      </c>
      <c r="W478" s="157">
        <f t="shared" ca="1" si="77"/>
        <v>383</v>
      </c>
      <c r="X478" s="157" t="s">
        <v>109</v>
      </c>
      <c r="Y478" s="157">
        <f t="shared" ca="1" si="84"/>
        <v>9192</v>
      </c>
      <c r="Z478" s="158">
        <v>182.88</v>
      </c>
      <c r="AA478" s="148">
        <v>27432</v>
      </c>
      <c r="AB478" s="148">
        <f t="shared" si="85"/>
        <v>150</v>
      </c>
      <c r="AC478" s="204"/>
      <c r="AD478" s="157" t="str">
        <f t="shared" si="86"/>
        <v/>
      </c>
      <c r="AE478" s="150" t="str">
        <f t="shared" si="87"/>
        <v/>
      </c>
    </row>
    <row r="479" spans="2:31" x14ac:dyDescent="0.25">
      <c r="B479" s="152">
        <v>22</v>
      </c>
      <c r="C479" s="157" t="s">
        <v>88</v>
      </c>
      <c r="D479" s="154" t="s">
        <v>39</v>
      </c>
      <c r="E479" s="157" t="s">
        <v>116</v>
      </c>
      <c r="F479" s="141">
        <v>577</v>
      </c>
      <c r="G479" s="155" t="s">
        <v>126</v>
      </c>
      <c r="H479" s="204">
        <v>44964</v>
      </c>
      <c r="I479" s="143" t="str">
        <f t="shared" si="78"/>
        <v>2023</v>
      </c>
      <c r="J479" s="143" t="str">
        <f t="shared" si="79"/>
        <v>Feb</v>
      </c>
      <c r="K479" s="204">
        <v>44976</v>
      </c>
      <c r="L479" s="151" t="s">
        <v>157</v>
      </c>
      <c r="M479" s="204">
        <v>44995</v>
      </c>
      <c r="N479" s="143" t="str">
        <f t="shared" si="80"/>
        <v>2023</v>
      </c>
      <c r="O479" s="143" t="str">
        <f t="shared" si="81"/>
        <v>Mar</v>
      </c>
      <c r="P479" s="157" t="s">
        <v>163</v>
      </c>
      <c r="Q479" s="146" t="s">
        <v>17</v>
      </c>
      <c r="R479" s="157" t="s">
        <v>37</v>
      </c>
      <c r="S479" s="157" t="s">
        <v>163</v>
      </c>
      <c r="T479" s="204"/>
      <c r="U479" s="143" t="str">
        <f t="shared" si="82"/>
        <v/>
      </c>
      <c r="V479" s="143" t="str">
        <f t="shared" si="83"/>
        <v/>
      </c>
      <c r="W479" s="157">
        <f t="shared" ca="1" si="77"/>
        <v>382</v>
      </c>
      <c r="X479" s="157" t="s">
        <v>110</v>
      </c>
      <c r="Y479" s="157">
        <f t="shared" ca="1" si="84"/>
        <v>9168</v>
      </c>
      <c r="Z479" s="158">
        <v>182.4</v>
      </c>
      <c r="AA479" s="148">
        <v>27360</v>
      </c>
      <c r="AB479" s="148">
        <f t="shared" si="85"/>
        <v>150</v>
      </c>
      <c r="AC479" s="204"/>
      <c r="AD479" s="157" t="str">
        <f t="shared" si="86"/>
        <v/>
      </c>
      <c r="AE479" s="150" t="str">
        <f t="shared" si="87"/>
        <v/>
      </c>
    </row>
    <row r="480" spans="2:31" x14ac:dyDescent="0.25">
      <c r="B480" s="152">
        <v>1</v>
      </c>
      <c r="C480" s="153" t="s">
        <v>7</v>
      </c>
      <c r="D480" s="154" t="s">
        <v>8</v>
      </c>
      <c r="E480" s="157" t="s">
        <v>111</v>
      </c>
      <c r="F480" s="141">
        <v>578</v>
      </c>
      <c r="G480" s="155" t="s">
        <v>127</v>
      </c>
      <c r="H480" s="204">
        <v>44965</v>
      </c>
      <c r="I480" s="143" t="str">
        <f t="shared" si="78"/>
        <v>2023</v>
      </c>
      <c r="J480" s="143" t="str">
        <f t="shared" si="79"/>
        <v>Feb</v>
      </c>
      <c r="K480" s="204">
        <v>44970</v>
      </c>
      <c r="L480" s="151" t="s">
        <v>159</v>
      </c>
      <c r="M480" s="204">
        <v>45013</v>
      </c>
      <c r="N480" s="143" t="str">
        <f t="shared" si="80"/>
        <v>2023</v>
      </c>
      <c r="O480" s="143" t="str">
        <f t="shared" si="81"/>
        <v>Mar</v>
      </c>
      <c r="P480" s="157" t="s">
        <v>167</v>
      </c>
      <c r="Q480" s="146" t="s">
        <v>17</v>
      </c>
      <c r="R480" s="157" t="s">
        <v>18</v>
      </c>
      <c r="S480" s="157" t="s">
        <v>167</v>
      </c>
      <c r="T480" s="204" t="s">
        <v>274</v>
      </c>
      <c r="U480" s="143" t="str">
        <f t="shared" si="82"/>
        <v/>
      </c>
      <c r="V480" s="143" t="str">
        <f t="shared" si="83"/>
        <v/>
      </c>
      <c r="W480" s="157">
        <f t="shared" ca="1" si="77"/>
        <v>381</v>
      </c>
      <c r="X480" s="157" t="s">
        <v>89</v>
      </c>
      <c r="Y480" s="157">
        <f t="shared" ca="1" si="84"/>
        <v>9144</v>
      </c>
      <c r="Z480" s="158">
        <v>272.88</v>
      </c>
      <c r="AA480" s="148">
        <v>40932</v>
      </c>
      <c r="AB480" s="148">
        <f t="shared" si="85"/>
        <v>150</v>
      </c>
      <c r="AC480" s="204"/>
      <c r="AD480" s="157" t="str">
        <f t="shared" si="86"/>
        <v/>
      </c>
      <c r="AE480" s="150" t="str">
        <f t="shared" si="87"/>
        <v/>
      </c>
    </row>
    <row r="481" spans="2:31" x14ac:dyDescent="0.25">
      <c r="B481" s="152">
        <v>2</v>
      </c>
      <c r="C481" s="153" t="s">
        <v>10</v>
      </c>
      <c r="D481" s="154" t="s">
        <v>11</v>
      </c>
      <c r="E481" s="157" t="s">
        <v>112</v>
      </c>
      <c r="F481" s="141">
        <v>579</v>
      </c>
      <c r="G481" s="155" t="s">
        <v>128</v>
      </c>
      <c r="H481" s="204">
        <v>44966</v>
      </c>
      <c r="I481" s="143" t="str">
        <f t="shared" si="78"/>
        <v>2023</v>
      </c>
      <c r="J481" s="143" t="str">
        <f t="shared" si="79"/>
        <v>Feb</v>
      </c>
      <c r="K481" s="204">
        <v>44971</v>
      </c>
      <c r="L481" s="157" t="s">
        <v>160</v>
      </c>
      <c r="M481" s="204">
        <v>44999</v>
      </c>
      <c r="N481" s="143" t="str">
        <f t="shared" si="80"/>
        <v>2023</v>
      </c>
      <c r="O481" s="143" t="str">
        <f t="shared" si="81"/>
        <v>Mar</v>
      </c>
      <c r="P481" s="157" t="s">
        <v>167</v>
      </c>
      <c r="Q481" s="146" t="s">
        <v>267</v>
      </c>
      <c r="R481" s="157" t="s">
        <v>19</v>
      </c>
      <c r="S481" s="157" t="s">
        <v>167</v>
      </c>
      <c r="T481" s="204" t="s">
        <v>274</v>
      </c>
      <c r="U481" s="143" t="str">
        <f t="shared" si="82"/>
        <v/>
      </c>
      <c r="V481" s="143" t="str">
        <f t="shared" si="83"/>
        <v/>
      </c>
      <c r="W481" s="157">
        <f t="shared" ca="1" si="77"/>
        <v>380</v>
      </c>
      <c r="X481" s="157" t="s">
        <v>90</v>
      </c>
      <c r="Y481" s="157">
        <f t="shared" ca="1" si="84"/>
        <v>9120</v>
      </c>
      <c r="Z481" s="158">
        <v>181.44</v>
      </c>
      <c r="AA481" s="148">
        <v>13608</v>
      </c>
      <c r="AB481" s="148">
        <f t="shared" si="85"/>
        <v>75</v>
      </c>
      <c r="AC481" s="204"/>
      <c r="AD481" s="157" t="str">
        <f t="shared" si="86"/>
        <v/>
      </c>
      <c r="AE481" s="150" t="str">
        <f t="shared" si="87"/>
        <v/>
      </c>
    </row>
    <row r="482" spans="2:31" x14ac:dyDescent="0.25">
      <c r="B482" s="152">
        <v>3</v>
      </c>
      <c r="C482" s="157" t="s">
        <v>69</v>
      </c>
      <c r="D482" s="154" t="s">
        <v>62</v>
      </c>
      <c r="E482" s="157" t="s">
        <v>113</v>
      </c>
      <c r="F482" s="141">
        <v>580</v>
      </c>
      <c r="G482" s="155" t="s">
        <v>129</v>
      </c>
      <c r="H482" s="204">
        <v>44967</v>
      </c>
      <c r="I482" s="143" t="str">
        <f t="shared" si="78"/>
        <v>2023</v>
      </c>
      <c r="J482" s="143" t="str">
        <f t="shared" si="79"/>
        <v>Feb</v>
      </c>
      <c r="K482" s="204">
        <v>44971</v>
      </c>
      <c r="L482" s="151" t="s">
        <v>158</v>
      </c>
      <c r="M482" s="204">
        <v>45026</v>
      </c>
      <c r="N482" s="143" t="str">
        <f t="shared" si="80"/>
        <v>2023</v>
      </c>
      <c r="O482" s="143" t="str">
        <f t="shared" si="81"/>
        <v>Apr</v>
      </c>
      <c r="P482" s="157" t="s">
        <v>163</v>
      </c>
      <c r="Q482" s="146" t="s">
        <v>17</v>
      </c>
      <c r="R482" s="157" t="s">
        <v>41</v>
      </c>
      <c r="S482" s="157" t="s">
        <v>163</v>
      </c>
      <c r="T482" s="204" t="s">
        <v>274</v>
      </c>
      <c r="U482" s="143" t="str">
        <f t="shared" si="82"/>
        <v/>
      </c>
      <c r="V482" s="143" t="str">
        <f t="shared" si="83"/>
        <v/>
      </c>
      <c r="W482" s="157">
        <f t="shared" ca="1" si="77"/>
        <v>379</v>
      </c>
      <c r="X482" s="157" t="s">
        <v>91</v>
      </c>
      <c r="Y482" s="157">
        <f t="shared" ca="1" si="84"/>
        <v>9096</v>
      </c>
      <c r="Z482" s="158">
        <v>180.96</v>
      </c>
      <c r="AA482" s="148">
        <v>27144</v>
      </c>
      <c r="AB482" s="148">
        <f t="shared" si="85"/>
        <v>150</v>
      </c>
      <c r="AC482" s="204"/>
      <c r="AD482" s="157" t="str">
        <f t="shared" si="86"/>
        <v/>
      </c>
      <c r="AE482" s="150" t="str">
        <f t="shared" si="87"/>
        <v/>
      </c>
    </row>
    <row r="483" spans="2:31" x14ac:dyDescent="0.25">
      <c r="B483" s="152">
        <v>4</v>
      </c>
      <c r="C483" s="157" t="s">
        <v>70</v>
      </c>
      <c r="D483" s="154" t="s">
        <v>63</v>
      </c>
      <c r="E483" s="157" t="s">
        <v>114</v>
      </c>
      <c r="F483" s="141">
        <v>581</v>
      </c>
      <c r="G483" s="155" t="s">
        <v>149</v>
      </c>
      <c r="H483" s="204">
        <v>44967</v>
      </c>
      <c r="I483" s="143" t="str">
        <f t="shared" si="78"/>
        <v>2023</v>
      </c>
      <c r="J483" s="143" t="str">
        <f t="shared" si="79"/>
        <v>Feb</v>
      </c>
      <c r="K483" s="204">
        <v>44969</v>
      </c>
      <c r="L483" s="157" t="s">
        <v>161</v>
      </c>
      <c r="M483" s="204">
        <v>44994</v>
      </c>
      <c r="N483" s="143" t="str">
        <f t="shared" si="80"/>
        <v>2023</v>
      </c>
      <c r="O483" s="143" t="str">
        <f t="shared" si="81"/>
        <v>Mar</v>
      </c>
      <c r="P483" s="157" t="s">
        <v>167</v>
      </c>
      <c r="Q483" s="146" t="s">
        <v>17</v>
      </c>
      <c r="R483" s="157" t="s">
        <v>42</v>
      </c>
      <c r="S483" s="157" t="s">
        <v>167</v>
      </c>
      <c r="T483" s="204" t="s">
        <v>274</v>
      </c>
      <c r="U483" s="143" t="str">
        <f t="shared" si="82"/>
        <v/>
      </c>
      <c r="V483" s="143" t="str">
        <f t="shared" si="83"/>
        <v/>
      </c>
      <c r="W483" s="157">
        <f t="shared" ca="1" si="77"/>
        <v>379</v>
      </c>
      <c r="X483" s="157" t="s">
        <v>92</v>
      </c>
      <c r="Y483" s="157">
        <f t="shared" ca="1" si="84"/>
        <v>9096</v>
      </c>
      <c r="Z483" s="158">
        <v>90.48</v>
      </c>
      <c r="AA483" s="148">
        <v>13572</v>
      </c>
      <c r="AB483" s="148">
        <f t="shared" si="85"/>
        <v>150</v>
      </c>
      <c r="AC483" s="204"/>
      <c r="AD483" s="157" t="str">
        <f t="shared" si="86"/>
        <v/>
      </c>
      <c r="AE483" s="150" t="str">
        <f t="shared" si="87"/>
        <v/>
      </c>
    </row>
    <row r="484" spans="2:31" x14ac:dyDescent="0.25">
      <c r="B484" s="152">
        <v>5</v>
      </c>
      <c r="C484" s="157" t="s">
        <v>71</v>
      </c>
      <c r="D484" s="154" t="s">
        <v>64</v>
      </c>
      <c r="E484" s="157" t="s">
        <v>115</v>
      </c>
      <c r="F484" s="141">
        <v>582</v>
      </c>
      <c r="G484" s="155" t="s">
        <v>130</v>
      </c>
      <c r="H484" s="204">
        <v>44967</v>
      </c>
      <c r="I484" s="143" t="str">
        <f t="shared" si="78"/>
        <v>2023</v>
      </c>
      <c r="J484" s="143" t="str">
        <f t="shared" si="79"/>
        <v>Feb</v>
      </c>
      <c r="K484" s="204">
        <v>44967</v>
      </c>
      <c r="L484" s="157" t="s">
        <v>157</v>
      </c>
      <c r="M484" s="204">
        <v>45011</v>
      </c>
      <c r="N484" s="143" t="str">
        <f t="shared" si="80"/>
        <v>2023</v>
      </c>
      <c r="O484" s="143" t="str">
        <f t="shared" si="81"/>
        <v>Mar</v>
      </c>
      <c r="P484" s="157" t="s">
        <v>163</v>
      </c>
      <c r="Q484" s="146" t="s">
        <v>17</v>
      </c>
      <c r="R484" s="157" t="s">
        <v>43</v>
      </c>
      <c r="S484" s="157" t="s">
        <v>163</v>
      </c>
      <c r="T484" s="204" t="s">
        <v>274</v>
      </c>
      <c r="U484" s="143" t="str">
        <f t="shared" si="82"/>
        <v/>
      </c>
      <c r="V484" s="143" t="str">
        <f t="shared" si="83"/>
        <v/>
      </c>
      <c r="W484" s="157">
        <f t="shared" ca="1" si="77"/>
        <v>379</v>
      </c>
      <c r="X484" s="157" t="s">
        <v>93</v>
      </c>
      <c r="Y484" s="157">
        <f t="shared" ca="1" si="84"/>
        <v>9096</v>
      </c>
      <c r="Z484" s="158">
        <v>271.44</v>
      </c>
      <c r="AA484" s="148">
        <v>40716</v>
      </c>
      <c r="AB484" s="148">
        <f t="shared" si="85"/>
        <v>150</v>
      </c>
      <c r="AC484" s="204"/>
      <c r="AD484" s="157" t="str">
        <f t="shared" si="86"/>
        <v/>
      </c>
      <c r="AE484" s="150" t="str">
        <f t="shared" si="87"/>
        <v/>
      </c>
    </row>
    <row r="485" spans="2:31" x14ac:dyDescent="0.25">
      <c r="B485" s="152">
        <v>6</v>
      </c>
      <c r="C485" s="157" t="s">
        <v>72</v>
      </c>
      <c r="D485" s="154" t="s">
        <v>65</v>
      </c>
      <c r="E485" s="157" t="s">
        <v>116</v>
      </c>
      <c r="F485" s="141">
        <v>583</v>
      </c>
      <c r="G485" s="155" t="s">
        <v>131</v>
      </c>
      <c r="H485" s="204">
        <v>44969</v>
      </c>
      <c r="I485" s="143" t="str">
        <f t="shared" si="78"/>
        <v>2023</v>
      </c>
      <c r="J485" s="143" t="str">
        <f t="shared" si="79"/>
        <v>Feb</v>
      </c>
      <c r="K485" s="204">
        <v>44973</v>
      </c>
      <c r="L485" s="157" t="s">
        <v>157</v>
      </c>
      <c r="M485" s="204">
        <v>45015</v>
      </c>
      <c r="N485" s="143" t="str">
        <f t="shared" si="80"/>
        <v>2023</v>
      </c>
      <c r="O485" s="143" t="str">
        <f t="shared" si="81"/>
        <v>Mar</v>
      </c>
      <c r="P485" s="157" t="s">
        <v>163</v>
      </c>
      <c r="Q485" s="146" t="s">
        <v>266</v>
      </c>
      <c r="R485" s="157" t="s">
        <v>44</v>
      </c>
      <c r="S485" s="157" t="s">
        <v>163</v>
      </c>
      <c r="T485" s="204" t="s">
        <v>274</v>
      </c>
      <c r="U485" s="143" t="str">
        <f t="shared" si="82"/>
        <v/>
      </c>
      <c r="V485" s="143" t="str">
        <f t="shared" si="83"/>
        <v/>
      </c>
      <c r="W485" s="157">
        <f t="shared" ca="1" si="77"/>
        <v>378</v>
      </c>
      <c r="X485" s="157" t="s">
        <v>94</v>
      </c>
      <c r="Y485" s="157">
        <f t="shared" ca="1" si="84"/>
        <v>9072</v>
      </c>
      <c r="Z485" s="158">
        <v>90.24</v>
      </c>
      <c r="AA485" s="148">
        <v>4512</v>
      </c>
      <c r="AB485" s="148">
        <f t="shared" si="85"/>
        <v>50</v>
      </c>
      <c r="AC485" s="204"/>
      <c r="AD485" s="157" t="str">
        <f t="shared" si="86"/>
        <v/>
      </c>
      <c r="AE485" s="150" t="str">
        <f t="shared" si="87"/>
        <v/>
      </c>
    </row>
    <row r="486" spans="2:31" x14ac:dyDescent="0.25">
      <c r="B486" s="152">
        <v>7</v>
      </c>
      <c r="C486" s="157" t="s">
        <v>73</v>
      </c>
      <c r="D486" s="154" t="s">
        <v>66</v>
      </c>
      <c r="E486" s="157" t="s">
        <v>117</v>
      </c>
      <c r="F486" s="141">
        <v>584</v>
      </c>
      <c r="G486" s="155" t="s">
        <v>132</v>
      </c>
      <c r="H486" s="204">
        <v>45182</v>
      </c>
      <c r="I486" s="143" t="str">
        <f t="shared" si="78"/>
        <v>2023</v>
      </c>
      <c r="J486" s="143" t="str">
        <f t="shared" si="79"/>
        <v>Sep</v>
      </c>
      <c r="K486" s="204">
        <v>44980</v>
      </c>
      <c r="L486" s="151" t="s">
        <v>158</v>
      </c>
      <c r="M486" s="204">
        <v>45017</v>
      </c>
      <c r="N486" s="143" t="str">
        <f t="shared" si="80"/>
        <v>2023</v>
      </c>
      <c r="O486" s="143" t="str">
        <f t="shared" si="81"/>
        <v>Apr</v>
      </c>
      <c r="P486" s="157" t="s">
        <v>163</v>
      </c>
      <c r="Q486" s="146" t="s">
        <v>17</v>
      </c>
      <c r="R486" s="157" t="s">
        <v>45</v>
      </c>
      <c r="S486" s="157" t="s">
        <v>163</v>
      </c>
      <c r="T486" s="204" t="s">
        <v>274</v>
      </c>
      <c r="U486" s="143" t="str">
        <f t="shared" si="82"/>
        <v/>
      </c>
      <c r="V486" s="143" t="str">
        <f t="shared" si="83"/>
        <v/>
      </c>
      <c r="W486" s="157">
        <f t="shared" ca="1" si="77"/>
        <v>226</v>
      </c>
      <c r="X486" s="157" t="s">
        <v>95</v>
      </c>
      <c r="Y486" s="157">
        <f t="shared" ca="1" si="84"/>
        <v>5424</v>
      </c>
      <c r="Z486" s="158">
        <v>107.52</v>
      </c>
      <c r="AA486" s="148">
        <v>16128</v>
      </c>
      <c r="AB486" s="148">
        <f t="shared" si="85"/>
        <v>150</v>
      </c>
      <c r="AC486" s="204"/>
      <c r="AD486" s="157" t="str">
        <f t="shared" si="86"/>
        <v/>
      </c>
      <c r="AE486" s="150" t="str">
        <f t="shared" si="87"/>
        <v/>
      </c>
    </row>
    <row r="487" spans="2:31" x14ac:dyDescent="0.25">
      <c r="B487" s="152">
        <v>8</v>
      </c>
      <c r="C487" s="157" t="s">
        <v>74</v>
      </c>
      <c r="D487" s="154" t="s">
        <v>67</v>
      </c>
      <c r="E487" s="157" t="s">
        <v>118</v>
      </c>
      <c r="F487" s="141">
        <v>585</v>
      </c>
      <c r="G487" s="155" t="s">
        <v>150</v>
      </c>
      <c r="H487" s="204">
        <v>44974</v>
      </c>
      <c r="I487" s="143" t="str">
        <f t="shared" si="78"/>
        <v>2023</v>
      </c>
      <c r="J487" s="143" t="str">
        <f t="shared" si="79"/>
        <v>Feb</v>
      </c>
      <c r="K487" s="204">
        <v>44981</v>
      </c>
      <c r="L487" s="157" t="s">
        <v>156</v>
      </c>
      <c r="M487" s="204">
        <v>45004</v>
      </c>
      <c r="N487" s="143" t="str">
        <f t="shared" si="80"/>
        <v>2023</v>
      </c>
      <c r="O487" s="143" t="str">
        <f t="shared" si="81"/>
        <v>Mar</v>
      </c>
      <c r="P487" s="157" t="s">
        <v>165</v>
      </c>
      <c r="Q487" s="146" t="s">
        <v>29</v>
      </c>
      <c r="R487" s="157" t="s">
        <v>46</v>
      </c>
      <c r="S487" s="157" t="s">
        <v>20</v>
      </c>
      <c r="T487" s="204">
        <v>45334</v>
      </c>
      <c r="U487" s="143" t="str">
        <f t="shared" si="82"/>
        <v>2024</v>
      </c>
      <c r="V487" s="143" t="str">
        <f t="shared" si="83"/>
        <v>Feb</v>
      </c>
      <c r="W487" s="157">
        <f t="shared" ca="1" si="77"/>
        <v>257</v>
      </c>
      <c r="X487" s="157" t="s">
        <v>96</v>
      </c>
      <c r="Y487" s="157">
        <f t="shared" ca="1" si="84"/>
        <v>6168</v>
      </c>
      <c r="Z487" s="158">
        <v>185.04</v>
      </c>
      <c r="AA487" s="148">
        <v>5551.2</v>
      </c>
      <c r="AB487" s="148">
        <f t="shared" si="85"/>
        <v>30</v>
      </c>
      <c r="AC487" s="204">
        <v>44984</v>
      </c>
      <c r="AD487" s="146" t="str">
        <f t="shared" si="86"/>
        <v>2023</v>
      </c>
      <c r="AE487" s="150" t="str">
        <f t="shared" si="87"/>
        <v>Feb</v>
      </c>
    </row>
    <row r="488" spans="2:31" x14ac:dyDescent="0.25">
      <c r="B488" s="152">
        <v>9</v>
      </c>
      <c r="C488" s="157" t="s">
        <v>75</v>
      </c>
      <c r="D488" s="154" t="s">
        <v>68</v>
      </c>
      <c r="E488" s="157" t="s">
        <v>115</v>
      </c>
      <c r="F488" s="141">
        <v>586</v>
      </c>
      <c r="G488" s="155" t="s">
        <v>133</v>
      </c>
      <c r="H488" s="204">
        <v>44974</v>
      </c>
      <c r="I488" s="143" t="str">
        <f t="shared" si="78"/>
        <v>2023</v>
      </c>
      <c r="J488" s="143" t="str">
        <f t="shared" si="79"/>
        <v>Feb</v>
      </c>
      <c r="K488" s="204">
        <v>44977</v>
      </c>
      <c r="L488" s="157" t="s">
        <v>158</v>
      </c>
      <c r="M488" s="204">
        <v>45008</v>
      </c>
      <c r="N488" s="143" t="str">
        <f t="shared" si="80"/>
        <v>2023</v>
      </c>
      <c r="O488" s="143" t="str">
        <f t="shared" si="81"/>
        <v>Mar</v>
      </c>
      <c r="P488" s="157" t="s">
        <v>164</v>
      </c>
      <c r="Q488" s="146" t="s">
        <v>268</v>
      </c>
      <c r="R488" s="157" t="s">
        <v>47</v>
      </c>
      <c r="S488" s="157" t="s">
        <v>20</v>
      </c>
      <c r="T488" s="204">
        <v>45350</v>
      </c>
      <c r="U488" s="143" t="str">
        <f t="shared" si="82"/>
        <v>2024</v>
      </c>
      <c r="V488" s="143" t="str">
        <f t="shared" si="83"/>
        <v>Feb</v>
      </c>
      <c r="W488" s="157">
        <f t="shared" ca="1" si="77"/>
        <v>269</v>
      </c>
      <c r="X488" s="157" t="s">
        <v>97</v>
      </c>
      <c r="Y488" s="157">
        <f t="shared" ca="1" si="84"/>
        <v>6456</v>
      </c>
      <c r="Z488" s="158">
        <v>64.56</v>
      </c>
      <c r="AA488" s="148">
        <v>7747.2000000000007</v>
      </c>
      <c r="AB488" s="148">
        <f t="shared" si="85"/>
        <v>120</v>
      </c>
      <c r="AC488" s="204">
        <v>44980</v>
      </c>
      <c r="AD488" s="146" t="str">
        <f t="shared" si="86"/>
        <v>2023</v>
      </c>
      <c r="AE488" s="150" t="str">
        <f t="shared" si="87"/>
        <v>Feb</v>
      </c>
    </row>
    <row r="489" spans="2:31" x14ac:dyDescent="0.25">
      <c r="B489" s="152">
        <v>10</v>
      </c>
      <c r="C489" s="157" t="s">
        <v>76</v>
      </c>
      <c r="D489" s="154" t="s">
        <v>55</v>
      </c>
      <c r="E489" s="157" t="s">
        <v>116</v>
      </c>
      <c r="F489" s="141">
        <v>587</v>
      </c>
      <c r="G489" s="154" t="s">
        <v>119</v>
      </c>
      <c r="H489" s="204">
        <v>44974</v>
      </c>
      <c r="I489" s="143" t="str">
        <f t="shared" si="78"/>
        <v>2023</v>
      </c>
      <c r="J489" s="143" t="str">
        <f t="shared" si="79"/>
        <v>Feb</v>
      </c>
      <c r="K489" s="204">
        <v>44980</v>
      </c>
      <c r="L489" s="151" t="s">
        <v>157</v>
      </c>
      <c r="M489" s="204">
        <v>45025</v>
      </c>
      <c r="N489" s="143" t="str">
        <f t="shared" si="80"/>
        <v>2023</v>
      </c>
      <c r="O489" s="143" t="str">
        <f t="shared" si="81"/>
        <v>Apr</v>
      </c>
      <c r="P489" s="157" t="s">
        <v>163</v>
      </c>
      <c r="Q489" s="146" t="s">
        <v>17</v>
      </c>
      <c r="R489" s="157" t="s">
        <v>48</v>
      </c>
      <c r="S489" s="157" t="s">
        <v>163</v>
      </c>
      <c r="T489" s="204" t="s">
        <v>274</v>
      </c>
      <c r="U489" s="143" t="str">
        <f t="shared" si="82"/>
        <v/>
      </c>
      <c r="V489" s="143" t="str">
        <f t="shared" si="83"/>
        <v/>
      </c>
      <c r="W489" s="157">
        <f t="shared" ca="1" si="77"/>
        <v>374</v>
      </c>
      <c r="X489" s="157" t="s">
        <v>98</v>
      </c>
      <c r="Y489" s="157">
        <f t="shared" ca="1" si="84"/>
        <v>8976</v>
      </c>
      <c r="Z489" s="158">
        <v>267.83999999999997</v>
      </c>
      <c r="AA489" s="148">
        <v>40175.999999999993</v>
      </c>
      <c r="AB489" s="148">
        <f t="shared" si="85"/>
        <v>150</v>
      </c>
      <c r="AC489" s="204"/>
      <c r="AD489" s="157" t="str">
        <f t="shared" si="86"/>
        <v/>
      </c>
      <c r="AE489" s="150" t="str">
        <f t="shared" si="87"/>
        <v/>
      </c>
    </row>
    <row r="490" spans="2:31" x14ac:dyDescent="0.25">
      <c r="B490" s="152">
        <v>11</v>
      </c>
      <c r="C490" s="157" t="s">
        <v>77</v>
      </c>
      <c r="D490" s="154" t="s">
        <v>56</v>
      </c>
      <c r="E490" s="157" t="s">
        <v>117</v>
      </c>
      <c r="F490" s="141">
        <v>588</v>
      </c>
      <c r="G490" s="155" t="s">
        <v>151</v>
      </c>
      <c r="H490" s="204">
        <v>44979</v>
      </c>
      <c r="I490" s="143" t="str">
        <f t="shared" si="78"/>
        <v>2023</v>
      </c>
      <c r="J490" s="143" t="str">
        <f t="shared" si="79"/>
        <v>Feb</v>
      </c>
      <c r="K490" s="204">
        <v>44987</v>
      </c>
      <c r="L490" s="157" t="s">
        <v>159</v>
      </c>
      <c r="M490" s="204">
        <v>45026</v>
      </c>
      <c r="N490" s="143" t="str">
        <f t="shared" si="80"/>
        <v>2023</v>
      </c>
      <c r="O490" s="143" t="str">
        <f t="shared" si="81"/>
        <v>Apr</v>
      </c>
      <c r="P490" s="157" t="s">
        <v>167</v>
      </c>
      <c r="Q490" s="146" t="s">
        <v>17</v>
      </c>
      <c r="R490" s="157" t="s">
        <v>49</v>
      </c>
      <c r="S490" s="157" t="s">
        <v>167</v>
      </c>
      <c r="T490" s="204" t="s">
        <v>274</v>
      </c>
      <c r="U490" s="143" t="str">
        <f t="shared" si="82"/>
        <v/>
      </c>
      <c r="V490" s="143" t="str">
        <f t="shared" si="83"/>
        <v/>
      </c>
      <c r="W490" s="157">
        <f t="shared" ca="1" si="77"/>
        <v>371</v>
      </c>
      <c r="X490" s="157" t="s">
        <v>99</v>
      </c>
      <c r="Y490" s="157">
        <f t="shared" ca="1" si="84"/>
        <v>8904</v>
      </c>
      <c r="Z490" s="158">
        <v>177.12</v>
      </c>
      <c r="AA490" s="148">
        <v>26568</v>
      </c>
      <c r="AB490" s="148">
        <f t="shared" si="85"/>
        <v>150</v>
      </c>
      <c r="AC490" s="204"/>
      <c r="AD490" s="157" t="str">
        <f t="shared" si="86"/>
        <v/>
      </c>
      <c r="AE490" s="150" t="str">
        <f t="shared" si="87"/>
        <v/>
      </c>
    </row>
    <row r="491" spans="2:31" x14ac:dyDescent="0.25">
      <c r="B491" s="152">
        <v>12</v>
      </c>
      <c r="C491" s="157" t="s">
        <v>78</v>
      </c>
      <c r="D491" s="154" t="s">
        <v>57</v>
      </c>
      <c r="E491" s="157" t="s">
        <v>118</v>
      </c>
      <c r="F491" s="141">
        <v>589</v>
      </c>
      <c r="G491" s="155" t="s">
        <v>152</v>
      </c>
      <c r="H491" s="204">
        <v>44981</v>
      </c>
      <c r="I491" s="143" t="str">
        <f t="shared" si="78"/>
        <v>2023</v>
      </c>
      <c r="J491" s="143" t="str">
        <f t="shared" si="79"/>
        <v>Feb</v>
      </c>
      <c r="K491" s="204">
        <v>44983</v>
      </c>
      <c r="L491" s="157" t="s">
        <v>157</v>
      </c>
      <c r="M491" s="204">
        <v>45034</v>
      </c>
      <c r="N491" s="143" t="str">
        <f t="shared" si="80"/>
        <v>2023</v>
      </c>
      <c r="O491" s="143" t="str">
        <f t="shared" si="81"/>
        <v>Apr</v>
      </c>
      <c r="P491" s="157" t="s">
        <v>165</v>
      </c>
      <c r="Q491" s="146" t="s">
        <v>17</v>
      </c>
      <c r="R491" s="157" t="s">
        <v>50</v>
      </c>
      <c r="S491" s="157" t="s">
        <v>20</v>
      </c>
      <c r="T491" s="204">
        <v>45350</v>
      </c>
      <c r="U491" s="143" t="str">
        <f t="shared" si="82"/>
        <v>2024</v>
      </c>
      <c r="V491" s="143" t="str">
        <f t="shared" si="83"/>
        <v>Feb</v>
      </c>
      <c r="W491" s="157">
        <f t="shared" ca="1" si="77"/>
        <v>264</v>
      </c>
      <c r="X491" s="157" t="s">
        <v>100</v>
      </c>
      <c r="Y491" s="157">
        <f t="shared" ca="1" si="84"/>
        <v>6336</v>
      </c>
      <c r="Z491" s="158">
        <v>190.07999999999998</v>
      </c>
      <c r="AA491" s="148">
        <v>28511.999999999996</v>
      </c>
      <c r="AB491" s="148">
        <f t="shared" si="85"/>
        <v>150</v>
      </c>
      <c r="AC491" s="204">
        <v>44986</v>
      </c>
      <c r="AD491" s="146" t="str">
        <f t="shared" si="86"/>
        <v>2023</v>
      </c>
      <c r="AE491" s="150" t="str">
        <f t="shared" si="87"/>
        <v>Mar</v>
      </c>
    </row>
    <row r="492" spans="2:31" x14ac:dyDescent="0.25">
      <c r="B492" s="152">
        <v>13</v>
      </c>
      <c r="C492" s="157" t="s">
        <v>79</v>
      </c>
      <c r="D492" s="154" t="s">
        <v>58</v>
      </c>
      <c r="E492" s="157" t="s">
        <v>111</v>
      </c>
      <c r="F492" s="141">
        <v>590</v>
      </c>
      <c r="G492" s="155" t="s">
        <v>153</v>
      </c>
      <c r="H492" s="204">
        <v>44981</v>
      </c>
      <c r="I492" s="143" t="str">
        <f t="shared" si="78"/>
        <v>2023</v>
      </c>
      <c r="J492" s="143" t="str">
        <f t="shared" si="79"/>
        <v>Feb</v>
      </c>
      <c r="K492" s="204">
        <v>44990</v>
      </c>
      <c r="L492" s="151" t="s">
        <v>158</v>
      </c>
      <c r="M492" s="204">
        <v>45023</v>
      </c>
      <c r="N492" s="143" t="str">
        <f t="shared" si="80"/>
        <v>2023</v>
      </c>
      <c r="O492" s="143" t="str">
        <f t="shared" si="81"/>
        <v>Apr</v>
      </c>
      <c r="P492" s="157" t="s">
        <v>163</v>
      </c>
      <c r="Q492" s="146" t="s">
        <v>17</v>
      </c>
      <c r="R492" s="157" t="s">
        <v>51</v>
      </c>
      <c r="S492" s="157" t="s">
        <v>163</v>
      </c>
      <c r="T492" s="204" t="s">
        <v>274</v>
      </c>
      <c r="U492" s="143" t="str">
        <f t="shared" si="82"/>
        <v/>
      </c>
      <c r="V492" s="143" t="str">
        <f t="shared" si="83"/>
        <v/>
      </c>
      <c r="W492" s="157">
        <f t="shared" ca="1" si="77"/>
        <v>369</v>
      </c>
      <c r="X492" s="157" t="s">
        <v>101</v>
      </c>
      <c r="Y492" s="157">
        <f t="shared" ca="1" si="84"/>
        <v>8856</v>
      </c>
      <c r="Z492" s="158">
        <v>264.24</v>
      </c>
      <c r="AA492" s="148">
        <v>39636</v>
      </c>
      <c r="AB492" s="148">
        <f t="shared" si="85"/>
        <v>150</v>
      </c>
      <c r="AC492" s="204"/>
      <c r="AD492" s="157" t="str">
        <f t="shared" si="86"/>
        <v/>
      </c>
      <c r="AE492" s="150" t="str">
        <f t="shared" si="87"/>
        <v/>
      </c>
    </row>
    <row r="493" spans="2:31" x14ac:dyDescent="0.25">
      <c r="B493" s="152">
        <v>10</v>
      </c>
      <c r="C493" s="157" t="s">
        <v>76</v>
      </c>
      <c r="D493" s="154" t="s">
        <v>55</v>
      </c>
      <c r="E493" s="157" t="s">
        <v>116</v>
      </c>
      <c r="F493" s="141">
        <v>591</v>
      </c>
      <c r="G493" s="155" t="s">
        <v>120</v>
      </c>
      <c r="H493" s="204">
        <v>44982</v>
      </c>
      <c r="I493" s="143" t="str">
        <f t="shared" si="78"/>
        <v>2023</v>
      </c>
      <c r="J493" s="143" t="str">
        <f t="shared" si="79"/>
        <v>Feb</v>
      </c>
      <c r="K493" s="204">
        <v>44995</v>
      </c>
      <c r="L493" s="151" t="s">
        <v>157</v>
      </c>
      <c r="M493" s="204">
        <v>45017</v>
      </c>
      <c r="N493" s="143" t="str">
        <f t="shared" si="80"/>
        <v>2023</v>
      </c>
      <c r="O493" s="143" t="str">
        <f t="shared" si="81"/>
        <v>Apr</v>
      </c>
      <c r="P493" s="157" t="s">
        <v>163</v>
      </c>
      <c r="Q493" s="146" t="s">
        <v>17</v>
      </c>
      <c r="R493" s="157" t="s">
        <v>48</v>
      </c>
      <c r="S493" s="157" t="s">
        <v>163</v>
      </c>
      <c r="T493" s="204" t="s">
        <v>274</v>
      </c>
      <c r="U493" s="143" t="str">
        <f t="shared" si="82"/>
        <v/>
      </c>
      <c r="V493" s="143" t="str">
        <f t="shared" si="83"/>
        <v/>
      </c>
      <c r="W493" s="157">
        <f t="shared" ca="1" si="77"/>
        <v>368</v>
      </c>
      <c r="X493" s="157" t="s">
        <v>98</v>
      </c>
      <c r="Y493" s="157">
        <f t="shared" ca="1" si="84"/>
        <v>8832</v>
      </c>
      <c r="Z493" s="158">
        <v>87.84</v>
      </c>
      <c r="AA493" s="148">
        <v>13176</v>
      </c>
      <c r="AB493" s="148">
        <f t="shared" si="85"/>
        <v>150</v>
      </c>
      <c r="AC493" s="204"/>
      <c r="AD493" s="157" t="str">
        <f t="shared" si="86"/>
        <v/>
      </c>
      <c r="AE493" s="150" t="str">
        <f t="shared" si="87"/>
        <v/>
      </c>
    </row>
    <row r="494" spans="2:31" x14ac:dyDescent="0.25">
      <c r="B494" s="152">
        <v>11</v>
      </c>
      <c r="C494" s="157" t="s">
        <v>77</v>
      </c>
      <c r="D494" s="154" t="s">
        <v>56</v>
      </c>
      <c r="E494" s="157" t="s">
        <v>117</v>
      </c>
      <c r="F494" s="141">
        <v>592</v>
      </c>
      <c r="G494" s="155" t="s">
        <v>121</v>
      </c>
      <c r="H494" s="204">
        <v>44985</v>
      </c>
      <c r="I494" s="143" t="str">
        <f t="shared" si="78"/>
        <v>2023</v>
      </c>
      <c r="J494" s="143" t="str">
        <f t="shared" si="79"/>
        <v>Feb</v>
      </c>
      <c r="K494" s="204">
        <v>44995</v>
      </c>
      <c r="L494" s="151" t="s">
        <v>157</v>
      </c>
      <c r="M494" s="204">
        <v>45028</v>
      </c>
      <c r="N494" s="143" t="str">
        <f t="shared" si="80"/>
        <v>2023</v>
      </c>
      <c r="O494" s="143" t="str">
        <f t="shared" si="81"/>
        <v>Apr</v>
      </c>
      <c r="P494" s="157" t="s">
        <v>163</v>
      </c>
      <c r="Q494" s="146" t="s">
        <v>264</v>
      </c>
      <c r="R494" s="157" t="s">
        <v>49</v>
      </c>
      <c r="S494" s="157" t="s">
        <v>163</v>
      </c>
      <c r="T494" s="204"/>
      <c r="U494" s="143" t="str">
        <f t="shared" si="82"/>
        <v/>
      </c>
      <c r="V494" s="143" t="str">
        <f t="shared" si="83"/>
        <v/>
      </c>
      <c r="W494" s="157">
        <f t="shared" ca="1" si="77"/>
        <v>367</v>
      </c>
      <c r="X494" s="157" t="s">
        <v>99</v>
      </c>
      <c r="Y494" s="157">
        <f t="shared" ca="1" si="84"/>
        <v>8808</v>
      </c>
      <c r="Z494" s="158">
        <v>87.600000000000009</v>
      </c>
      <c r="AA494" s="148">
        <v>2628.0000000000005</v>
      </c>
      <c r="AB494" s="148">
        <f t="shared" si="85"/>
        <v>30.000000000000004</v>
      </c>
      <c r="AC494" s="204"/>
      <c r="AD494" s="157" t="str">
        <f t="shared" si="86"/>
        <v/>
      </c>
      <c r="AE494" s="150" t="str">
        <f t="shared" si="87"/>
        <v/>
      </c>
    </row>
    <row r="495" spans="2:31" x14ac:dyDescent="0.25">
      <c r="B495" s="152">
        <v>12</v>
      </c>
      <c r="C495" s="157" t="s">
        <v>78</v>
      </c>
      <c r="D495" s="154" t="s">
        <v>57</v>
      </c>
      <c r="E495" s="157" t="s">
        <v>118</v>
      </c>
      <c r="F495" s="141">
        <v>593</v>
      </c>
      <c r="G495" s="155" t="s">
        <v>122</v>
      </c>
      <c r="H495" s="204">
        <v>45232</v>
      </c>
      <c r="I495" s="143" t="str">
        <f t="shared" si="78"/>
        <v>2023</v>
      </c>
      <c r="J495" s="143" t="str">
        <f t="shared" si="79"/>
        <v>Nov</v>
      </c>
      <c r="K495" s="204">
        <v>44998</v>
      </c>
      <c r="L495" s="151" t="s">
        <v>158</v>
      </c>
      <c r="M495" s="204">
        <v>45029</v>
      </c>
      <c r="N495" s="143" t="str">
        <f t="shared" si="80"/>
        <v>2023</v>
      </c>
      <c r="O495" s="143" t="str">
        <f t="shared" si="81"/>
        <v>Apr</v>
      </c>
      <c r="P495" s="157" t="s">
        <v>163</v>
      </c>
      <c r="Q495" s="146" t="s">
        <v>265</v>
      </c>
      <c r="R495" s="157" t="s">
        <v>50</v>
      </c>
      <c r="S495" s="157" t="s">
        <v>163</v>
      </c>
      <c r="T495" s="204" t="s">
        <v>274</v>
      </c>
      <c r="U495" s="143" t="str">
        <f t="shared" si="82"/>
        <v/>
      </c>
      <c r="V495" s="143" t="str">
        <f t="shared" si="83"/>
        <v/>
      </c>
      <c r="W495" s="157">
        <f t="shared" ca="1" si="77"/>
        <v>190</v>
      </c>
      <c r="X495" s="157" t="s">
        <v>100</v>
      </c>
      <c r="Y495" s="157">
        <f t="shared" ca="1" si="84"/>
        <v>4560</v>
      </c>
      <c r="Z495" s="158">
        <v>90.24</v>
      </c>
      <c r="AA495" s="148">
        <v>9024</v>
      </c>
      <c r="AB495" s="148">
        <f t="shared" si="85"/>
        <v>100</v>
      </c>
      <c r="AC495" s="204"/>
      <c r="AD495" s="157" t="str">
        <f t="shared" si="86"/>
        <v/>
      </c>
      <c r="AE495" s="150" t="str">
        <f t="shared" si="87"/>
        <v/>
      </c>
    </row>
    <row r="496" spans="2:31" x14ac:dyDescent="0.25">
      <c r="B496" s="152">
        <v>13</v>
      </c>
      <c r="C496" s="157" t="s">
        <v>79</v>
      </c>
      <c r="D496" s="154" t="s">
        <v>58</v>
      </c>
      <c r="E496" s="157" t="s">
        <v>111</v>
      </c>
      <c r="F496" s="141">
        <v>594</v>
      </c>
      <c r="G496" s="155" t="s">
        <v>123</v>
      </c>
      <c r="H496" s="204">
        <v>44988</v>
      </c>
      <c r="I496" s="143" t="str">
        <f t="shared" si="78"/>
        <v>2023</v>
      </c>
      <c r="J496" s="143" t="str">
        <f t="shared" si="79"/>
        <v>Mar</v>
      </c>
      <c r="K496" s="204">
        <v>44989</v>
      </c>
      <c r="L496" s="151" t="s">
        <v>158</v>
      </c>
      <c r="M496" s="204">
        <v>45017</v>
      </c>
      <c r="N496" s="143" t="str">
        <f t="shared" si="80"/>
        <v>2023</v>
      </c>
      <c r="O496" s="143" t="str">
        <f t="shared" si="81"/>
        <v>Apr</v>
      </c>
      <c r="P496" s="157" t="s">
        <v>163</v>
      </c>
      <c r="Q496" s="146" t="s">
        <v>266</v>
      </c>
      <c r="R496" s="157" t="s">
        <v>51</v>
      </c>
      <c r="S496" s="157" t="s">
        <v>163</v>
      </c>
      <c r="T496" s="204"/>
      <c r="U496" s="143" t="str">
        <f t="shared" si="82"/>
        <v/>
      </c>
      <c r="V496" s="143" t="str">
        <f t="shared" si="83"/>
        <v/>
      </c>
      <c r="W496" s="157">
        <f t="shared" ca="1" si="77"/>
        <v>364</v>
      </c>
      <c r="X496" s="157" t="s">
        <v>101</v>
      </c>
      <c r="Y496" s="157">
        <f t="shared" ca="1" si="84"/>
        <v>8736</v>
      </c>
      <c r="Z496" s="158">
        <v>260.64</v>
      </c>
      <c r="AA496" s="148">
        <v>13032</v>
      </c>
      <c r="AB496" s="148">
        <f t="shared" si="85"/>
        <v>50</v>
      </c>
      <c r="AC496" s="204"/>
      <c r="AD496" s="157" t="str">
        <f t="shared" si="86"/>
        <v/>
      </c>
      <c r="AE496" s="150" t="str">
        <f t="shared" si="87"/>
        <v/>
      </c>
    </row>
    <row r="497" spans="2:31" x14ac:dyDescent="0.25">
      <c r="B497" s="152">
        <v>14</v>
      </c>
      <c r="C497" s="157" t="s">
        <v>80</v>
      </c>
      <c r="D497" s="154" t="s">
        <v>59</v>
      </c>
      <c r="E497" s="157" t="s">
        <v>112</v>
      </c>
      <c r="F497" s="141">
        <v>595</v>
      </c>
      <c r="G497" s="155" t="s">
        <v>154</v>
      </c>
      <c r="H497" s="204">
        <v>44990</v>
      </c>
      <c r="I497" s="143" t="str">
        <f t="shared" si="78"/>
        <v>2023</v>
      </c>
      <c r="J497" s="143" t="str">
        <f t="shared" si="79"/>
        <v>Mar</v>
      </c>
      <c r="K497" s="204">
        <v>45002</v>
      </c>
      <c r="L497" s="151" t="s">
        <v>157</v>
      </c>
      <c r="M497" s="204">
        <v>45026</v>
      </c>
      <c r="N497" s="143" t="str">
        <f t="shared" si="80"/>
        <v>2023</v>
      </c>
      <c r="O497" s="143" t="str">
        <f t="shared" si="81"/>
        <v>Apr</v>
      </c>
      <c r="P497" s="157" t="s">
        <v>163</v>
      </c>
      <c r="Q497" s="146" t="s">
        <v>266</v>
      </c>
      <c r="R497" s="157" t="s">
        <v>52</v>
      </c>
      <c r="S497" s="157" t="s">
        <v>163</v>
      </c>
      <c r="T497" s="204" t="s">
        <v>274</v>
      </c>
      <c r="U497" s="143" t="str">
        <f t="shared" si="82"/>
        <v/>
      </c>
      <c r="V497" s="143" t="str">
        <f t="shared" si="83"/>
        <v/>
      </c>
      <c r="W497" s="157">
        <f t="shared" ca="1" si="77"/>
        <v>363</v>
      </c>
      <c r="X497" s="157" t="s">
        <v>102</v>
      </c>
      <c r="Y497" s="157">
        <f t="shared" ca="1" si="84"/>
        <v>8712</v>
      </c>
      <c r="Z497" s="158">
        <v>173.28</v>
      </c>
      <c r="AA497" s="148">
        <v>8664</v>
      </c>
      <c r="AB497" s="148">
        <f t="shared" si="85"/>
        <v>50</v>
      </c>
      <c r="AC497" s="204"/>
      <c r="AD497" s="157" t="str">
        <f t="shared" si="86"/>
        <v/>
      </c>
      <c r="AE497" s="150" t="str">
        <f t="shared" si="87"/>
        <v/>
      </c>
    </row>
    <row r="498" spans="2:31" x14ac:dyDescent="0.25">
      <c r="B498" s="152">
        <v>15</v>
      </c>
      <c r="C498" s="157" t="s">
        <v>81</v>
      </c>
      <c r="D498" s="154" t="s">
        <v>60</v>
      </c>
      <c r="E498" s="157" t="s">
        <v>113</v>
      </c>
      <c r="F498" s="141">
        <v>596</v>
      </c>
      <c r="G498" s="155" t="s">
        <v>124</v>
      </c>
      <c r="H498" s="204">
        <v>44991</v>
      </c>
      <c r="I498" s="143" t="str">
        <f t="shared" si="78"/>
        <v>2023</v>
      </c>
      <c r="J498" s="143" t="str">
        <f t="shared" si="79"/>
        <v>Mar</v>
      </c>
      <c r="K498" s="204">
        <v>44997</v>
      </c>
      <c r="L498" s="157" t="s">
        <v>157</v>
      </c>
      <c r="M498" s="204">
        <v>45021</v>
      </c>
      <c r="N498" s="143" t="str">
        <f t="shared" si="80"/>
        <v>2023</v>
      </c>
      <c r="O498" s="143" t="str">
        <f t="shared" si="81"/>
        <v>Apr</v>
      </c>
      <c r="P498" s="157" t="s">
        <v>162</v>
      </c>
      <c r="Q498" s="146" t="s">
        <v>17</v>
      </c>
      <c r="R498" s="157" t="s">
        <v>53</v>
      </c>
      <c r="S498" s="157" t="s">
        <v>20</v>
      </c>
      <c r="T498" s="204">
        <v>45386</v>
      </c>
      <c r="U498" s="143" t="str">
        <f t="shared" si="82"/>
        <v>2024</v>
      </c>
      <c r="V498" s="143" t="str">
        <f t="shared" si="83"/>
        <v>Apr</v>
      </c>
      <c r="W498" s="157">
        <f t="shared" ca="1" si="77"/>
        <v>284</v>
      </c>
      <c r="X498" s="157" t="s">
        <v>103</v>
      </c>
      <c r="Y498" s="157">
        <f t="shared" ca="1" si="84"/>
        <v>6816</v>
      </c>
      <c r="Z498" s="158">
        <v>136.32</v>
      </c>
      <c r="AA498" s="148">
        <v>20448</v>
      </c>
      <c r="AB498" s="148">
        <f t="shared" si="85"/>
        <v>150</v>
      </c>
      <c r="AC498" s="204">
        <v>45000</v>
      </c>
      <c r="AD498" s="146" t="str">
        <f t="shared" si="86"/>
        <v>2023</v>
      </c>
      <c r="AE498" s="150" t="str">
        <f t="shared" si="87"/>
        <v>Mar</v>
      </c>
    </row>
    <row r="499" spans="2:31" x14ac:dyDescent="0.25">
      <c r="B499" s="152">
        <v>16</v>
      </c>
      <c r="C499" s="157" t="s">
        <v>82</v>
      </c>
      <c r="D499" s="154" t="s">
        <v>61</v>
      </c>
      <c r="E499" s="157" t="s">
        <v>114</v>
      </c>
      <c r="F499" s="141">
        <v>597</v>
      </c>
      <c r="G499" s="155" t="s">
        <v>155</v>
      </c>
      <c r="H499" s="204">
        <v>44991</v>
      </c>
      <c r="I499" s="143" t="str">
        <f t="shared" si="78"/>
        <v>2023</v>
      </c>
      <c r="J499" s="143" t="str">
        <f t="shared" si="79"/>
        <v>Mar</v>
      </c>
      <c r="K499" s="204">
        <v>44997</v>
      </c>
      <c r="L499" s="157" t="s">
        <v>158</v>
      </c>
      <c r="M499" s="204">
        <v>45032</v>
      </c>
      <c r="N499" s="143" t="str">
        <f t="shared" si="80"/>
        <v>2023</v>
      </c>
      <c r="O499" s="143" t="str">
        <f t="shared" si="81"/>
        <v>Apr</v>
      </c>
      <c r="P499" s="157" t="s">
        <v>163</v>
      </c>
      <c r="Q499" s="146" t="s">
        <v>266</v>
      </c>
      <c r="R499" s="157" t="s">
        <v>54</v>
      </c>
      <c r="S499" s="157" t="s">
        <v>163</v>
      </c>
      <c r="T499" s="204" t="s">
        <v>274</v>
      </c>
      <c r="U499" s="143" t="str">
        <f t="shared" si="82"/>
        <v/>
      </c>
      <c r="V499" s="143" t="str">
        <f t="shared" si="83"/>
        <v/>
      </c>
      <c r="W499" s="157">
        <f t="shared" ca="1" si="77"/>
        <v>363</v>
      </c>
      <c r="X499" s="157" t="s">
        <v>104</v>
      </c>
      <c r="Y499" s="157">
        <f t="shared" ca="1" si="84"/>
        <v>8712</v>
      </c>
      <c r="Z499" s="158">
        <v>173.28</v>
      </c>
      <c r="AA499" s="148">
        <v>8664</v>
      </c>
      <c r="AB499" s="148">
        <f t="shared" si="85"/>
        <v>50</v>
      </c>
      <c r="AC499" s="204"/>
      <c r="AD499" s="157" t="str">
        <f t="shared" si="86"/>
        <v/>
      </c>
      <c r="AE499" s="150" t="str">
        <f t="shared" si="87"/>
        <v/>
      </c>
    </row>
    <row r="500" spans="2:31" x14ac:dyDescent="0.25">
      <c r="B500" s="152">
        <v>17</v>
      </c>
      <c r="C500" s="157" t="s">
        <v>83</v>
      </c>
      <c r="D500" s="154" t="s">
        <v>33</v>
      </c>
      <c r="E500" s="157" t="s">
        <v>115</v>
      </c>
      <c r="F500" s="141">
        <v>598</v>
      </c>
      <c r="G500" s="155" t="s">
        <v>125</v>
      </c>
      <c r="H500" s="204">
        <v>44993</v>
      </c>
      <c r="I500" s="143" t="str">
        <f t="shared" si="78"/>
        <v>2023</v>
      </c>
      <c r="J500" s="143" t="str">
        <f t="shared" si="79"/>
        <v>Mar</v>
      </c>
      <c r="K500" s="204">
        <v>45001</v>
      </c>
      <c r="L500" s="157" t="s">
        <v>158</v>
      </c>
      <c r="M500" s="204">
        <v>45048</v>
      </c>
      <c r="N500" s="143" t="str">
        <f t="shared" si="80"/>
        <v>2023</v>
      </c>
      <c r="O500" s="143" t="str">
        <f t="shared" si="81"/>
        <v>May</v>
      </c>
      <c r="P500" s="157" t="s">
        <v>162</v>
      </c>
      <c r="Q500" s="146" t="s">
        <v>17</v>
      </c>
      <c r="R500" s="157" t="s">
        <v>38</v>
      </c>
      <c r="S500" s="157" t="s">
        <v>20</v>
      </c>
      <c r="T500" s="204">
        <v>45215</v>
      </c>
      <c r="U500" s="143" t="str">
        <f t="shared" si="82"/>
        <v>2023</v>
      </c>
      <c r="V500" s="143" t="str">
        <f t="shared" si="83"/>
        <v>Oct</v>
      </c>
      <c r="W500" s="157">
        <f t="shared" ca="1" si="77"/>
        <v>159</v>
      </c>
      <c r="X500" s="157" t="s">
        <v>105</v>
      </c>
      <c r="Y500" s="157">
        <f t="shared" ca="1" si="84"/>
        <v>3816</v>
      </c>
      <c r="Z500" s="158">
        <v>38.160000000000004</v>
      </c>
      <c r="AA500" s="148">
        <v>5724.0000000000009</v>
      </c>
      <c r="AB500" s="148">
        <f t="shared" si="85"/>
        <v>150</v>
      </c>
      <c r="AC500" s="204">
        <v>45004</v>
      </c>
      <c r="AD500" s="146" t="str">
        <f t="shared" si="86"/>
        <v>2023</v>
      </c>
      <c r="AE500" s="150" t="str">
        <f t="shared" si="87"/>
        <v>Mar</v>
      </c>
    </row>
    <row r="501" spans="2:31" x14ac:dyDescent="0.25">
      <c r="B501" s="152">
        <v>18</v>
      </c>
      <c r="C501" s="157" t="s">
        <v>84</v>
      </c>
      <c r="D501" s="154" t="s">
        <v>89</v>
      </c>
      <c r="E501" s="157" t="s">
        <v>112</v>
      </c>
      <c r="F501" s="141">
        <v>599</v>
      </c>
      <c r="G501" s="155" t="s">
        <v>126</v>
      </c>
      <c r="H501" s="204">
        <v>44995</v>
      </c>
      <c r="I501" s="143" t="str">
        <f t="shared" si="78"/>
        <v>2023</v>
      </c>
      <c r="J501" s="143" t="str">
        <f t="shared" si="79"/>
        <v>Mar</v>
      </c>
      <c r="K501" s="204">
        <v>45000</v>
      </c>
      <c r="L501" s="157" t="s">
        <v>159</v>
      </c>
      <c r="M501" s="204">
        <v>45031</v>
      </c>
      <c r="N501" s="143" t="str">
        <f t="shared" si="80"/>
        <v>2023</v>
      </c>
      <c r="O501" s="143" t="str">
        <f t="shared" si="81"/>
        <v>Apr</v>
      </c>
      <c r="P501" s="157" t="s">
        <v>165</v>
      </c>
      <c r="Q501" s="146" t="s">
        <v>17</v>
      </c>
      <c r="R501" s="157" t="s">
        <v>40</v>
      </c>
      <c r="S501" s="157" t="s">
        <v>20</v>
      </c>
      <c r="T501" s="204">
        <v>45106</v>
      </c>
      <c r="U501" s="143" t="str">
        <f t="shared" si="82"/>
        <v>2023</v>
      </c>
      <c r="V501" s="143" t="str">
        <f t="shared" si="83"/>
        <v>Jun</v>
      </c>
      <c r="W501" s="157">
        <f t="shared" ca="1" si="77"/>
        <v>80</v>
      </c>
      <c r="X501" s="157" t="s">
        <v>106</v>
      </c>
      <c r="Y501" s="157">
        <f t="shared" ca="1" si="84"/>
        <v>1920</v>
      </c>
      <c r="Z501" s="158">
        <v>57.599999999999994</v>
      </c>
      <c r="AA501" s="148">
        <v>8640</v>
      </c>
      <c r="AB501" s="148">
        <f t="shared" si="85"/>
        <v>150.00000000000003</v>
      </c>
      <c r="AC501" s="204">
        <v>45003</v>
      </c>
      <c r="AD501" s="146" t="str">
        <f t="shared" si="86"/>
        <v>2023</v>
      </c>
      <c r="AE501" s="150" t="str">
        <f t="shared" si="87"/>
        <v>Mar</v>
      </c>
    </row>
    <row r="502" spans="2:31" x14ac:dyDescent="0.25">
      <c r="B502" s="152">
        <v>19</v>
      </c>
      <c r="C502" s="157" t="s">
        <v>85</v>
      </c>
      <c r="D502" s="154" t="s">
        <v>90</v>
      </c>
      <c r="E502" s="157" t="s">
        <v>113</v>
      </c>
      <c r="F502" s="141">
        <v>600</v>
      </c>
      <c r="G502" s="155" t="s">
        <v>127</v>
      </c>
      <c r="H502" s="204">
        <v>44995</v>
      </c>
      <c r="I502" s="143" t="str">
        <f t="shared" si="78"/>
        <v>2023</v>
      </c>
      <c r="J502" s="143" t="str">
        <f t="shared" si="79"/>
        <v>Mar</v>
      </c>
      <c r="K502" s="204">
        <v>44997</v>
      </c>
      <c r="L502" s="157" t="s">
        <v>157</v>
      </c>
      <c r="M502" s="204">
        <v>45038</v>
      </c>
      <c r="N502" s="143" t="str">
        <f t="shared" si="80"/>
        <v>2023</v>
      </c>
      <c r="O502" s="143" t="str">
        <f t="shared" si="81"/>
        <v>Apr</v>
      </c>
      <c r="P502" s="157" t="s">
        <v>163</v>
      </c>
      <c r="Q502" s="146" t="s">
        <v>17</v>
      </c>
      <c r="R502" s="157" t="s">
        <v>34</v>
      </c>
      <c r="S502" s="157" t="s">
        <v>163</v>
      </c>
      <c r="T502" s="204" t="s">
        <v>274</v>
      </c>
      <c r="U502" s="143" t="str">
        <f t="shared" si="82"/>
        <v/>
      </c>
      <c r="V502" s="143" t="str">
        <f t="shared" si="83"/>
        <v/>
      </c>
      <c r="W502" s="157">
        <f t="shared" ca="1" si="77"/>
        <v>359</v>
      </c>
      <c r="X502" s="157" t="s">
        <v>107</v>
      </c>
      <c r="Y502" s="157">
        <f t="shared" ca="1" si="84"/>
        <v>8616</v>
      </c>
      <c r="Z502" s="158">
        <v>171.36</v>
      </c>
      <c r="AA502" s="148">
        <v>25704.000000000004</v>
      </c>
      <c r="AB502" s="148">
        <f t="shared" si="85"/>
        <v>150</v>
      </c>
      <c r="AC502" s="204"/>
      <c r="AD502" s="157" t="str">
        <f t="shared" si="86"/>
        <v/>
      </c>
      <c r="AE502" s="150" t="str">
        <f t="shared" si="87"/>
        <v/>
      </c>
    </row>
    <row r="503" spans="2:31" x14ac:dyDescent="0.25">
      <c r="B503" s="165">
        <v>20</v>
      </c>
      <c r="C503" s="166" t="s">
        <v>86</v>
      </c>
      <c r="D503" s="167" t="s">
        <v>91</v>
      </c>
      <c r="E503" s="166" t="s">
        <v>114</v>
      </c>
      <c r="F503" s="141">
        <v>601</v>
      </c>
      <c r="G503" s="168" t="s">
        <v>128</v>
      </c>
      <c r="H503" s="206">
        <v>44997</v>
      </c>
      <c r="I503" s="169" t="str">
        <f t="shared" si="78"/>
        <v>2023</v>
      </c>
      <c r="J503" s="169" t="str">
        <f t="shared" si="79"/>
        <v>Mar</v>
      </c>
      <c r="K503" s="204">
        <v>45008</v>
      </c>
      <c r="L503" s="166" t="s">
        <v>156</v>
      </c>
      <c r="M503" s="204">
        <v>45024</v>
      </c>
      <c r="N503" s="169" t="str">
        <f t="shared" si="80"/>
        <v>2023</v>
      </c>
      <c r="O503" s="169" t="str">
        <f t="shared" si="81"/>
        <v>Apr</v>
      </c>
      <c r="P503" s="166" t="s">
        <v>165</v>
      </c>
      <c r="Q503" s="166" t="s">
        <v>267</v>
      </c>
      <c r="R503" s="166" t="s">
        <v>35</v>
      </c>
      <c r="S503" s="166" t="s">
        <v>20</v>
      </c>
      <c r="T503" s="204">
        <v>45481</v>
      </c>
      <c r="U503" s="169" t="str">
        <f t="shared" si="82"/>
        <v>2024</v>
      </c>
      <c r="V503" s="169" t="str">
        <f t="shared" si="83"/>
        <v>Jul</v>
      </c>
      <c r="W503" s="166">
        <f t="shared" ca="1" si="77"/>
        <v>346</v>
      </c>
      <c r="X503" s="166" t="s">
        <v>108</v>
      </c>
      <c r="Y503" s="166">
        <f t="shared" ca="1" si="84"/>
        <v>8304</v>
      </c>
      <c r="Z503" s="170">
        <v>249.12</v>
      </c>
      <c r="AA503" s="148">
        <v>18684</v>
      </c>
      <c r="AB503" s="148">
        <f t="shared" si="85"/>
        <v>75</v>
      </c>
      <c r="AC503" s="204">
        <v>45011</v>
      </c>
      <c r="AD503" s="146" t="str">
        <f t="shared" si="86"/>
        <v>2023</v>
      </c>
      <c r="AE503" s="150" t="str">
        <f t="shared" si="87"/>
        <v>Mar</v>
      </c>
    </row>
  </sheetData>
  <sortState xmlns:xlrd2="http://schemas.microsoft.com/office/spreadsheetml/2017/richdata2" ref="AP3:AP503">
    <sortCondition ref="AP3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AF3F-A6DD-452C-A14B-DB557EDEA752}">
  <dimension ref="B2:AA24"/>
  <sheetViews>
    <sheetView workbookViewId="0">
      <selection activeCell="B2" sqref="B2"/>
    </sheetView>
  </sheetViews>
  <sheetFormatPr defaultRowHeight="15" x14ac:dyDescent="0.25"/>
  <cols>
    <col min="1" max="1" width="9.140625" style="151"/>
    <col min="2" max="2" width="10.42578125" style="151" bestFit="1" customWidth="1"/>
    <col min="3" max="3" width="16.28515625" style="164" bestFit="1" customWidth="1"/>
    <col min="4" max="4" width="8" style="164" bestFit="1" customWidth="1"/>
    <col min="5" max="5" width="16.28515625" style="151" bestFit="1" customWidth="1"/>
    <col min="6" max="6" width="34.28515625" style="151" bestFit="1" customWidth="1"/>
    <col min="7" max="7" width="9.42578125" style="151" bestFit="1" customWidth="1"/>
    <col min="8" max="8" width="20.5703125" style="151" bestFit="1" customWidth="1"/>
    <col min="9" max="9" width="7" style="151" bestFit="1" customWidth="1"/>
    <col min="10" max="10" width="10.7109375" style="151" bestFit="1" customWidth="1"/>
    <col min="11" max="11" width="8.140625" style="151" bestFit="1" customWidth="1"/>
    <col min="12" max="16" width="9.140625" style="151"/>
    <col min="17" max="19" width="11.5703125" style="151" bestFit="1" customWidth="1"/>
    <col min="20" max="16384" width="9.140625" style="151"/>
  </cols>
  <sheetData>
    <row r="2" spans="2:27" x14ac:dyDescent="0.25">
      <c r="B2" s="17" t="s">
        <v>27</v>
      </c>
      <c r="C2" s="19" t="s">
        <v>25</v>
      </c>
      <c r="D2" s="19" t="s">
        <v>169</v>
      </c>
      <c r="E2" s="17" t="s">
        <v>26</v>
      </c>
      <c r="F2" s="17" t="s">
        <v>5</v>
      </c>
      <c r="G2" s="17" t="s">
        <v>383</v>
      </c>
      <c r="H2" s="17" t="s">
        <v>168</v>
      </c>
      <c r="I2" s="17" t="s">
        <v>20</v>
      </c>
      <c r="J2" s="17" t="s">
        <v>163</v>
      </c>
      <c r="K2" s="17" t="s">
        <v>167</v>
      </c>
      <c r="L2" s="17" t="s">
        <v>165</v>
      </c>
      <c r="M2" s="17" t="s">
        <v>353</v>
      </c>
      <c r="N2" s="17" t="s">
        <v>164</v>
      </c>
      <c r="O2" s="17" t="s">
        <v>162</v>
      </c>
      <c r="P2" s="17" t="s">
        <v>16</v>
      </c>
      <c r="Q2" s="17" t="s">
        <v>381</v>
      </c>
      <c r="R2" s="17" t="s">
        <v>366</v>
      </c>
      <c r="S2" s="17" t="s">
        <v>367</v>
      </c>
      <c r="T2" s="17" t="s">
        <v>382</v>
      </c>
      <c r="U2" s="17" t="s">
        <v>391</v>
      </c>
    </row>
    <row r="3" spans="2:27" x14ac:dyDescent="0.25">
      <c r="B3" s="176">
        <v>1110</v>
      </c>
      <c r="C3" s="177" t="s">
        <v>18</v>
      </c>
      <c r="D3" s="178" t="s">
        <v>354</v>
      </c>
      <c r="E3" s="179" t="s">
        <v>178</v>
      </c>
      <c r="F3" s="176" t="s">
        <v>170</v>
      </c>
      <c r="G3" s="180">
        <f>SUMIFS(Tracker!$Z$3:$Z$503,Tracker!$R$3:$R$503,'Lawyers Data'!$C3)</f>
        <v>3913.68</v>
      </c>
      <c r="H3" s="176">
        <f>COUNTIF(Tracker!$R$3:$R$503,'Lawyers Data'!$C3)</f>
        <v>27</v>
      </c>
      <c r="I3" s="176">
        <f>COUNTIFS(Tracker!$S$3:$S$503,'Lawyers Data'!I$2,Tracker!$R$3:$R$503,'Lawyers Data'!$C3)</f>
        <v>22</v>
      </c>
      <c r="J3" s="176">
        <f>COUNTIFS(Tracker!$S$3:$S$503,'Lawyers Data'!J$2,Tracker!$R$3:$R$503,'Lawyers Data'!$C3)</f>
        <v>0</v>
      </c>
      <c r="K3" s="176">
        <f>COUNTIFS(Tracker!$S$3:$S$503,'Lawyers Data'!K$2,Tracker!$R$3:$R$503,'Lawyers Data'!$C3)</f>
        <v>5</v>
      </c>
      <c r="L3" s="176">
        <f>COUNTIFS(Tracker!$P$3:$P$503,'Lawyers Data'!L$2,Tracker!$R$3:$R$503,'Lawyers Data'!$C3)</f>
        <v>9</v>
      </c>
      <c r="M3" s="181">
        <f>$L3/$H3</f>
        <v>0.33333333333333331</v>
      </c>
      <c r="N3" s="176">
        <f>COUNTIFS(Tracker!$P$3:$P$503,'Lawyers Data'!N$2,Tracker!$R$3:$R$503,'Lawyers Data'!$C3)</f>
        <v>6</v>
      </c>
      <c r="O3" s="176">
        <f>COUNTIFS(Tracker!$P$3:$P$503,'Lawyers Data'!O$2,Tracker!$R$3:$R$503,'Lawyers Data'!$C3)</f>
        <v>7</v>
      </c>
      <c r="P3" s="176" t="s">
        <v>368</v>
      </c>
      <c r="Q3" s="182">
        <f>G3*Analysis!$T$155</f>
        <v>601530.21189464512</v>
      </c>
      <c r="R3" s="183">
        <v>309938.27935065026</v>
      </c>
      <c r="S3" s="183">
        <v>286096.87324675405</v>
      </c>
      <c r="T3" s="181">
        <v>0.47</v>
      </c>
      <c r="U3" s="184">
        <f>RANK($M3,$M$3:$M$24)+COUNTIF($M$3:M3,M3)-1</f>
        <v>5</v>
      </c>
      <c r="W3" s="175" t="s">
        <v>354</v>
      </c>
      <c r="X3" s="175">
        <v>0.35</v>
      </c>
      <c r="Y3" s="175">
        <v>264945.99208</v>
      </c>
      <c r="Z3" s="175">
        <v>60</v>
      </c>
      <c r="AA3" s="175">
        <f>Y3/Z3</f>
        <v>4415.7665346666663</v>
      </c>
    </row>
    <row r="4" spans="2:27" x14ac:dyDescent="0.25">
      <c r="B4" s="176">
        <v>1111</v>
      </c>
      <c r="C4" s="177" t="s">
        <v>19</v>
      </c>
      <c r="D4" s="178" t="s">
        <v>354</v>
      </c>
      <c r="E4" s="179" t="s">
        <v>179</v>
      </c>
      <c r="F4" s="176" t="s">
        <v>171</v>
      </c>
      <c r="G4" s="180">
        <f>SUMIFS(Tracker!$Z$3:$Z$503,Tracker!$R$3:$R$503,'Lawyers Data'!$C4)</f>
        <v>3036.9600000000005</v>
      </c>
      <c r="H4" s="176">
        <f>COUNTIF(Tracker!$R$3:$R$503,'Lawyers Data'!$C4)</f>
        <v>27</v>
      </c>
      <c r="I4" s="176">
        <f>COUNTIFS(Tracker!$S$3:$S$503,'Lawyers Data'!I$2,Tracker!$R$3:$R$503,'Lawyers Data'!$C4)</f>
        <v>21</v>
      </c>
      <c r="J4" s="176">
        <f>COUNTIFS(Tracker!$S$3:$S$503,'Lawyers Data'!J$2,Tracker!$R$3:$R$503,'Lawyers Data'!$C4)</f>
        <v>1</v>
      </c>
      <c r="K4" s="176">
        <f>COUNTIFS(Tracker!$S$3:$S$503,'Lawyers Data'!K$2,Tracker!$R$3:$R$503,'Lawyers Data'!$C4)</f>
        <v>5</v>
      </c>
      <c r="L4" s="176">
        <f>COUNTIFS(Tracker!$P$3:$P$503,'Lawyers Data'!L$2,Tracker!$R$3:$R$503,'Lawyers Data'!$C4)</f>
        <v>5</v>
      </c>
      <c r="M4" s="181">
        <f t="shared" ref="M4:M24" si="0">$L4/$H4</f>
        <v>0.18518518518518517</v>
      </c>
      <c r="N4" s="176">
        <f>COUNTIFS(Tracker!$P$3:$P$503,'Lawyers Data'!N$2,Tracker!$R$3:$R$503,'Lawyers Data'!$C4)</f>
        <v>6</v>
      </c>
      <c r="O4" s="176">
        <f>COUNTIFS(Tracker!$P$3:$P$503,'Lawyers Data'!O$2,Tracker!$R$3:$R$503,'Lawyers Data'!$C4)</f>
        <v>10</v>
      </c>
      <c r="P4" s="176" t="s">
        <v>368</v>
      </c>
      <c r="Q4" s="182">
        <f>G4*Analysis!$T$155</f>
        <v>466778.886448448</v>
      </c>
      <c r="R4" s="183">
        <v>259008.28722277744</v>
      </c>
      <c r="S4" s="183">
        <v>203506.51138932508</v>
      </c>
      <c r="T4" s="181">
        <v>0.41</v>
      </c>
      <c r="U4" s="184">
        <f>RANK($M4,$M$3:$M$24)+COUNTIF($M$3:M4,M4)-1</f>
        <v>19</v>
      </c>
      <c r="W4" s="175" t="s">
        <v>355</v>
      </c>
      <c r="X4" s="175">
        <v>0.3</v>
      </c>
      <c r="Y4" s="175">
        <v>227096.56464</v>
      </c>
      <c r="Z4" s="175">
        <v>147</v>
      </c>
      <c r="AA4" s="175">
        <f>Y4/Z4</f>
        <v>1544.8745893877551</v>
      </c>
    </row>
    <row r="5" spans="2:27" x14ac:dyDescent="0.25">
      <c r="B5" s="176">
        <v>1112</v>
      </c>
      <c r="C5" s="185" t="s">
        <v>41</v>
      </c>
      <c r="D5" s="186" t="s">
        <v>355</v>
      </c>
      <c r="E5" s="179" t="s">
        <v>180</v>
      </c>
      <c r="F5" s="176" t="s">
        <v>295</v>
      </c>
      <c r="G5" s="180">
        <f>SUMIFS(Tracker!$Z$3:$Z$503,Tracker!$R$3:$R$503,'Lawyers Data'!$C5)</f>
        <v>3187.44</v>
      </c>
      <c r="H5" s="176">
        <f>COUNTIF(Tracker!$R$3:$R$503,'Lawyers Data'!$C5)</f>
        <v>27</v>
      </c>
      <c r="I5" s="176">
        <f>COUNTIFS(Tracker!$S$3:$S$503,'Lawyers Data'!I$2,Tracker!$R$3:$R$503,'Lawyers Data'!$C5)</f>
        <v>26</v>
      </c>
      <c r="J5" s="176">
        <f>COUNTIFS(Tracker!$S$3:$S$503,'Lawyers Data'!J$2,Tracker!$R$3:$R$503,'Lawyers Data'!$C5)</f>
        <v>1</v>
      </c>
      <c r="K5" s="176">
        <f>COUNTIFS(Tracker!$S$3:$S$503,'Lawyers Data'!K$2,Tracker!$R$3:$R$503,'Lawyers Data'!$C5)</f>
        <v>0</v>
      </c>
      <c r="L5" s="176">
        <f>COUNTIFS(Tracker!$P$3:$P$503,'Lawyers Data'!L$2,Tracker!$R$3:$R$503,'Lawyers Data'!$C5)</f>
        <v>8</v>
      </c>
      <c r="M5" s="181">
        <f t="shared" si="0"/>
        <v>0.29629629629629628</v>
      </c>
      <c r="N5" s="176">
        <f>COUNTIFS(Tracker!$P$3:$P$503,'Lawyers Data'!N$2,Tracker!$R$3:$R$503,'Lawyers Data'!$C5)</f>
        <v>9</v>
      </c>
      <c r="O5" s="176">
        <f>COUNTIFS(Tracker!$P$3:$P$503,'Lawyers Data'!O$2,Tracker!$R$3:$R$503,'Lawyers Data'!$C5)</f>
        <v>9</v>
      </c>
      <c r="P5" s="176" t="s">
        <v>368</v>
      </c>
      <c r="Q5" s="182">
        <f>G5*Analysis!$T$156</f>
        <v>191561.44070051378</v>
      </c>
      <c r="R5" s="183">
        <v>81618.945518024906</v>
      </c>
      <c r="S5" s="183">
        <v>108192.55568668418</v>
      </c>
      <c r="T5" s="181">
        <v>0.57000000000000006</v>
      </c>
      <c r="U5" s="184">
        <f>RANK($M5,$M$3:$M$24)+COUNTIF($M$3:M5,M5)-1</f>
        <v>8</v>
      </c>
      <c r="W5" s="175" t="s">
        <v>356</v>
      </c>
      <c r="X5" s="175">
        <v>0.22</v>
      </c>
      <c r="Y5" s="175">
        <v>166537.480736</v>
      </c>
      <c r="Z5" s="175">
        <v>95</v>
      </c>
      <c r="AA5" s="175">
        <f>Y5/Z5</f>
        <v>1753.0261130105264</v>
      </c>
    </row>
    <row r="6" spans="2:27" x14ac:dyDescent="0.25">
      <c r="B6" s="176">
        <v>1113</v>
      </c>
      <c r="C6" s="185" t="s">
        <v>42</v>
      </c>
      <c r="D6" s="186" t="s">
        <v>355</v>
      </c>
      <c r="E6" s="179" t="s">
        <v>181</v>
      </c>
      <c r="F6" s="176" t="s">
        <v>296</v>
      </c>
      <c r="G6" s="180">
        <f>SUMIFS(Tracker!$Z$3:$Z$503,Tracker!$R$3:$R$503,'Lawyers Data'!$C6)</f>
        <v>2477.5200000000009</v>
      </c>
      <c r="H6" s="176">
        <f>COUNTIF(Tracker!$R$3:$R$503,'Lawyers Data'!$C6)</f>
        <v>27</v>
      </c>
      <c r="I6" s="176">
        <f>COUNTIFS(Tracker!$S$3:$S$503,'Lawyers Data'!I$2,Tracker!$R$3:$R$503,'Lawyers Data'!$C6)</f>
        <v>26</v>
      </c>
      <c r="J6" s="176">
        <f>COUNTIFS(Tracker!$S$3:$S$503,'Lawyers Data'!J$2,Tracker!$R$3:$R$503,'Lawyers Data'!$C6)</f>
        <v>0</v>
      </c>
      <c r="K6" s="176">
        <f>COUNTIFS(Tracker!$S$3:$S$503,'Lawyers Data'!K$2,Tracker!$R$3:$R$503,'Lawyers Data'!$C6)</f>
        <v>1</v>
      </c>
      <c r="L6" s="176">
        <f>COUNTIFS(Tracker!$P$3:$P$503,'Lawyers Data'!L$2,Tracker!$R$3:$R$503,'Lawyers Data'!$C6)</f>
        <v>6</v>
      </c>
      <c r="M6" s="181">
        <f t="shared" si="0"/>
        <v>0.22222222222222221</v>
      </c>
      <c r="N6" s="176">
        <f>COUNTIFS(Tracker!$P$3:$P$503,'Lawyers Data'!N$2,Tracker!$R$3:$R$503,'Lawyers Data'!$C6)</f>
        <v>11</v>
      </c>
      <c r="O6" s="176">
        <f>COUNTIFS(Tracker!$P$3:$P$503,'Lawyers Data'!O$2,Tracker!$R$3:$R$503,'Lawyers Data'!$C6)</f>
        <v>9</v>
      </c>
      <c r="P6" s="176" t="s">
        <v>369</v>
      </c>
      <c r="Q6" s="182">
        <f>G6*Analysis!$T$156</f>
        <v>148896.07351490131</v>
      </c>
      <c r="R6" s="183">
        <v>70817.226182469851</v>
      </c>
      <c r="S6" s="183">
        <v>76718.661697675663</v>
      </c>
      <c r="T6" s="181">
        <v>0.53999999999999992</v>
      </c>
      <c r="U6" s="184">
        <f>RANK($M6,$M$3:$M$24)+COUNTIF($M$3:M6,M6)-1</f>
        <v>16</v>
      </c>
      <c r="W6" s="175" t="s">
        <v>357</v>
      </c>
      <c r="X6" s="175">
        <v>0.13</v>
      </c>
      <c r="Y6" s="175">
        <v>98408.511343999999</v>
      </c>
      <c r="Z6" s="175">
        <v>162</v>
      </c>
      <c r="AA6" s="175">
        <f>Y6/Z6</f>
        <v>607.45994656790117</v>
      </c>
    </row>
    <row r="7" spans="2:27" x14ac:dyDescent="0.25">
      <c r="B7" s="176">
        <v>1114</v>
      </c>
      <c r="C7" s="185" t="s">
        <v>43</v>
      </c>
      <c r="D7" s="186" t="s">
        <v>355</v>
      </c>
      <c r="E7" s="179" t="s">
        <v>182</v>
      </c>
      <c r="F7" s="176" t="s">
        <v>297</v>
      </c>
      <c r="G7" s="180">
        <f>SUMIFS(Tracker!$Z$3:$Z$503,Tracker!$R$3:$R$503,'Lawyers Data'!$C7)</f>
        <v>4083.6</v>
      </c>
      <c r="H7" s="176">
        <f>COUNTIF(Tracker!$R$3:$R$503,'Lawyers Data'!$C7)</f>
        <v>32</v>
      </c>
      <c r="I7" s="176">
        <f>COUNTIFS(Tracker!$S$3:$S$503,'Lawyers Data'!I$2,Tracker!$R$3:$R$503,'Lawyers Data'!$C7)</f>
        <v>31</v>
      </c>
      <c r="J7" s="176">
        <f>COUNTIFS(Tracker!$S$3:$S$503,'Lawyers Data'!J$2,Tracker!$R$3:$R$503,'Lawyers Data'!$C7)</f>
        <v>1</v>
      </c>
      <c r="K7" s="176">
        <f>COUNTIFS(Tracker!$S$3:$S$503,'Lawyers Data'!K$2,Tracker!$R$3:$R$503,'Lawyers Data'!$C7)</f>
        <v>0</v>
      </c>
      <c r="L7" s="176">
        <f>COUNTIFS(Tracker!$P$3:$P$503,'Lawyers Data'!L$2,Tracker!$R$3:$R$503,'Lawyers Data'!$C7)</f>
        <v>9</v>
      </c>
      <c r="M7" s="181">
        <f t="shared" si="0"/>
        <v>0.28125</v>
      </c>
      <c r="N7" s="176">
        <f>COUNTIFS(Tracker!$P$3:$P$503,'Lawyers Data'!N$2,Tracker!$R$3:$R$503,'Lawyers Data'!$C7)</f>
        <v>9</v>
      </c>
      <c r="O7" s="176">
        <f>COUNTIFS(Tracker!$P$3:$P$503,'Lawyers Data'!O$2,Tracker!$R$3:$R$503,'Lawyers Data'!$C7)</f>
        <v>13</v>
      </c>
      <c r="P7" s="176" t="s">
        <v>368</v>
      </c>
      <c r="Q7" s="182">
        <f>G7*Analysis!$T$156</f>
        <v>245419.61550479947</v>
      </c>
      <c r="R7" s="183">
        <v>121588.83717333502</v>
      </c>
      <c r="S7" s="183">
        <v>121588.83717333502</v>
      </c>
      <c r="T7" s="181">
        <v>0.43999999999999995</v>
      </c>
      <c r="U7" s="184">
        <f>RANK($M7,$M$3:$M$24)+COUNTIF($M$3:M7,M7)-1</f>
        <v>10</v>
      </c>
    </row>
    <row r="8" spans="2:27" x14ac:dyDescent="0.25">
      <c r="B8" s="176">
        <v>1115</v>
      </c>
      <c r="C8" s="185" t="s">
        <v>44</v>
      </c>
      <c r="D8" s="186" t="s">
        <v>356</v>
      </c>
      <c r="E8" s="179" t="s">
        <v>183</v>
      </c>
      <c r="F8" s="176" t="s">
        <v>298</v>
      </c>
      <c r="G8" s="180">
        <f>SUMIFS(Tracker!$Z$3:$Z$503,Tracker!$R$3:$R$503,'Lawyers Data'!$C8)</f>
        <v>3229.9199999999992</v>
      </c>
      <c r="H8" s="176">
        <f>COUNTIF(Tracker!$R$3:$R$503,'Lawyers Data'!$C8)</f>
        <v>32</v>
      </c>
      <c r="I8" s="176">
        <f>COUNTIFS(Tracker!$S$3:$S$503,'Lawyers Data'!I$2,Tracker!$R$3:$R$503,'Lawyers Data'!$C8)</f>
        <v>31</v>
      </c>
      <c r="J8" s="176">
        <f>COUNTIFS(Tracker!$S$3:$S$503,'Lawyers Data'!J$2,Tracker!$R$3:$R$503,'Lawyers Data'!$C8)</f>
        <v>1</v>
      </c>
      <c r="K8" s="176">
        <f>COUNTIFS(Tracker!$S$3:$S$503,'Lawyers Data'!K$2,Tracker!$R$3:$R$503,'Lawyers Data'!$C8)</f>
        <v>0</v>
      </c>
      <c r="L8" s="176">
        <f>COUNTIFS(Tracker!$P$3:$P$503,'Lawyers Data'!L$2,Tracker!$R$3:$R$503,'Lawyers Data'!$C8)</f>
        <v>5</v>
      </c>
      <c r="M8" s="181">
        <f t="shared" si="0"/>
        <v>0.15625</v>
      </c>
      <c r="N8" s="176">
        <f>COUNTIFS(Tracker!$P$3:$P$503,'Lawyers Data'!N$2,Tracker!$R$3:$R$503,'Lawyers Data'!$C8)</f>
        <v>14</v>
      </c>
      <c r="O8" s="176">
        <f>COUNTIFS(Tracker!$P$3:$P$503,'Lawyers Data'!O$2,Tracker!$R$3:$R$503,'Lawyers Data'!$C8)</f>
        <v>12</v>
      </c>
      <c r="P8" s="176" t="s">
        <v>369</v>
      </c>
      <c r="Q8" s="182">
        <f>G8*Analysis!$T$157</f>
        <v>213502.93526469611</v>
      </c>
      <c r="R8" s="183">
        <v>95198.650770759181</v>
      </c>
      <c r="S8" s="183">
        <v>116353.90649759455</v>
      </c>
      <c r="T8" s="181">
        <v>0.53</v>
      </c>
      <c r="U8" s="184">
        <f>RANK($M8,$M$3:$M$24)+COUNTIF($M$3:M8,M8)-1</f>
        <v>20</v>
      </c>
    </row>
    <row r="9" spans="2:27" x14ac:dyDescent="0.25">
      <c r="B9" s="176">
        <v>1116</v>
      </c>
      <c r="C9" s="185" t="s">
        <v>45</v>
      </c>
      <c r="D9" s="186" t="s">
        <v>356</v>
      </c>
      <c r="E9" s="179" t="s">
        <v>184</v>
      </c>
      <c r="F9" s="176" t="s">
        <v>299</v>
      </c>
      <c r="G9" s="180">
        <f>SUMIFS(Tracker!$Z$3:$Z$503,Tracker!$R$3:$R$503,'Lawyers Data'!$C9)</f>
        <v>3755.5199999999995</v>
      </c>
      <c r="H9" s="176">
        <f>COUNTIF(Tracker!$R$3:$R$503,'Lawyers Data'!$C9)</f>
        <v>32</v>
      </c>
      <c r="I9" s="176">
        <f>COUNTIFS(Tracker!$S$3:$S$503,'Lawyers Data'!I$2,Tracker!$R$3:$R$503,'Lawyers Data'!$C9)</f>
        <v>27</v>
      </c>
      <c r="J9" s="176">
        <f>COUNTIFS(Tracker!$S$3:$S$503,'Lawyers Data'!J$2,Tracker!$R$3:$R$503,'Lawyers Data'!$C9)</f>
        <v>1</v>
      </c>
      <c r="K9" s="176">
        <f>COUNTIFS(Tracker!$S$3:$S$503,'Lawyers Data'!K$2,Tracker!$R$3:$R$503,'Lawyers Data'!$C9)</f>
        <v>4</v>
      </c>
      <c r="L9" s="176">
        <f>COUNTIFS(Tracker!$P$3:$P$503,'Lawyers Data'!L$2,Tracker!$R$3:$R$503,'Lawyers Data'!$C9)</f>
        <v>8</v>
      </c>
      <c r="M9" s="181">
        <f t="shared" si="0"/>
        <v>0.25</v>
      </c>
      <c r="N9" s="176">
        <f>COUNTIFS(Tracker!$P$3:$P$503,'Lawyers Data'!N$2,Tracker!$R$3:$R$503,'Lawyers Data'!$C9)</f>
        <v>7</v>
      </c>
      <c r="O9" s="176">
        <f>COUNTIFS(Tracker!$P$3:$P$503,'Lawyers Data'!O$2,Tracker!$R$3:$R$503,'Lawyers Data'!$C9)</f>
        <v>12</v>
      </c>
      <c r="P9" s="176" t="s">
        <v>368</v>
      </c>
      <c r="Q9" s="182">
        <f>G9*Analysis!$T$157</f>
        <v>248245.94523866585</v>
      </c>
      <c r="R9" s="183">
        <v>113149.96518221073</v>
      </c>
      <c r="S9" s="183">
        <v>132828.21999650824</v>
      </c>
      <c r="T9" s="181">
        <v>0.56000000000000005</v>
      </c>
      <c r="U9" s="184">
        <f>RANK($M9,$M$3:$M$24)+COUNTIF($M$3:M9,M9)-1</f>
        <v>11</v>
      </c>
    </row>
    <row r="10" spans="2:27" x14ac:dyDescent="0.25">
      <c r="B10" s="176">
        <v>1117</v>
      </c>
      <c r="C10" s="185" t="s">
        <v>46</v>
      </c>
      <c r="D10" s="186" t="s">
        <v>357</v>
      </c>
      <c r="E10" s="179" t="s">
        <v>185</v>
      </c>
      <c r="F10" s="176" t="s">
        <v>300</v>
      </c>
      <c r="G10" s="180">
        <f>SUMIFS(Tracker!$Z$3:$Z$503,Tracker!$R$3:$R$503,'Lawyers Data'!$C10)</f>
        <v>3519.36</v>
      </c>
      <c r="H10" s="176">
        <f>COUNTIF(Tracker!$R$3:$R$503,'Lawyers Data'!$C10)</f>
        <v>27</v>
      </c>
      <c r="I10" s="176">
        <f>COUNTIFS(Tracker!$S$3:$S$503,'Lawyers Data'!I$2,Tracker!$R$3:$R$503,'Lawyers Data'!$C10)</f>
        <v>24</v>
      </c>
      <c r="J10" s="176">
        <f>COUNTIFS(Tracker!$S$3:$S$503,'Lawyers Data'!J$2,Tracker!$R$3:$R$503,'Lawyers Data'!$C10)</f>
        <v>0</v>
      </c>
      <c r="K10" s="176">
        <f>COUNTIFS(Tracker!$S$3:$S$503,'Lawyers Data'!K$2,Tracker!$R$3:$R$503,'Lawyers Data'!$C10)</f>
        <v>3</v>
      </c>
      <c r="L10" s="176">
        <f>COUNTIFS(Tracker!$P$3:$P$503,'Lawyers Data'!L$2,Tracker!$R$3:$R$503,'Lawyers Data'!$C10)</f>
        <v>15</v>
      </c>
      <c r="M10" s="181">
        <f t="shared" si="0"/>
        <v>0.55555555555555558</v>
      </c>
      <c r="N10" s="176">
        <f>COUNTIFS(Tracker!$P$3:$P$503,'Lawyers Data'!N$2,Tracker!$R$3:$R$503,'Lawyers Data'!$C10)</f>
        <v>3</v>
      </c>
      <c r="O10" s="176">
        <f>COUNTIFS(Tracker!$P$3:$P$503,'Lawyers Data'!O$2,Tracker!$R$3:$R$503,'Lawyers Data'!$C10)</f>
        <v>6</v>
      </c>
      <c r="P10" s="176" t="s">
        <v>368</v>
      </c>
      <c r="Q10" s="182">
        <f>G10*Analysis!$T$158</f>
        <v>83810.564389683568</v>
      </c>
      <c r="R10" s="183">
        <v>45674.718993525552</v>
      </c>
      <c r="S10" s="183">
        <v>37370.224631066354</v>
      </c>
      <c r="T10" s="181">
        <v>0.49</v>
      </c>
      <c r="U10" s="184">
        <f>RANK($M10,$M$3:$M$24)+COUNTIF($M$3:M10,M10)-1</f>
        <v>1</v>
      </c>
    </row>
    <row r="11" spans="2:27" x14ac:dyDescent="0.25">
      <c r="B11" s="176">
        <v>1118</v>
      </c>
      <c r="C11" s="185" t="s">
        <v>47</v>
      </c>
      <c r="D11" s="186" t="s">
        <v>357</v>
      </c>
      <c r="E11" s="179" t="s">
        <v>186</v>
      </c>
      <c r="F11" s="176" t="s">
        <v>301</v>
      </c>
      <c r="G11" s="180">
        <f>SUMIFS(Tracker!$Z$3:$Z$503,Tracker!$R$3:$R$503,'Lawyers Data'!$C11)</f>
        <v>2544.4800000000005</v>
      </c>
      <c r="H11" s="176">
        <f>COUNTIF(Tracker!$R$3:$R$503,'Lawyers Data'!$C11)</f>
        <v>22</v>
      </c>
      <c r="I11" s="176">
        <f>COUNTIFS(Tracker!$S$3:$S$503,'Lawyers Data'!I$2,Tracker!$R$3:$R$503,'Lawyers Data'!$C11)</f>
        <v>20</v>
      </c>
      <c r="J11" s="176">
        <f>COUNTIFS(Tracker!$S$3:$S$503,'Lawyers Data'!J$2,Tracker!$R$3:$R$503,'Lawyers Data'!$C11)</f>
        <v>0</v>
      </c>
      <c r="K11" s="176">
        <f>COUNTIFS(Tracker!$S$3:$S$503,'Lawyers Data'!K$2,Tracker!$R$3:$R$503,'Lawyers Data'!$C11)</f>
        <v>2</v>
      </c>
      <c r="L11" s="176">
        <f>COUNTIFS(Tracker!$P$3:$P$503,'Lawyers Data'!L$2,Tracker!$R$3:$R$503,'Lawyers Data'!$C11)</f>
        <v>7</v>
      </c>
      <c r="M11" s="181">
        <f t="shared" si="0"/>
        <v>0.31818181818181818</v>
      </c>
      <c r="N11" s="176">
        <f>COUNTIFS(Tracker!$P$3:$P$503,'Lawyers Data'!N$2,Tracker!$R$3:$R$503,'Lawyers Data'!$C11)</f>
        <v>7</v>
      </c>
      <c r="O11" s="176">
        <f>COUNTIFS(Tracker!$P$3:$P$503,'Lawyers Data'!O$2,Tracker!$R$3:$R$503,'Lawyers Data'!$C11)</f>
        <v>6</v>
      </c>
      <c r="P11" s="176" t="s">
        <v>368</v>
      </c>
      <c r="Q11" s="182">
        <f>G11*Analysis!$T$158</f>
        <v>60594.626545241772</v>
      </c>
      <c r="R11" s="183">
        <v>30020.543245632962</v>
      </c>
      <c r="S11" s="183">
        <v>30020.543245632962</v>
      </c>
      <c r="T11" s="181">
        <v>0.56999999999999995</v>
      </c>
      <c r="U11" s="184">
        <f>RANK($M11,$M$3:$M$24)+COUNTIF($M$3:M11,M11)-1</f>
        <v>7</v>
      </c>
    </row>
    <row r="12" spans="2:27" x14ac:dyDescent="0.25">
      <c r="B12" s="176">
        <v>1119</v>
      </c>
      <c r="C12" s="185" t="s">
        <v>48</v>
      </c>
      <c r="D12" s="186" t="s">
        <v>357</v>
      </c>
      <c r="E12" s="179" t="s">
        <v>187</v>
      </c>
      <c r="F12" s="176" t="s">
        <v>302</v>
      </c>
      <c r="G12" s="180">
        <f>SUMIFS(Tracker!$Z$3:$Z$503,Tracker!$R$3:$R$503,'Lawyers Data'!$C12)</f>
        <v>3388.08</v>
      </c>
      <c r="H12" s="176">
        <f>COUNTIF(Tracker!$R$3:$R$503,'Lawyers Data'!$C12)</f>
        <v>28</v>
      </c>
      <c r="I12" s="176">
        <f>COUNTIFS(Tracker!$S$3:$S$503,'Lawyers Data'!I$2,Tracker!$R$3:$R$503,'Lawyers Data'!$C12)</f>
        <v>25</v>
      </c>
      <c r="J12" s="176">
        <f>COUNTIFS(Tracker!$S$3:$S$503,'Lawyers Data'!J$2,Tracker!$R$3:$R$503,'Lawyers Data'!$C12)</f>
        <v>2</v>
      </c>
      <c r="K12" s="176">
        <f>COUNTIFS(Tracker!$S$3:$S$503,'Lawyers Data'!K$2,Tracker!$R$3:$R$503,'Lawyers Data'!$C12)</f>
        <v>1</v>
      </c>
      <c r="L12" s="176">
        <f>COUNTIFS(Tracker!$P$3:$P$503,'Lawyers Data'!L$2,Tracker!$R$3:$R$503,'Lawyers Data'!$C12)</f>
        <v>10</v>
      </c>
      <c r="M12" s="181">
        <f t="shared" si="0"/>
        <v>0.35714285714285715</v>
      </c>
      <c r="N12" s="176">
        <f>COUNTIFS(Tracker!$P$3:$P$503,'Lawyers Data'!N$2,Tracker!$R$3:$R$503,'Lawyers Data'!$C12)</f>
        <v>9</v>
      </c>
      <c r="O12" s="176">
        <f>COUNTIFS(Tracker!$P$3:$P$503,'Lawyers Data'!O$2,Tracker!$R$3:$R$503,'Lawyers Data'!$C12)</f>
        <v>6</v>
      </c>
      <c r="P12" s="176" t="s">
        <v>368</v>
      </c>
      <c r="Q12" s="182">
        <f>G12*Analysis!$T$158</f>
        <v>80684.242872965275</v>
      </c>
      <c r="R12" s="183">
        <v>45569.893440709719</v>
      </c>
      <c r="S12" s="183">
        <v>34377.288034219622</v>
      </c>
      <c r="T12" s="181">
        <v>0.48</v>
      </c>
      <c r="U12" s="184">
        <f>RANK($M12,$M$3:$M$24)+COUNTIF($M$3:M12,M12)-1</f>
        <v>4</v>
      </c>
    </row>
    <row r="13" spans="2:27" x14ac:dyDescent="0.25">
      <c r="B13" s="176">
        <v>1120</v>
      </c>
      <c r="C13" s="185" t="s">
        <v>49</v>
      </c>
      <c r="D13" s="186" t="s">
        <v>357</v>
      </c>
      <c r="E13" s="179" t="s">
        <v>188</v>
      </c>
      <c r="F13" s="176" t="s">
        <v>303</v>
      </c>
      <c r="G13" s="180">
        <f>SUMIFS(Tracker!$Z$3:$Z$503,Tracker!$R$3:$R$503,'Lawyers Data'!$C13)</f>
        <v>3705.36</v>
      </c>
      <c r="H13" s="176">
        <f>COUNTIF(Tracker!$R$3:$R$503,'Lawyers Data'!$C13)</f>
        <v>28</v>
      </c>
      <c r="I13" s="176">
        <f>COUNTIFS(Tracker!$S$3:$S$503,'Lawyers Data'!I$2,Tracker!$R$3:$R$503,'Lawyers Data'!$C13)</f>
        <v>24</v>
      </c>
      <c r="J13" s="176">
        <f>COUNTIFS(Tracker!$S$3:$S$503,'Lawyers Data'!J$2,Tracker!$R$3:$R$503,'Lawyers Data'!$C13)</f>
        <v>1</v>
      </c>
      <c r="K13" s="176">
        <f>COUNTIFS(Tracker!$S$3:$S$503,'Lawyers Data'!K$2,Tracker!$R$3:$R$503,'Lawyers Data'!$C13)</f>
        <v>3</v>
      </c>
      <c r="L13" s="176">
        <f>COUNTIFS(Tracker!$P$3:$P$503,'Lawyers Data'!L$2,Tracker!$R$3:$R$503,'Lawyers Data'!$C13)</f>
        <v>6</v>
      </c>
      <c r="M13" s="181">
        <f t="shared" si="0"/>
        <v>0.21428571428571427</v>
      </c>
      <c r="N13" s="176">
        <f>COUNTIFS(Tracker!$P$3:$P$503,'Lawyers Data'!N$2,Tracker!$R$3:$R$503,'Lawyers Data'!$C13)</f>
        <v>10</v>
      </c>
      <c r="O13" s="176">
        <f>COUNTIFS(Tracker!$P$3:$P$503,'Lawyers Data'!O$2,Tracker!$R$3:$R$503,'Lawyers Data'!$C13)</f>
        <v>8</v>
      </c>
      <c r="P13" s="176" t="s">
        <v>369</v>
      </c>
      <c r="Q13" s="182">
        <f>G13*Analysis!$T$158</f>
        <v>88239.996154686625</v>
      </c>
      <c r="R13" s="183">
        <v>51586.008041860601</v>
      </c>
      <c r="S13" s="183">
        <v>35847.903893496354</v>
      </c>
      <c r="T13" s="181">
        <v>0.59000000000000008</v>
      </c>
      <c r="U13" s="184">
        <f>RANK($M13,$M$3:$M$24)+COUNTIF($M$3:M13,M13)-1</f>
        <v>17</v>
      </c>
    </row>
    <row r="14" spans="2:27" x14ac:dyDescent="0.25">
      <c r="B14" s="176">
        <v>1121</v>
      </c>
      <c r="C14" s="185" t="s">
        <v>50</v>
      </c>
      <c r="D14" s="186" t="s">
        <v>355</v>
      </c>
      <c r="E14" s="179" t="s">
        <v>189</v>
      </c>
      <c r="F14" s="176" t="s">
        <v>304</v>
      </c>
      <c r="G14" s="180">
        <f>SUMIFS(Tracker!$Z$3:$Z$503,Tracker!$R$3:$R$503,'Lawyers Data'!$C14)</f>
        <v>3981.3599999999992</v>
      </c>
      <c r="H14" s="176">
        <f>COUNTIF(Tracker!$R$3:$R$503,'Lawyers Data'!$C14)</f>
        <v>28</v>
      </c>
      <c r="I14" s="176">
        <f>COUNTIFS(Tracker!$S$3:$S$503,'Lawyers Data'!I$2,Tracker!$R$3:$R$503,'Lawyers Data'!$C14)</f>
        <v>24</v>
      </c>
      <c r="J14" s="176">
        <f>COUNTIFS(Tracker!$S$3:$S$503,'Lawyers Data'!J$2,Tracker!$R$3:$R$503,'Lawyers Data'!$C14)</f>
        <v>2</v>
      </c>
      <c r="K14" s="176">
        <f>COUNTIFS(Tracker!$S$3:$S$503,'Lawyers Data'!K$2,Tracker!$R$3:$R$503,'Lawyers Data'!$C14)</f>
        <v>2</v>
      </c>
      <c r="L14" s="176">
        <f>COUNTIFS(Tracker!$P$3:$P$503,'Lawyers Data'!L$2,Tracker!$R$3:$R$503,'Lawyers Data'!$C14)</f>
        <v>11</v>
      </c>
      <c r="M14" s="181">
        <f t="shared" si="0"/>
        <v>0.39285714285714285</v>
      </c>
      <c r="N14" s="176">
        <f>COUNTIFS(Tracker!$P$3:$P$503,'Lawyers Data'!N$2,Tracker!$R$3:$R$503,'Lawyers Data'!$C14)</f>
        <v>8</v>
      </c>
      <c r="O14" s="176">
        <f>COUNTIFS(Tracker!$P$3:$P$503,'Lawyers Data'!O$2,Tracker!$R$3:$R$503,'Lawyers Data'!$C14)</f>
        <v>5</v>
      </c>
      <c r="P14" s="176" t="s">
        <v>369</v>
      </c>
      <c r="Q14" s="182">
        <f>G14*Analysis!$T$156</f>
        <v>239275.11029145564</v>
      </c>
      <c r="R14" s="183">
        <v>104319.29200612636</v>
      </c>
      <c r="S14" s="183">
        <v>132770.00800779718</v>
      </c>
      <c r="T14" s="181">
        <v>0.47</v>
      </c>
      <c r="U14" s="184">
        <f>RANK($M14,$M$3:$M$24)+COUNTIF($M$3:M14,M14)-1</f>
        <v>3</v>
      </c>
    </row>
    <row r="15" spans="2:27" x14ac:dyDescent="0.25">
      <c r="B15" s="176">
        <v>1122</v>
      </c>
      <c r="C15" s="185" t="s">
        <v>51</v>
      </c>
      <c r="D15" s="186" t="s">
        <v>356</v>
      </c>
      <c r="E15" s="179" t="s">
        <v>190</v>
      </c>
      <c r="F15" s="176" t="s">
        <v>305</v>
      </c>
      <c r="G15" s="180">
        <f>SUMIFS(Tracker!$Z$3:$Z$503,Tracker!$R$3:$R$503,'Lawyers Data'!$C15)</f>
        <v>3580.0799999999995</v>
      </c>
      <c r="H15" s="176">
        <f>COUNTIF(Tracker!$R$3:$R$503,'Lawyers Data'!$C15)</f>
        <v>23</v>
      </c>
      <c r="I15" s="176">
        <f>COUNTIFS(Tracker!$S$3:$S$503,'Lawyers Data'!I$2,Tracker!$R$3:$R$503,'Lawyers Data'!$C15)</f>
        <v>18</v>
      </c>
      <c r="J15" s="176">
        <f>COUNTIFS(Tracker!$S$3:$S$503,'Lawyers Data'!J$2,Tracker!$R$3:$R$503,'Lawyers Data'!$C15)</f>
        <v>2</v>
      </c>
      <c r="K15" s="176">
        <f>COUNTIFS(Tracker!$S$3:$S$503,'Lawyers Data'!K$2,Tracker!$R$3:$R$503,'Lawyers Data'!$C15)</f>
        <v>3</v>
      </c>
      <c r="L15" s="176">
        <f>COUNTIFS(Tracker!$P$3:$P$503,'Lawyers Data'!L$2,Tracker!$R$3:$R$503,'Lawyers Data'!$C15)</f>
        <v>3</v>
      </c>
      <c r="M15" s="181">
        <f t="shared" si="0"/>
        <v>0.13043478260869565</v>
      </c>
      <c r="N15" s="176">
        <f>COUNTIFS(Tracker!$P$3:$P$503,'Lawyers Data'!N$2,Tracker!$R$3:$R$503,'Lawyers Data'!$C15)</f>
        <v>11</v>
      </c>
      <c r="O15" s="176">
        <f>COUNTIFS(Tracker!$P$3:$P$503,'Lawyers Data'!O$2,Tracker!$R$3:$R$503,'Lawyers Data'!$C15)</f>
        <v>4</v>
      </c>
      <c r="P15" s="176" t="s">
        <v>368</v>
      </c>
      <c r="Q15" s="182">
        <f>G15*Analysis!$T$157</f>
        <v>236649.07752589331</v>
      </c>
      <c r="R15" s="183">
        <v>133657.73615396483</v>
      </c>
      <c r="S15" s="183">
        <v>100829.52025649982</v>
      </c>
      <c r="T15" s="181">
        <v>0.48</v>
      </c>
      <c r="U15" s="184">
        <f>RANK($M15,$M$3:$M$24)+COUNTIF($M$3:M15,M15)-1</f>
        <v>21</v>
      </c>
    </row>
    <row r="16" spans="2:27" x14ac:dyDescent="0.25">
      <c r="B16" s="176">
        <v>1123</v>
      </c>
      <c r="C16" s="185" t="s">
        <v>52</v>
      </c>
      <c r="D16" s="186" t="s">
        <v>357</v>
      </c>
      <c r="E16" s="179" t="s">
        <v>191</v>
      </c>
      <c r="F16" s="176" t="s">
        <v>306</v>
      </c>
      <c r="G16" s="180">
        <f>SUMIFS(Tracker!$Z$3:$Z$503,Tracker!$R$3:$R$503,'Lawyers Data'!$C16)</f>
        <v>2500.8000000000002</v>
      </c>
      <c r="H16" s="176">
        <f>COUNTIF(Tracker!$R$3:$R$503,'Lawyers Data'!$C16)</f>
        <v>17</v>
      </c>
      <c r="I16" s="176">
        <f>COUNTIFS(Tracker!$S$3:$S$503,'Lawyers Data'!I$2,Tracker!$R$3:$R$503,'Lawyers Data'!$C16)</f>
        <v>14</v>
      </c>
      <c r="J16" s="176">
        <f>COUNTIFS(Tracker!$S$3:$S$503,'Lawyers Data'!J$2,Tracker!$R$3:$R$503,'Lawyers Data'!$C16)</f>
        <v>2</v>
      </c>
      <c r="K16" s="176">
        <f>COUNTIFS(Tracker!$S$3:$S$503,'Lawyers Data'!K$2,Tracker!$R$3:$R$503,'Lawyers Data'!$C16)</f>
        <v>1</v>
      </c>
      <c r="L16" s="176">
        <f>COUNTIFS(Tracker!$P$3:$P$503,'Lawyers Data'!L$2,Tracker!$R$3:$R$503,'Lawyers Data'!$C16)</f>
        <v>4</v>
      </c>
      <c r="M16" s="181">
        <f t="shared" si="0"/>
        <v>0.23529411764705882</v>
      </c>
      <c r="N16" s="176">
        <f>COUNTIFS(Tracker!$P$3:$P$503,'Lawyers Data'!N$2,Tracker!$R$3:$R$503,'Lawyers Data'!$C16)</f>
        <v>6</v>
      </c>
      <c r="O16" s="176">
        <f>COUNTIFS(Tracker!$P$3:$P$503,'Lawyers Data'!O$2,Tracker!$R$3:$R$503,'Lawyers Data'!$C16)</f>
        <v>4</v>
      </c>
      <c r="P16" s="176" t="s">
        <v>368</v>
      </c>
      <c r="Q16" s="182">
        <f>G16*Analysis!$T$158</f>
        <v>59554.424504944276</v>
      </c>
      <c r="R16" s="183">
        <v>33045.816628356428</v>
      </c>
      <c r="S16" s="183">
        <v>25964.570207994337</v>
      </c>
      <c r="T16" s="181">
        <v>0.45999999999999996</v>
      </c>
      <c r="U16" s="184">
        <f>RANK($M16,$M$3:$M$24)+COUNTIF($M$3:M16,M16)-1</f>
        <v>13</v>
      </c>
    </row>
    <row r="17" spans="2:21" x14ac:dyDescent="0.25">
      <c r="B17" s="176">
        <v>1124</v>
      </c>
      <c r="C17" s="185" t="s">
        <v>53</v>
      </c>
      <c r="D17" s="186" t="s">
        <v>357</v>
      </c>
      <c r="E17" s="179" t="s">
        <v>192</v>
      </c>
      <c r="F17" s="176" t="s">
        <v>307</v>
      </c>
      <c r="G17" s="180">
        <f>SUMIFS(Tracker!$Z$3:$Z$503,Tracker!$R$3:$R$503,'Lawyers Data'!$C17)</f>
        <v>2072.6400000000003</v>
      </c>
      <c r="H17" s="176">
        <f>COUNTIF(Tracker!$R$3:$R$503,'Lawyers Data'!$C17)</f>
        <v>17</v>
      </c>
      <c r="I17" s="176">
        <f>COUNTIFS(Tracker!$S$3:$S$503,'Lawyers Data'!I$2,Tracker!$R$3:$R$503,'Lawyers Data'!$C17)</f>
        <v>17</v>
      </c>
      <c r="J17" s="176">
        <f>COUNTIFS(Tracker!$S$3:$S$503,'Lawyers Data'!J$2,Tracker!$R$3:$R$503,'Lawyers Data'!$C17)</f>
        <v>0</v>
      </c>
      <c r="K17" s="176">
        <f>COUNTIFS(Tracker!$S$3:$S$503,'Lawyers Data'!K$2,Tracker!$R$3:$R$503,'Lawyers Data'!$C17)</f>
        <v>0</v>
      </c>
      <c r="L17" s="176">
        <f>COUNTIFS(Tracker!$P$3:$P$503,'Lawyers Data'!L$2,Tracker!$R$3:$R$503,'Lawyers Data'!$C17)</f>
        <v>4</v>
      </c>
      <c r="M17" s="181">
        <f t="shared" si="0"/>
        <v>0.23529411764705882</v>
      </c>
      <c r="N17" s="176">
        <f>COUNTIFS(Tracker!$P$3:$P$503,'Lawyers Data'!N$2,Tracker!$R$3:$R$503,'Lawyers Data'!$C17)</f>
        <v>7</v>
      </c>
      <c r="O17" s="176">
        <f>COUNTIFS(Tracker!$P$3:$P$503,'Lawyers Data'!O$2,Tracker!$R$3:$R$503,'Lawyers Data'!$C17)</f>
        <v>6</v>
      </c>
      <c r="P17" s="176" t="s">
        <v>368</v>
      </c>
      <c r="Q17" s="182">
        <f>G17*Analysis!$T$158</f>
        <v>49358.158351698541</v>
      </c>
      <c r="R17" s="183">
        <v>29344.358966529286</v>
      </c>
      <c r="S17" s="183">
        <v>19562.905977686194</v>
      </c>
      <c r="T17" s="181">
        <v>0.41000000000000003</v>
      </c>
      <c r="U17" s="184">
        <f>RANK($M17,$M$3:$M$24)+COUNTIF($M$3:M17,M17)-1</f>
        <v>14</v>
      </c>
    </row>
    <row r="18" spans="2:21" x14ac:dyDescent="0.25">
      <c r="B18" s="176">
        <v>1125</v>
      </c>
      <c r="C18" s="185" t="s">
        <v>54</v>
      </c>
      <c r="D18" s="186" t="s">
        <v>357</v>
      </c>
      <c r="E18" s="179" t="s">
        <v>193</v>
      </c>
      <c r="F18" s="176" t="s">
        <v>308</v>
      </c>
      <c r="G18" s="180">
        <f>SUMIFS(Tracker!$Z$3:$Z$503,Tracker!$R$3:$R$503,'Lawyers Data'!$C18)</f>
        <v>1662.4799999999998</v>
      </c>
      <c r="H18" s="176">
        <f>COUNTIF(Tracker!$R$3:$R$503,'Lawyers Data'!$C18)</f>
        <v>17</v>
      </c>
      <c r="I18" s="176">
        <f>COUNTIFS(Tracker!$S$3:$S$503,'Lawyers Data'!I$2,Tracker!$R$3:$R$503,'Lawyers Data'!$C18)</f>
        <v>15</v>
      </c>
      <c r="J18" s="176">
        <f>COUNTIFS(Tracker!$S$3:$S$503,'Lawyers Data'!J$2,Tracker!$R$3:$R$503,'Lawyers Data'!$C18)</f>
        <v>1</v>
      </c>
      <c r="K18" s="176">
        <f>COUNTIFS(Tracker!$S$3:$S$503,'Lawyers Data'!K$2,Tracker!$R$3:$R$503,'Lawyers Data'!$C18)</f>
        <v>1</v>
      </c>
      <c r="L18" s="176">
        <f>COUNTIFS(Tracker!$P$3:$P$503,'Lawyers Data'!L$2,Tracker!$R$3:$R$503,'Lawyers Data'!$C18)</f>
        <v>8</v>
      </c>
      <c r="M18" s="181">
        <f t="shared" si="0"/>
        <v>0.47058823529411764</v>
      </c>
      <c r="N18" s="176">
        <f>COUNTIFS(Tracker!$P$3:$P$503,'Lawyers Data'!N$2,Tracker!$R$3:$R$503,'Lawyers Data'!$C18)</f>
        <v>2</v>
      </c>
      <c r="O18" s="176">
        <f>COUNTIFS(Tracker!$P$3:$P$503,'Lawyers Data'!O$2,Tracker!$R$3:$R$503,'Lawyers Data'!$C18)</f>
        <v>5</v>
      </c>
      <c r="P18" s="176" t="s">
        <v>369</v>
      </c>
      <c r="Q18" s="182">
        <f>G18*Analysis!$T$158</f>
        <v>39590.546885388569</v>
      </c>
      <c r="R18" s="183">
        <v>22360.462694892409</v>
      </c>
      <c r="S18" s="183">
        <v>16868.419225971473</v>
      </c>
      <c r="T18" s="181">
        <v>0.43000000000000005</v>
      </c>
      <c r="U18" s="184">
        <f>RANK($M18,$M$3:$M$24)+COUNTIF($M$3:M18,M18)-1</f>
        <v>2</v>
      </c>
    </row>
    <row r="19" spans="2:21" x14ac:dyDescent="0.25">
      <c r="B19" s="176">
        <v>1126</v>
      </c>
      <c r="C19" s="185" t="s">
        <v>38</v>
      </c>
      <c r="D19" s="186" t="s">
        <v>357</v>
      </c>
      <c r="E19" s="179" t="s">
        <v>194</v>
      </c>
      <c r="F19" s="176" t="s">
        <v>172</v>
      </c>
      <c r="G19" s="180">
        <f>SUMIFS(Tracker!$Z$3:$Z$503,Tracker!$R$3:$R$503,'Lawyers Data'!$C19)</f>
        <v>1362.72</v>
      </c>
      <c r="H19" s="176">
        <f>COUNTIF(Tracker!$R$3:$R$503,'Lawyers Data'!$C19)</f>
        <v>17</v>
      </c>
      <c r="I19" s="176">
        <f>COUNTIFS(Tracker!$S$3:$S$503,'Lawyers Data'!I$2,Tracker!$R$3:$R$503,'Lawyers Data'!$C19)</f>
        <v>16</v>
      </c>
      <c r="J19" s="176">
        <f>COUNTIFS(Tracker!$S$3:$S$503,'Lawyers Data'!J$2,Tracker!$R$3:$R$503,'Lawyers Data'!$C19)</f>
        <v>1</v>
      </c>
      <c r="K19" s="176">
        <f>COUNTIFS(Tracker!$S$3:$S$503,'Lawyers Data'!K$2,Tracker!$R$3:$R$503,'Lawyers Data'!$C19)</f>
        <v>0</v>
      </c>
      <c r="L19" s="176">
        <f>COUNTIFS(Tracker!$P$3:$P$503,'Lawyers Data'!L$2,Tracker!$R$3:$R$503,'Lawyers Data'!$C19)</f>
        <v>5</v>
      </c>
      <c r="M19" s="181">
        <f t="shared" si="0"/>
        <v>0.29411764705882354</v>
      </c>
      <c r="N19" s="176">
        <f>COUNTIFS(Tracker!$P$3:$P$503,'Lawyers Data'!N$2,Tracker!$R$3:$R$503,'Lawyers Data'!$C19)</f>
        <v>2</v>
      </c>
      <c r="O19" s="176">
        <f>COUNTIFS(Tracker!$P$3:$P$503,'Lawyers Data'!O$2,Tracker!$R$3:$R$503,'Lawyers Data'!$C19)</f>
        <v>9</v>
      </c>
      <c r="P19" s="176" t="s">
        <v>368</v>
      </c>
      <c r="Q19" s="182">
        <f>G19*Analysis!$T$158</f>
        <v>32452.017498951398</v>
      </c>
      <c r="R19" s="183">
        <v>15113.115060911308</v>
      </c>
      <c r="S19" s="183">
        <v>17042.448898474453</v>
      </c>
      <c r="T19" s="181">
        <v>0.44999999999999996</v>
      </c>
      <c r="U19" s="184">
        <f>RANK($M19,$M$3:$M$24)+COUNTIF($M$3:M19,M19)-1</f>
        <v>9</v>
      </c>
    </row>
    <row r="20" spans="2:21" x14ac:dyDescent="0.25">
      <c r="B20" s="176">
        <v>1127</v>
      </c>
      <c r="C20" s="185" t="s">
        <v>40</v>
      </c>
      <c r="D20" s="178" t="s">
        <v>354</v>
      </c>
      <c r="E20" s="179" t="s">
        <v>195</v>
      </c>
      <c r="F20" s="176" t="s">
        <v>173</v>
      </c>
      <c r="G20" s="180">
        <f>SUMIFS(Tracker!$Z$3:$Z$503,Tracker!$R$3:$R$503,'Lawyers Data'!$C20)</f>
        <v>1707.6</v>
      </c>
      <c r="H20" s="176">
        <f>COUNTIF(Tracker!$R$3:$R$503,'Lawyers Data'!$C20)</f>
        <v>17</v>
      </c>
      <c r="I20" s="176">
        <f>COUNTIFS(Tracker!$S$3:$S$503,'Lawyers Data'!I$2,Tracker!$R$3:$R$503,'Lawyers Data'!$C20)</f>
        <v>16</v>
      </c>
      <c r="J20" s="176">
        <f>COUNTIFS(Tracker!$S$3:$S$503,'Lawyers Data'!J$2,Tracker!$R$3:$R$503,'Lawyers Data'!$C20)</f>
        <v>0</v>
      </c>
      <c r="K20" s="176">
        <f>COUNTIFS(Tracker!$S$3:$S$503,'Lawyers Data'!K$2,Tracker!$R$3:$R$503,'Lawyers Data'!$C20)</f>
        <v>1</v>
      </c>
      <c r="L20" s="176">
        <f>COUNTIFS(Tracker!$P$3:$P$503,'Lawyers Data'!L$2,Tracker!$R$3:$R$503,'Lawyers Data'!$C20)</f>
        <v>4</v>
      </c>
      <c r="M20" s="181">
        <f t="shared" si="0"/>
        <v>0.23529411764705882</v>
      </c>
      <c r="N20" s="176">
        <f>COUNTIFS(Tracker!$P$3:$P$503,'Lawyers Data'!N$2,Tracker!$R$3:$R$503,'Lawyers Data'!$C20)</f>
        <v>5</v>
      </c>
      <c r="O20" s="176">
        <f>COUNTIFS(Tracker!$P$3:$P$503,'Lawyers Data'!O$2,Tracker!$R$3:$R$503,'Lawyers Data'!$C20)</f>
        <v>7</v>
      </c>
      <c r="P20" s="176" t="s">
        <v>369</v>
      </c>
      <c r="Q20" s="182">
        <f>G20*Analysis!$T$155</f>
        <v>262457.0710511069</v>
      </c>
      <c r="R20" s="183">
        <v>135230.93503280042</v>
      </c>
      <c r="S20" s="183">
        <v>124828.5554148927</v>
      </c>
      <c r="T20" s="181">
        <v>0.47</v>
      </c>
      <c r="U20" s="184">
        <f>RANK($M20,$M$3:$M$24)+COUNTIF($M$3:M20,M20)-1</f>
        <v>15</v>
      </c>
    </row>
    <row r="21" spans="2:21" x14ac:dyDescent="0.25">
      <c r="B21" s="176">
        <v>1128</v>
      </c>
      <c r="C21" s="185" t="s">
        <v>34</v>
      </c>
      <c r="D21" s="186" t="s">
        <v>355</v>
      </c>
      <c r="E21" s="179" t="s">
        <v>196</v>
      </c>
      <c r="F21" s="176" t="s">
        <v>174</v>
      </c>
      <c r="G21" s="180">
        <f>SUMIFS(Tracker!$Z$3:$Z$503,Tracker!$R$3:$R$503,'Lawyers Data'!$C21)</f>
        <v>753.12</v>
      </c>
      <c r="H21" s="176">
        <f>COUNTIF(Tracker!$R$3:$R$503,'Lawyers Data'!$C21)</f>
        <v>12</v>
      </c>
      <c r="I21" s="176">
        <f>COUNTIFS(Tracker!$S$3:$S$503,'Lawyers Data'!I$2,Tracker!$R$3:$R$503,'Lawyers Data'!$C21)</f>
        <v>11</v>
      </c>
      <c r="J21" s="176">
        <f>COUNTIFS(Tracker!$S$3:$S$503,'Lawyers Data'!J$2,Tracker!$R$3:$R$503,'Lawyers Data'!$C21)</f>
        <v>1</v>
      </c>
      <c r="K21" s="176">
        <f>COUNTIFS(Tracker!$S$3:$S$503,'Lawyers Data'!K$2,Tracker!$R$3:$R$503,'Lawyers Data'!$C21)</f>
        <v>0</v>
      </c>
      <c r="L21" s="176">
        <f>COUNTIFS(Tracker!$P$3:$P$503,'Lawyers Data'!L$2,Tracker!$R$3:$R$503,'Lawyers Data'!$C21)</f>
        <v>3</v>
      </c>
      <c r="M21" s="181">
        <f t="shared" si="0"/>
        <v>0.25</v>
      </c>
      <c r="N21" s="176">
        <f>COUNTIFS(Tracker!$P$3:$P$503,'Lawyers Data'!N$2,Tracker!$R$3:$R$503,'Lawyers Data'!$C21)</f>
        <v>4</v>
      </c>
      <c r="O21" s="176">
        <f>COUNTIFS(Tracker!$P$3:$P$503,'Lawyers Data'!O$2,Tracker!$R$3:$R$503,'Lawyers Data'!$C21)</f>
        <v>4</v>
      </c>
      <c r="P21" s="176" t="s">
        <v>368</v>
      </c>
      <c r="Q21" s="182">
        <f>G21*Analysis!$T$156</f>
        <v>45261.63699406763</v>
      </c>
      <c r="R21" s="183">
        <v>19733.192978191848</v>
      </c>
      <c r="S21" s="183">
        <v>25114.972881335078</v>
      </c>
      <c r="T21" s="181">
        <v>0.48999999999999994</v>
      </c>
      <c r="U21" s="184">
        <f>RANK($M21,$M$3:$M$24)+COUNTIF($M$3:M21,M21)-1</f>
        <v>12</v>
      </c>
    </row>
    <row r="22" spans="2:21" x14ac:dyDescent="0.25">
      <c r="B22" s="176">
        <v>1129</v>
      </c>
      <c r="C22" s="185" t="s">
        <v>35</v>
      </c>
      <c r="D22" s="186" t="s">
        <v>355</v>
      </c>
      <c r="E22" s="179" t="s">
        <v>197</v>
      </c>
      <c r="F22" s="176" t="s">
        <v>175</v>
      </c>
      <c r="G22" s="180">
        <f>SUMIFS(Tracker!$Z$3:$Z$503,Tracker!$R$3:$R$503,'Lawyers Data'!$C22)</f>
        <v>1683.12</v>
      </c>
      <c r="H22" s="176">
        <f>COUNTIF(Tracker!$R$3:$R$503,'Lawyers Data'!$C22)</f>
        <v>12</v>
      </c>
      <c r="I22" s="176">
        <f>COUNTIFS(Tracker!$S$3:$S$503,'Lawyers Data'!I$2,Tracker!$R$3:$R$503,'Lawyers Data'!$C22)</f>
        <v>9</v>
      </c>
      <c r="J22" s="176">
        <f>COUNTIFS(Tracker!$S$3:$S$503,'Lawyers Data'!J$2,Tracker!$R$3:$R$503,'Lawyers Data'!$C22)</f>
        <v>2</v>
      </c>
      <c r="K22" s="176">
        <f>COUNTIFS(Tracker!$S$3:$S$503,'Lawyers Data'!K$2,Tracker!$R$3:$R$503,'Lawyers Data'!$C22)</f>
        <v>1</v>
      </c>
      <c r="L22" s="176">
        <f>COUNTIFS(Tracker!$P$3:$P$503,'Lawyers Data'!L$2,Tracker!$R$3:$R$503,'Lawyers Data'!$C22)</f>
        <v>4</v>
      </c>
      <c r="M22" s="181">
        <f t="shared" si="0"/>
        <v>0.33333333333333331</v>
      </c>
      <c r="N22" s="176">
        <f>COUNTIFS(Tracker!$P$3:$P$503,'Lawyers Data'!N$2,Tracker!$R$3:$R$503,'Lawyers Data'!$C22)</f>
        <v>3</v>
      </c>
      <c r="O22" s="176">
        <f>COUNTIFS(Tracker!$P$3:$P$503,'Lawyers Data'!O$2,Tracker!$R$3:$R$503,'Lawyers Data'!$C22)</f>
        <v>2</v>
      </c>
      <c r="P22" s="176" t="s">
        <v>368</v>
      </c>
      <c r="Q22" s="182">
        <f>G22*Analysis!$T$156</f>
        <v>101153.55648164317</v>
      </c>
      <c r="R22" s="183">
        <v>53121.637731554183</v>
      </c>
      <c r="S22" s="183">
        <v>47107.867422321629</v>
      </c>
      <c r="T22" s="181">
        <v>0.58000000000000007</v>
      </c>
      <c r="U22" s="184">
        <f>RANK($M22,$M$3:$M$24)+COUNTIF($M$3:M22,M22)-1</f>
        <v>6</v>
      </c>
    </row>
    <row r="23" spans="2:21" x14ac:dyDescent="0.25">
      <c r="B23" s="176">
        <v>1130</v>
      </c>
      <c r="C23" s="185" t="s">
        <v>36</v>
      </c>
      <c r="D23" s="186" t="s">
        <v>355</v>
      </c>
      <c r="E23" s="179" t="s">
        <v>198</v>
      </c>
      <c r="F23" s="176" t="s">
        <v>176</v>
      </c>
      <c r="G23" s="180">
        <f>SUMIFS(Tracker!$Z$3:$Z$503,Tracker!$R$3:$R$503,'Lawyers Data'!$C23)</f>
        <v>2813.52</v>
      </c>
      <c r="H23" s="176">
        <f>COUNTIF(Tracker!$R$3:$R$503,'Lawyers Data'!$C23)</f>
        <v>16</v>
      </c>
      <c r="I23" s="176">
        <f>COUNTIFS(Tracker!$S$3:$S$503,'Lawyers Data'!I$2,Tracker!$R$3:$R$503,'Lawyers Data'!$C23)</f>
        <v>11</v>
      </c>
      <c r="J23" s="176">
        <f>COUNTIFS(Tracker!$S$3:$S$503,'Lawyers Data'!J$2,Tracker!$R$3:$R$503,'Lawyers Data'!$C23)</f>
        <v>2</v>
      </c>
      <c r="K23" s="176">
        <f>COUNTIFS(Tracker!$S$3:$S$503,'Lawyers Data'!K$2,Tracker!$R$3:$R$503,'Lawyers Data'!$C23)</f>
        <v>3</v>
      </c>
      <c r="L23" s="176">
        <f>COUNTIFS(Tracker!$P$3:$P$503,'Lawyers Data'!L$2,Tracker!$R$3:$R$503,'Lawyers Data'!$C23)</f>
        <v>3</v>
      </c>
      <c r="M23" s="181">
        <f t="shared" si="0"/>
        <v>0.1875</v>
      </c>
      <c r="N23" s="176">
        <f>COUNTIFS(Tracker!$P$3:$P$503,'Lawyers Data'!N$2,Tracker!$R$3:$R$503,'Lawyers Data'!$C23)</f>
        <v>4</v>
      </c>
      <c r="O23" s="176">
        <f>COUNTIFS(Tracker!$P$3:$P$503,'Lawyers Data'!O$2,Tracker!$R$3:$R$503,'Lawyers Data'!$C23)</f>
        <v>4</v>
      </c>
      <c r="P23" s="176" t="s">
        <v>368</v>
      </c>
      <c r="Q23" s="182">
        <f>G23*Analysis!$T$156</f>
        <v>169089.28313621887</v>
      </c>
      <c r="R23" s="183">
        <v>73719.637120249536</v>
      </c>
      <c r="S23" s="183">
        <v>93824.992698499409</v>
      </c>
      <c r="T23" s="181">
        <v>0.57999999999999996</v>
      </c>
      <c r="U23" s="184">
        <f>RANK($M23,$M$3:$M$24)+COUNTIF($M$3:M23,M23)-1</f>
        <v>18</v>
      </c>
    </row>
    <row r="24" spans="2:21" x14ac:dyDescent="0.25">
      <c r="B24" s="176">
        <v>1131</v>
      </c>
      <c r="C24" s="185" t="s">
        <v>37</v>
      </c>
      <c r="D24" s="186" t="s">
        <v>356</v>
      </c>
      <c r="E24" s="179" t="s">
        <v>199</v>
      </c>
      <c r="F24" s="176" t="s">
        <v>177</v>
      </c>
      <c r="G24" s="180">
        <f>SUMIFS(Tracker!$Z$3:$Z$503,Tracker!$R$3:$R$503,'Lawyers Data'!$C24)</f>
        <v>2088.96</v>
      </c>
      <c r="H24" s="176">
        <f>COUNTIF(Tracker!$R$3:$R$503,'Lawyers Data'!$C24)</f>
        <v>16</v>
      </c>
      <c r="I24" s="176">
        <f>COUNTIFS(Tracker!$S$3:$S$503,'Lawyers Data'!I$2,Tracker!$R$3:$R$503,'Lawyers Data'!$C24)</f>
        <v>14</v>
      </c>
      <c r="J24" s="176">
        <f>COUNTIFS(Tracker!$S$3:$S$503,'Lawyers Data'!J$2,Tracker!$R$3:$R$503,'Lawyers Data'!$C24)</f>
        <v>1</v>
      </c>
      <c r="K24" s="176">
        <f>COUNTIFS(Tracker!$S$3:$S$503,'Lawyers Data'!K$2,Tracker!$R$3:$R$503,'Lawyers Data'!$C24)</f>
        <v>1</v>
      </c>
      <c r="L24" s="176">
        <f>COUNTIFS(Tracker!$P$3:$P$503,'Lawyers Data'!L$2,Tracker!$R$3:$R$503,'Lawyers Data'!$C24)</f>
        <v>2</v>
      </c>
      <c r="M24" s="181">
        <f t="shared" si="0"/>
        <v>0.125</v>
      </c>
      <c r="N24" s="176">
        <f>COUNTIFS(Tracker!$P$3:$P$503,'Lawyers Data'!N$2,Tracker!$R$3:$R$503,'Lawyers Data'!$C24)</f>
        <v>6</v>
      </c>
      <c r="O24" s="176">
        <f>COUNTIFS(Tracker!$P$3:$P$503,'Lawyers Data'!O$2,Tracker!$R$3:$R$503,'Lawyers Data'!$C24)</f>
        <v>6</v>
      </c>
      <c r="P24" s="176" t="s">
        <v>368</v>
      </c>
      <c r="Q24" s="182">
        <f>G24*Analysis!$T$157</f>
        <v>138083.63416138472</v>
      </c>
      <c r="R24" s="183">
        <v>64306.444157970211</v>
      </c>
      <c r="S24" s="183">
        <v>72515.777454732379</v>
      </c>
      <c r="T24" s="181">
        <v>0.52</v>
      </c>
      <c r="U24" s="184">
        <f>RANK($M24,$M$3:$M$24)+COUNTIF($M$3:M24,M24)-1</f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6C2E-954A-450C-B23C-491CCA11222B}">
  <dimension ref="B2:M24"/>
  <sheetViews>
    <sheetView workbookViewId="0">
      <selection activeCell="D3" sqref="D3"/>
    </sheetView>
  </sheetViews>
  <sheetFormatPr defaultRowHeight="15" x14ac:dyDescent="0.25"/>
  <cols>
    <col min="1" max="1" width="9.140625" style="151"/>
    <col min="2" max="2" width="8.5703125" style="151" bestFit="1" customWidth="1"/>
    <col min="3" max="3" width="25.7109375" style="151" bestFit="1" customWidth="1"/>
    <col min="4" max="4" width="18.5703125" style="151" bestFit="1" customWidth="1"/>
    <col min="5" max="5" width="15.28515625" style="151" bestFit="1" customWidth="1"/>
    <col min="6" max="6" width="31.85546875" style="151" bestFit="1" customWidth="1"/>
    <col min="7" max="7" width="16.7109375" style="151" bestFit="1" customWidth="1"/>
    <col min="8" max="9" width="16.7109375" style="151" customWidth="1"/>
    <col min="10" max="10" width="27.140625" style="151" bestFit="1" customWidth="1"/>
    <col min="11" max="11" width="27.140625" style="151" customWidth="1"/>
    <col min="12" max="12" width="12.28515625" style="151" customWidth="1"/>
    <col min="13" max="16384" width="9.140625" style="151"/>
  </cols>
  <sheetData>
    <row r="2" spans="2:13" ht="15" customHeight="1" x14ac:dyDescent="0.25"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396</v>
      </c>
      <c r="I2" s="21" t="s">
        <v>386</v>
      </c>
      <c r="J2" s="21" t="s">
        <v>395</v>
      </c>
      <c r="K2" s="21" t="s">
        <v>399</v>
      </c>
      <c r="L2" s="21" t="s">
        <v>400</v>
      </c>
      <c r="M2" s="17" t="s">
        <v>391</v>
      </c>
    </row>
    <row r="3" spans="2:13" x14ac:dyDescent="0.25">
      <c r="B3" s="187">
        <v>1</v>
      </c>
      <c r="C3" s="188" t="s">
        <v>7</v>
      </c>
      <c r="D3" s="171" t="s">
        <v>8</v>
      </c>
      <c r="E3" s="172" t="s">
        <v>9</v>
      </c>
      <c r="F3" s="172" t="s">
        <v>200</v>
      </c>
      <c r="G3" s="172" t="s">
        <v>263</v>
      </c>
      <c r="H3" s="172">
        <f>COUNTIF(Tracker!$C$3:$C$503,'Clients Data'!$C3)</f>
        <v>27</v>
      </c>
      <c r="I3" s="189">
        <f>SUMIF(Tracker!$C$3:$C$503,'Clients Data'!$C3,Tracker!$Z$3:$Z$503)</f>
        <v>3913.68</v>
      </c>
      <c r="J3" s="190">
        <f>SUMIF(Tracker!$C$3:$C$503,'Clients Data'!$C3,Tracker!$AA$3:$AA$503)</f>
        <v>464876.4</v>
      </c>
      <c r="K3" s="191">
        <v>303192.96000000002</v>
      </c>
      <c r="L3" s="191">
        <v>142679.03999999998</v>
      </c>
      <c r="M3" s="173">
        <f>RANK($I3,$I$3:$I$24)+COUNTIF(I$3:$I3,I3)-1</f>
        <v>3</v>
      </c>
    </row>
    <row r="4" spans="2:13" s="164" customFormat="1" x14ac:dyDescent="0.25">
      <c r="B4" s="159">
        <v>2</v>
      </c>
      <c r="C4" s="154" t="s">
        <v>10</v>
      </c>
      <c r="D4" s="154" t="s">
        <v>11</v>
      </c>
      <c r="E4" s="155" t="s">
        <v>12</v>
      </c>
      <c r="F4" s="155" t="s">
        <v>201</v>
      </c>
      <c r="G4" s="154" t="s">
        <v>242</v>
      </c>
      <c r="H4" s="154">
        <f>COUNTIF(Tracker!$C$3:$C$503,'Clients Data'!$C4)</f>
        <v>27</v>
      </c>
      <c r="I4" s="192">
        <f>SUMIF(Tracker!$C$3:$C$503,'Clients Data'!$C4,Tracker!$Z$3:$Z$503)</f>
        <v>3036.9600000000005</v>
      </c>
      <c r="J4" s="193">
        <f>SUMIF(Tracker!$C$3:$C$503,'Clients Data'!$C4,Tracker!$AA$3:$AA$503)</f>
        <v>317317.2</v>
      </c>
      <c r="K4" s="194">
        <v>181727.52000000005</v>
      </c>
      <c r="L4" s="194">
        <v>97853.28</v>
      </c>
      <c r="M4" s="173">
        <f>RANK($I4,$I$3:$I$24)+COUNTIF(I$3:$I4,I4)-1</f>
        <v>11</v>
      </c>
    </row>
    <row r="5" spans="2:13" x14ac:dyDescent="0.25">
      <c r="B5" s="152">
        <v>3</v>
      </c>
      <c r="C5" s="157" t="s">
        <v>69</v>
      </c>
      <c r="D5" s="154" t="s">
        <v>62</v>
      </c>
      <c r="E5" s="157" t="s">
        <v>222</v>
      </c>
      <c r="F5" s="157" t="s">
        <v>202</v>
      </c>
      <c r="G5" s="157" t="s">
        <v>243</v>
      </c>
      <c r="H5" s="157">
        <f>COUNTIF(Tracker!$C$3:$C$503,'Clients Data'!$C5)</f>
        <v>27</v>
      </c>
      <c r="I5" s="195">
        <f>SUMIF(Tracker!$C$3:$C$503,'Clients Data'!$C5,Tracker!$Z$3:$Z$503)</f>
        <v>3187.44</v>
      </c>
      <c r="J5" s="196">
        <f>SUMIF(Tracker!$C$3:$C$503,'Clients Data'!$C5,Tracker!$AA$3:$AA$503)</f>
        <v>386671.19999999995</v>
      </c>
      <c r="K5" s="197">
        <v>272118.04800000007</v>
      </c>
      <c r="L5" s="197">
        <v>128055.55199999997</v>
      </c>
      <c r="M5" s="173">
        <f>RANK($I5,$I$3:$I$24)+COUNTIF(I$3:$I5,I5)-1</f>
        <v>10</v>
      </c>
    </row>
    <row r="6" spans="2:13" x14ac:dyDescent="0.25">
      <c r="B6" s="152">
        <v>4</v>
      </c>
      <c r="C6" s="157" t="s">
        <v>70</v>
      </c>
      <c r="D6" s="154" t="s">
        <v>63</v>
      </c>
      <c r="E6" s="157" t="s">
        <v>223</v>
      </c>
      <c r="F6" s="157" t="s">
        <v>203</v>
      </c>
      <c r="G6" s="157" t="s">
        <v>244</v>
      </c>
      <c r="H6" s="157">
        <f>COUNTIF(Tracker!$C$3:$C$503,'Clients Data'!$C6)</f>
        <v>27</v>
      </c>
      <c r="I6" s="195">
        <f>SUMIF(Tracker!$C$3:$C$503,'Clients Data'!$C6,Tracker!$Z$3:$Z$503)</f>
        <v>2477.5200000000009</v>
      </c>
      <c r="J6" s="196">
        <f>SUMIF(Tracker!$C$3:$C$503,'Clients Data'!$C6,Tracker!$AA$3:$AA$503)</f>
        <v>268622.40000000002</v>
      </c>
      <c r="K6" s="197">
        <v>176820.83999999997</v>
      </c>
      <c r="L6" s="197">
        <v>75780.360000000015</v>
      </c>
      <c r="M6" s="173">
        <f>RANK($I6,$I$3:$I$24)+COUNTIF(I$3:$I6,I6)-1</f>
        <v>15</v>
      </c>
    </row>
    <row r="7" spans="2:13" x14ac:dyDescent="0.25">
      <c r="B7" s="152">
        <v>5</v>
      </c>
      <c r="C7" s="157" t="s">
        <v>71</v>
      </c>
      <c r="D7" s="154" t="s">
        <v>64</v>
      </c>
      <c r="E7" s="157" t="s">
        <v>224</v>
      </c>
      <c r="F7" s="157" t="s">
        <v>204</v>
      </c>
      <c r="G7" s="157" t="s">
        <v>245</v>
      </c>
      <c r="H7" s="157">
        <f>COUNTIF(Tracker!$C$3:$C$503,'Clients Data'!$C7)</f>
        <v>32</v>
      </c>
      <c r="I7" s="195">
        <f>SUMIF(Tracker!$C$3:$C$503,'Clients Data'!$C7,Tracker!$Z$3:$Z$503)</f>
        <v>4083.6</v>
      </c>
      <c r="J7" s="196">
        <f>SUMIF(Tracker!$C$3:$C$503,'Clients Data'!$C7,Tracker!$AA$3:$AA$503)</f>
        <v>435067.19999999995</v>
      </c>
      <c r="K7" s="197">
        <v>272897.27999999997</v>
      </c>
      <c r="L7" s="197">
        <v>181931.52000000002</v>
      </c>
      <c r="M7" s="173">
        <f>RANK($I7,$I$3:$I$24)+COUNTIF(I$3:$I7,I7)-1</f>
        <v>1</v>
      </c>
    </row>
    <row r="8" spans="2:13" x14ac:dyDescent="0.25">
      <c r="B8" s="152">
        <v>6</v>
      </c>
      <c r="C8" s="157" t="s">
        <v>72</v>
      </c>
      <c r="D8" s="154" t="s">
        <v>65</v>
      </c>
      <c r="E8" s="157" t="s">
        <v>225</v>
      </c>
      <c r="F8" s="157" t="s">
        <v>205</v>
      </c>
      <c r="G8" s="157" t="s">
        <v>246</v>
      </c>
      <c r="H8" s="157">
        <f>COUNTIF(Tracker!$C$3:$C$503,'Clients Data'!$C8)</f>
        <v>32</v>
      </c>
      <c r="I8" s="195">
        <f>SUMIF(Tracker!$C$3:$C$503,'Clients Data'!$C8,Tracker!$Z$3:$Z$503)</f>
        <v>3229.9199999999992</v>
      </c>
      <c r="J8" s="196">
        <f>SUMIF(Tracker!$C$3:$C$503,'Clients Data'!$C8,Tracker!$AA$3:$AA$503)</f>
        <v>310651.2</v>
      </c>
      <c r="K8" s="197">
        <v>187861.212</v>
      </c>
      <c r="L8" s="197">
        <v>120107.98800000001</v>
      </c>
      <c r="M8" s="173">
        <f>RANK($I8,$I$3:$I$24)+COUNTIF(I$3:$I8,I8)-1</f>
        <v>9</v>
      </c>
    </row>
    <row r="9" spans="2:13" x14ac:dyDescent="0.25">
      <c r="B9" s="152">
        <v>7</v>
      </c>
      <c r="C9" s="157" t="s">
        <v>73</v>
      </c>
      <c r="D9" s="154" t="s">
        <v>66</v>
      </c>
      <c r="E9" s="157" t="s">
        <v>226</v>
      </c>
      <c r="F9" s="157" t="s">
        <v>206</v>
      </c>
      <c r="G9" s="157" t="s">
        <v>247</v>
      </c>
      <c r="H9" s="157">
        <f>COUNTIF(Tracker!$C$3:$C$503,'Clients Data'!$C9)</f>
        <v>32</v>
      </c>
      <c r="I9" s="195">
        <f>SUMIF(Tracker!$C$3:$C$503,'Clients Data'!$C9,Tracker!$Z$3:$Z$503)</f>
        <v>3755.5199999999995</v>
      </c>
      <c r="J9" s="196">
        <f>SUMIF(Tracker!$C$3:$C$503,'Clients Data'!$C9,Tracker!$AA$3:$AA$503)</f>
        <v>347107.2</v>
      </c>
      <c r="K9" s="197">
        <v>240031.74</v>
      </c>
      <c r="L9" s="197">
        <v>129247.85999999999</v>
      </c>
      <c r="M9" s="173">
        <f>RANK($I9,$I$3:$I$24)+COUNTIF(I$3:$I9,I9)-1</f>
        <v>4</v>
      </c>
    </row>
    <row r="10" spans="2:13" x14ac:dyDescent="0.25">
      <c r="B10" s="152">
        <v>8</v>
      </c>
      <c r="C10" s="157" t="s">
        <v>74</v>
      </c>
      <c r="D10" s="154" t="s">
        <v>67</v>
      </c>
      <c r="E10" s="157" t="s">
        <v>227</v>
      </c>
      <c r="F10" s="157" t="s">
        <v>207</v>
      </c>
      <c r="G10" s="157" t="s">
        <v>248</v>
      </c>
      <c r="H10" s="157">
        <f>COUNTIF(Tracker!$C$3:$C$503,'Clients Data'!$C10)</f>
        <v>27</v>
      </c>
      <c r="I10" s="195">
        <f>SUMIF(Tracker!$C$3:$C$503,'Clients Data'!$C10,Tracker!$Z$3:$Z$503)</f>
        <v>3519.36</v>
      </c>
      <c r="J10" s="196">
        <f>SUMIF(Tracker!$C$3:$C$503,'Clients Data'!$C10,Tracker!$AA$3:$AA$503)</f>
        <v>358108.8</v>
      </c>
      <c r="K10" s="197">
        <v>305423.09999999998</v>
      </c>
      <c r="L10" s="197">
        <v>101807.70000000001</v>
      </c>
      <c r="M10" s="173">
        <f>RANK($I10,$I$3:$I$24)+COUNTIF(I$3:$I10,I10)-1</f>
        <v>7</v>
      </c>
    </row>
    <row r="11" spans="2:13" x14ac:dyDescent="0.25">
      <c r="B11" s="152">
        <v>9</v>
      </c>
      <c r="C11" s="157" t="s">
        <v>75</v>
      </c>
      <c r="D11" s="154" t="s">
        <v>68</v>
      </c>
      <c r="E11" s="157" t="s">
        <v>228</v>
      </c>
      <c r="F11" s="157" t="s">
        <v>208</v>
      </c>
      <c r="G11" s="157" t="s">
        <v>249</v>
      </c>
      <c r="H11" s="157">
        <f>COUNTIF(Tracker!$C$3:$C$503,'Clients Data'!$C11)</f>
        <v>22</v>
      </c>
      <c r="I11" s="195">
        <f>SUMIF(Tracker!$C$3:$C$503,'Clients Data'!$C11,Tracker!$Z$3:$Z$503)</f>
        <v>2544.4800000000005</v>
      </c>
      <c r="J11" s="196">
        <f>SUMIF(Tracker!$C$3:$C$503,'Clients Data'!$C11,Tracker!$AA$3:$AA$503)</f>
        <v>263762.40000000002</v>
      </c>
      <c r="K11" s="197">
        <v>161823.79199999996</v>
      </c>
      <c r="L11" s="197">
        <v>56857.008000000002</v>
      </c>
      <c r="M11" s="173">
        <f>RANK($I11,$I$3:$I$24)+COUNTIF(I$3:$I11,I11)-1</f>
        <v>13</v>
      </c>
    </row>
    <row r="12" spans="2:13" x14ac:dyDescent="0.25">
      <c r="B12" s="152">
        <v>10</v>
      </c>
      <c r="C12" s="157" t="s">
        <v>76</v>
      </c>
      <c r="D12" s="154" t="s">
        <v>55</v>
      </c>
      <c r="E12" s="157" t="s">
        <v>229</v>
      </c>
      <c r="F12" s="157" t="s">
        <v>209</v>
      </c>
      <c r="G12" s="157" t="s">
        <v>250</v>
      </c>
      <c r="H12" s="157">
        <f>COUNTIF(Tracker!$C$3:$C$503,'Clients Data'!$C12)</f>
        <v>28</v>
      </c>
      <c r="I12" s="195">
        <f>SUMIF(Tracker!$C$3:$C$503,'Clients Data'!$C12,Tracker!$Z$3:$Z$503)</f>
        <v>3388.08</v>
      </c>
      <c r="J12" s="196">
        <f>SUMIF(Tracker!$C$3:$C$503,'Clients Data'!$C12,Tracker!$AA$3:$AA$503)</f>
        <v>372763.19999999995</v>
      </c>
      <c r="K12" s="197">
        <v>234287.83199999999</v>
      </c>
      <c r="L12" s="197">
        <v>143595.76799999998</v>
      </c>
      <c r="M12" s="173">
        <f>RANK($I12,$I$3:$I$24)+COUNTIF(I$3:$I12,I12)-1</f>
        <v>8</v>
      </c>
    </row>
    <row r="13" spans="2:13" x14ac:dyDescent="0.25">
      <c r="B13" s="152">
        <v>11</v>
      </c>
      <c r="C13" s="157" t="s">
        <v>77</v>
      </c>
      <c r="D13" s="154" t="s">
        <v>56</v>
      </c>
      <c r="E13" s="157" t="s">
        <v>230</v>
      </c>
      <c r="F13" s="157" t="s">
        <v>210</v>
      </c>
      <c r="G13" s="157" t="s">
        <v>251</v>
      </c>
      <c r="H13" s="157">
        <f>COUNTIF(Tracker!$C$3:$C$503,'Clients Data'!$C13)</f>
        <v>28</v>
      </c>
      <c r="I13" s="195">
        <f>SUMIF(Tracker!$C$3:$C$503,'Clients Data'!$C13,Tracker!$Z$3:$Z$503)</f>
        <v>3705.36</v>
      </c>
      <c r="J13" s="196">
        <f>SUMIF(Tracker!$C$3:$C$503,'Clients Data'!$C13,Tracker!$AA$3:$AA$503)</f>
        <v>377910</v>
      </c>
      <c r="K13" s="197">
        <v>227968.95599999998</v>
      </c>
      <c r="L13" s="197">
        <v>145750.644</v>
      </c>
      <c r="M13" s="173">
        <f>RANK($I13,$I$3:$I$24)+COUNTIF(I$3:$I13,I13)-1</f>
        <v>5</v>
      </c>
    </row>
    <row r="14" spans="2:13" x14ac:dyDescent="0.25">
      <c r="B14" s="152">
        <v>12</v>
      </c>
      <c r="C14" s="157" t="s">
        <v>78</v>
      </c>
      <c r="D14" s="154" t="s">
        <v>57</v>
      </c>
      <c r="E14" s="157" t="s">
        <v>231</v>
      </c>
      <c r="F14" s="157" t="s">
        <v>211</v>
      </c>
      <c r="G14" s="157" t="s">
        <v>252</v>
      </c>
      <c r="H14" s="157">
        <f>COUNTIF(Tracker!$C$3:$C$503,'Clients Data'!$C14)</f>
        <v>28</v>
      </c>
      <c r="I14" s="195">
        <f>SUMIF(Tracker!$C$3:$C$503,'Clients Data'!$C14,Tracker!$Z$3:$Z$503)</f>
        <v>3981.3599999999992</v>
      </c>
      <c r="J14" s="196">
        <f>SUMIF(Tracker!$C$3:$C$503,'Clients Data'!$C14,Tracker!$AA$3:$AA$503)</f>
        <v>476805.6</v>
      </c>
      <c r="K14" s="197">
        <v>338200.99200000003</v>
      </c>
      <c r="L14" s="197">
        <v>159153.408</v>
      </c>
      <c r="M14" s="173">
        <f>RANK($I14,$I$3:$I$24)+COUNTIF(I$3:$I14,I14)-1</f>
        <v>2</v>
      </c>
    </row>
    <row r="15" spans="2:13" x14ac:dyDescent="0.25">
      <c r="B15" s="152">
        <v>13</v>
      </c>
      <c r="C15" s="157" t="s">
        <v>79</v>
      </c>
      <c r="D15" s="154" t="s">
        <v>58</v>
      </c>
      <c r="E15" s="157" t="s">
        <v>232</v>
      </c>
      <c r="F15" s="157" t="s">
        <v>212</v>
      </c>
      <c r="G15" s="157" t="s">
        <v>253</v>
      </c>
      <c r="H15" s="157">
        <f>COUNTIF(Tracker!$C$3:$C$503,'Clients Data'!$C15)</f>
        <v>23</v>
      </c>
      <c r="I15" s="195">
        <f>SUMIF(Tracker!$C$3:$C$503,'Clients Data'!$C15,Tracker!$Z$3:$Z$503)</f>
        <v>3580.0799999999995</v>
      </c>
      <c r="J15" s="196">
        <f>SUMIF(Tracker!$C$3:$C$503,'Clients Data'!$C15,Tracker!$AA$3:$AA$503)</f>
        <v>346320</v>
      </c>
      <c r="K15" s="197">
        <v>245145.10799999998</v>
      </c>
      <c r="L15" s="197">
        <v>100129.69200000001</v>
      </c>
      <c r="M15" s="173">
        <f>RANK($I15,$I$3:$I$24)+COUNTIF(I$3:$I15,I15)-1</f>
        <v>6</v>
      </c>
    </row>
    <row r="16" spans="2:13" x14ac:dyDescent="0.25">
      <c r="B16" s="152">
        <v>14</v>
      </c>
      <c r="C16" s="157" t="s">
        <v>80</v>
      </c>
      <c r="D16" s="154" t="s">
        <v>59</v>
      </c>
      <c r="E16" s="157" t="s">
        <v>233</v>
      </c>
      <c r="F16" s="157" t="s">
        <v>213</v>
      </c>
      <c r="G16" s="157" t="s">
        <v>254</v>
      </c>
      <c r="H16" s="157">
        <f>COUNTIF(Tracker!$C$3:$C$503,'Clients Data'!$C16)</f>
        <v>17</v>
      </c>
      <c r="I16" s="195">
        <f>SUMIF(Tracker!$C$3:$C$503,'Clients Data'!$C16,Tracker!$Z$3:$Z$503)</f>
        <v>2500.8000000000002</v>
      </c>
      <c r="J16" s="196">
        <f>SUMIF(Tracker!$C$3:$C$503,'Clients Data'!$C16,Tracker!$AA$3:$AA$503)</f>
        <v>334574.40000000002</v>
      </c>
      <c r="K16" s="197">
        <v>257391.90000000002</v>
      </c>
      <c r="L16" s="197">
        <v>85797.299999999988</v>
      </c>
      <c r="M16" s="173">
        <f>RANK($I16,$I$3:$I$24)+COUNTIF(I$3:$I16,I16)-1</f>
        <v>14</v>
      </c>
    </row>
    <row r="17" spans="2:13" x14ac:dyDescent="0.25">
      <c r="B17" s="152">
        <v>15</v>
      </c>
      <c r="C17" s="157" t="s">
        <v>81</v>
      </c>
      <c r="D17" s="154" t="s">
        <v>60</v>
      </c>
      <c r="E17" s="157" t="s">
        <v>234</v>
      </c>
      <c r="F17" s="157" t="s">
        <v>214</v>
      </c>
      <c r="G17" s="157" t="s">
        <v>255</v>
      </c>
      <c r="H17" s="157">
        <f>COUNTIF(Tracker!$C$3:$C$503,'Clients Data'!$C17)</f>
        <v>17</v>
      </c>
      <c r="I17" s="195">
        <f>SUMIF(Tracker!$C$3:$C$503,'Clients Data'!$C17,Tracker!$Z$3:$Z$503)</f>
        <v>2072.6400000000003</v>
      </c>
      <c r="J17" s="196">
        <f>SUMIF(Tracker!$C$3:$C$503,'Clients Data'!$C17,Tracker!$AA$3:$AA$503)</f>
        <v>219999.6</v>
      </c>
      <c r="K17" s="197">
        <v>147636</v>
      </c>
      <c r="L17" s="197">
        <v>49212</v>
      </c>
      <c r="M17" s="173">
        <f>RANK($I17,$I$3:$I$24)+COUNTIF(I$3:$I17,I17)-1</f>
        <v>17</v>
      </c>
    </row>
    <row r="18" spans="2:13" x14ac:dyDescent="0.25">
      <c r="B18" s="152">
        <v>16</v>
      </c>
      <c r="C18" s="157" t="s">
        <v>82</v>
      </c>
      <c r="D18" s="154" t="s">
        <v>61</v>
      </c>
      <c r="E18" s="157" t="s">
        <v>235</v>
      </c>
      <c r="F18" s="157" t="s">
        <v>215</v>
      </c>
      <c r="G18" s="157" t="s">
        <v>256</v>
      </c>
      <c r="H18" s="157">
        <f>COUNTIF(Tracker!$C$3:$C$503,'Clients Data'!$C18)</f>
        <v>17</v>
      </c>
      <c r="I18" s="195">
        <f>SUMIF(Tracker!$C$3:$C$503,'Clients Data'!$C18,Tracker!$Z$3:$Z$503)</f>
        <v>1662.4799999999998</v>
      </c>
      <c r="J18" s="196">
        <f>SUMIF(Tracker!$C$3:$C$503,'Clients Data'!$C18,Tracker!$AA$3:$AA$503)</f>
        <v>202548</v>
      </c>
      <c r="K18" s="197">
        <v>158524.80000000005</v>
      </c>
      <c r="L18" s="197">
        <v>39631.199999999983</v>
      </c>
      <c r="M18" s="173">
        <f>RANK($I18,$I$3:$I$24)+COUNTIF(I$3:$I18,I18)-1</f>
        <v>20</v>
      </c>
    </row>
    <row r="19" spans="2:13" x14ac:dyDescent="0.25">
      <c r="B19" s="152">
        <v>17</v>
      </c>
      <c r="C19" s="157" t="s">
        <v>83</v>
      </c>
      <c r="D19" s="154" t="s">
        <v>33</v>
      </c>
      <c r="E19" s="157" t="s">
        <v>236</v>
      </c>
      <c r="F19" s="157" t="s">
        <v>216</v>
      </c>
      <c r="G19" s="157" t="s">
        <v>257</v>
      </c>
      <c r="H19" s="157">
        <f>COUNTIF(Tracker!$C$3:$C$503,'Clients Data'!$C19)</f>
        <v>17</v>
      </c>
      <c r="I19" s="195">
        <f>SUMIF(Tracker!$C$3:$C$503,'Clients Data'!$C19,Tracker!$Z$3:$Z$503)</f>
        <v>1362.72</v>
      </c>
      <c r="J19" s="196">
        <f>SUMIF(Tracker!$C$3:$C$503,'Clients Data'!$C19,Tracker!$AA$3:$AA$503)</f>
        <v>143184</v>
      </c>
      <c r="K19" s="197">
        <v>102177.74399999999</v>
      </c>
      <c r="L19" s="197">
        <v>32266.656000000003</v>
      </c>
      <c r="M19" s="173">
        <f>RANK($I19,$I$3:$I$24)+COUNTIF(I$3:$I19,I19)-1</f>
        <v>21</v>
      </c>
    </row>
    <row r="20" spans="2:13" x14ac:dyDescent="0.25">
      <c r="B20" s="152">
        <v>18</v>
      </c>
      <c r="C20" s="157" t="s">
        <v>84</v>
      </c>
      <c r="D20" s="154" t="s">
        <v>89</v>
      </c>
      <c r="E20" s="157" t="s">
        <v>237</v>
      </c>
      <c r="F20" s="157" t="s">
        <v>217</v>
      </c>
      <c r="G20" s="157" t="s">
        <v>258</v>
      </c>
      <c r="H20" s="157">
        <f>COUNTIF(Tracker!$C$3:$C$503,'Clients Data'!$C20)</f>
        <v>17</v>
      </c>
      <c r="I20" s="195">
        <f>SUMIF(Tracker!$C$3:$C$503,'Clients Data'!$C20,Tracker!$Z$3:$Z$503)</f>
        <v>1707.6</v>
      </c>
      <c r="J20" s="196">
        <f>SUMIF(Tracker!$C$3:$C$503,'Clients Data'!$C20,Tracker!$AA$3:$AA$503)</f>
        <v>176838</v>
      </c>
      <c r="K20" s="197">
        <v>148200.91200000001</v>
      </c>
      <c r="L20" s="197">
        <v>46800.288</v>
      </c>
      <c r="M20" s="173">
        <f>RANK($I20,$I$3:$I$24)+COUNTIF(I$3:$I20,I20)-1</f>
        <v>18</v>
      </c>
    </row>
    <row r="21" spans="2:13" x14ac:dyDescent="0.25">
      <c r="B21" s="152">
        <v>19</v>
      </c>
      <c r="C21" s="157" t="s">
        <v>85</v>
      </c>
      <c r="D21" s="154" t="s">
        <v>90</v>
      </c>
      <c r="E21" s="157" t="s">
        <v>238</v>
      </c>
      <c r="F21" s="157" t="s">
        <v>218</v>
      </c>
      <c r="G21" s="157" t="s">
        <v>259</v>
      </c>
      <c r="H21" s="157">
        <f>COUNTIF(Tracker!$C$3:$C$503,'Clients Data'!$C21)</f>
        <v>12</v>
      </c>
      <c r="I21" s="195">
        <f>SUMIF(Tracker!$C$3:$C$503,'Clients Data'!$C21,Tracker!$Z$3:$Z$503)</f>
        <v>753.12</v>
      </c>
      <c r="J21" s="196">
        <f>SUMIF(Tracker!$C$3:$C$503,'Clients Data'!$C21,Tracker!$AA$3:$AA$503)</f>
        <v>109584</v>
      </c>
      <c r="K21" s="197">
        <v>83544</v>
      </c>
      <c r="L21" s="197">
        <v>20886</v>
      </c>
      <c r="M21" s="173">
        <f>RANK($I21,$I$3:$I$24)+COUNTIF(I$3:$I21,I21)-1</f>
        <v>22</v>
      </c>
    </row>
    <row r="22" spans="2:13" x14ac:dyDescent="0.25">
      <c r="B22" s="152">
        <v>20</v>
      </c>
      <c r="C22" s="157" t="s">
        <v>86</v>
      </c>
      <c r="D22" s="154" t="s">
        <v>91</v>
      </c>
      <c r="E22" s="157" t="s">
        <v>239</v>
      </c>
      <c r="F22" s="157" t="s">
        <v>219</v>
      </c>
      <c r="G22" s="157" t="s">
        <v>260</v>
      </c>
      <c r="H22" s="157">
        <f>COUNTIF(Tracker!$C$3:$C$503,'Clients Data'!$C22)</f>
        <v>12</v>
      </c>
      <c r="I22" s="195">
        <f>SUMIF(Tracker!$C$3:$C$503,'Clients Data'!$C22,Tracker!$Z$3:$Z$503)</f>
        <v>1683.12</v>
      </c>
      <c r="J22" s="196">
        <f>SUMIF(Tracker!$C$3:$C$503,'Clients Data'!$C22,Tracker!$AA$3:$AA$503)</f>
        <v>195924</v>
      </c>
      <c r="K22" s="197">
        <v>100565.88</v>
      </c>
      <c r="L22" s="197">
        <v>17746.919999999998</v>
      </c>
      <c r="M22" s="173">
        <f>RANK($I22,$I$3:$I$24)+COUNTIF(I$3:$I22,I22)-1</f>
        <v>19</v>
      </c>
    </row>
    <row r="23" spans="2:13" x14ac:dyDescent="0.25">
      <c r="B23" s="152">
        <v>21</v>
      </c>
      <c r="C23" s="157" t="s">
        <v>87</v>
      </c>
      <c r="D23" s="154" t="s">
        <v>92</v>
      </c>
      <c r="E23" s="157" t="s">
        <v>240</v>
      </c>
      <c r="F23" s="157" t="s">
        <v>220</v>
      </c>
      <c r="G23" s="157" t="s">
        <v>261</v>
      </c>
      <c r="H23" s="157">
        <f>COUNTIF(Tracker!$C$3:$C$503,'Clients Data'!$C23)</f>
        <v>16</v>
      </c>
      <c r="I23" s="195">
        <f>SUMIF(Tracker!$C$3:$C$503,'Clients Data'!$C23,Tracker!$Z$3:$Z$503)</f>
        <v>2813.52</v>
      </c>
      <c r="J23" s="196">
        <f>SUMIF(Tracker!$C$3:$C$503,'Clients Data'!$C23,Tracker!$AA$3:$AA$503)</f>
        <v>370200</v>
      </c>
      <c r="K23" s="197">
        <v>287049.84000000003</v>
      </c>
      <c r="L23" s="197">
        <v>85742.159999999974</v>
      </c>
      <c r="M23" s="173">
        <f>RANK($I23,$I$3:$I$24)+COUNTIF(I$3:$I23,I23)-1</f>
        <v>12</v>
      </c>
    </row>
    <row r="24" spans="2:13" x14ac:dyDescent="0.25">
      <c r="B24" s="165">
        <v>22</v>
      </c>
      <c r="C24" s="166" t="s">
        <v>88</v>
      </c>
      <c r="D24" s="167" t="s">
        <v>39</v>
      </c>
      <c r="E24" s="166" t="s">
        <v>241</v>
      </c>
      <c r="F24" s="166" t="s">
        <v>221</v>
      </c>
      <c r="G24" s="166" t="s">
        <v>262</v>
      </c>
      <c r="H24" s="166">
        <f>COUNTIF(Tracker!$C$3:$C$503,'Clients Data'!$C24)</f>
        <v>16</v>
      </c>
      <c r="I24" s="198">
        <f>SUMIF(Tracker!$C$3:$C$503,'Clients Data'!$C24,Tracker!$Z$3:$Z$503)</f>
        <v>2088.96</v>
      </c>
      <c r="J24" s="199">
        <f>SUMIF(Tracker!$C$3:$C$503,'Clients Data'!$C24,Tracker!$AA$3:$AA$503)</f>
        <v>156864</v>
      </c>
      <c r="K24" s="200">
        <v>139722.66</v>
      </c>
      <c r="L24" s="200">
        <v>41735.339999999997</v>
      </c>
      <c r="M24" s="173">
        <f>RANK($I24,$I$3:$I$24)+COUNTIF(I$3:$I24,I24)-1</f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FAFB-1819-4DE9-B5BA-9E8367D1C9FF}">
  <dimension ref="B2:D39"/>
  <sheetViews>
    <sheetView workbookViewId="0">
      <selection activeCell="F10" sqref="F10"/>
    </sheetView>
  </sheetViews>
  <sheetFormatPr defaultRowHeight="15" x14ac:dyDescent="0.25"/>
  <cols>
    <col min="1" max="1" width="9.140625" style="151"/>
    <col min="2" max="2" width="7.42578125" style="151" bestFit="1" customWidth="1"/>
    <col min="3" max="3" width="27" style="151" bestFit="1" customWidth="1"/>
    <col min="4" max="4" width="22.5703125" style="151" bestFit="1" customWidth="1"/>
    <col min="5" max="8" width="9.140625" style="151"/>
    <col min="9" max="9" width="27" style="151" bestFit="1" customWidth="1"/>
    <col min="10" max="10" width="23.7109375" style="151" bestFit="1" customWidth="1"/>
    <col min="11" max="16384" width="9.140625" style="151"/>
  </cols>
  <sheetData>
    <row r="2" spans="2:4" x14ac:dyDescent="0.25">
      <c r="B2" s="22" t="s">
        <v>441</v>
      </c>
      <c r="C2" s="22" t="s">
        <v>30</v>
      </c>
      <c r="D2" s="22" t="s">
        <v>14</v>
      </c>
    </row>
    <row r="3" spans="2:4" x14ac:dyDescent="0.25">
      <c r="B3" s="187">
        <v>101</v>
      </c>
      <c r="C3" s="171" t="s">
        <v>119</v>
      </c>
      <c r="D3" s="201" t="s">
        <v>17</v>
      </c>
    </row>
    <row r="4" spans="2:4" x14ac:dyDescent="0.25">
      <c r="B4" s="152">
        <v>102</v>
      </c>
      <c r="C4" s="155" t="s">
        <v>120</v>
      </c>
      <c r="D4" s="174" t="s">
        <v>17</v>
      </c>
    </row>
    <row r="5" spans="2:4" x14ac:dyDescent="0.25">
      <c r="B5" s="152">
        <v>103</v>
      </c>
      <c r="C5" s="155" t="s">
        <v>121</v>
      </c>
      <c r="D5" s="174" t="s">
        <v>264</v>
      </c>
    </row>
    <row r="6" spans="2:4" x14ac:dyDescent="0.25">
      <c r="B6" s="152">
        <v>104</v>
      </c>
      <c r="C6" s="155" t="s">
        <v>122</v>
      </c>
      <c r="D6" s="174" t="s">
        <v>265</v>
      </c>
    </row>
    <row r="7" spans="2:4" x14ac:dyDescent="0.25">
      <c r="B7" s="152">
        <v>105</v>
      </c>
      <c r="C7" s="155" t="s">
        <v>123</v>
      </c>
      <c r="D7" s="174" t="s">
        <v>266</v>
      </c>
    </row>
    <row r="8" spans="2:4" x14ac:dyDescent="0.25">
      <c r="B8" s="152">
        <v>106</v>
      </c>
      <c r="C8" s="155" t="s">
        <v>124</v>
      </c>
      <c r="D8" s="202" t="s">
        <v>17</v>
      </c>
    </row>
    <row r="9" spans="2:4" x14ac:dyDescent="0.25">
      <c r="B9" s="152">
        <v>107</v>
      </c>
      <c r="C9" s="155" t="s">
        <v>125</v>
      </c>
      <c r="D9" s="202" t="s">
        <v>17</v>
      </c>
    </row>
    <row r="10" spans="2:4" x14ac:dyDescent="0.25">
      <c r="B10" s="152">
        <v>108</v>
      </c>
      <c r="C10" s="155" t="s">
        <v>126</v>
      </c>
      <c r="D10" s="202" t="s">
        <v>17</v>
      </c>
    </row>
    <row r="11" spans="2:4" x14ac:dyDescent="0.25">
      <c r="B11" s="152">
        <v>109</v>
      </c>
      <c r="C11" s="155" t="s">
        <v>127</v>
      </c>
      <c r="D11" s="202" t="s">
        <v>17</v>
      </c>
    </row>
    <row r="12" spans="2:4" x14ac:dyDescent="0.25">
      <c r="B12" s="152">
        <v>110</v>
      </c>
      <c r="C12" s="155" t="s">
        <v>128</v>
      </c>
      <c r="D12" s="174" t="s">
        <v>267</v>
      </c>
    </row>
    <row r="13" spans="2:4" x14ac:dyDescent="0.25">
      <c r="B13" s="152">
        <v>111</v>
      </c>
      <c r="C13" s="155" t="s">
        <v>129</v>
      </c>
      <c r="D13" s="202" t="s">
        <v>17</v>
      </c>
    </row>
    <row r="14" spans="2:4" x14ac:dyDescent="0.25">
      <c r="B14" s="152">
        <v>112</v>
      </c>
      <c r="C14" s="155" t="s">
        <v>130</v>
      </c>
      <c r="D14" s="174" t="s">
        <v>17</v>
      </c>
    </row>
    <row r="15" spans="2:4" x14ac:dyDescent="0.25">
      <c r="B15" s="152">
        <v>113</v>
      </c>
      <c r="C15" s="155" t="s">
        <v>131</v>
      </c>
      <c r="D15" s="174" t="s">
        <v>266</v>
      </c>
    </row>
    <row r="16" spans="2:4" x14ac:dyDescent="0.25">
      <c r="B16" s="152">
        <v>114</v>
      </c>
      <c r="C16" s="155" t="s">
        <v>132</v>
      </c>
      <c r="D16" s="174" t="s">
        <v>17</v>
      </c>
    </row>
    <row r="17" spans="2:4" x14ac:dyDescent="0.25">
      <c r="B17" s="152">
        <v>115</v>
      </c>
      <c r="C17" s="155" t="s">
        <v>133</v>
      </c>
      <c r="D17" s="174" t="s">
        <v>268</v>
      </c>
    </row>
    <row r="18" spans="2:4" x14ac:dyDescent="0.25">
      <c r="B18" s="152">
        <v>116</v>
      </c>
      <c r="C18" s="155" t="s">
        <v>134</v>
      </c>
      <c r="D18" s="174" t="s">
        <v>17</v>
      </c>
    </row>
    <row r="19" spans="2:4" x14ac:dyDescent="0.25">
      <c r="B19" s="152">
        <v>117</v>
      </c>
      <c r="C19" s="155" t="s">
        <v>135</v>
      </c>
      <c r="D19" s="174" t="s">
        <v>269</v>
      </c>
    </row>
    <row r="20" spans="2:4" x14ac:dyDescent="0.25">
      <c r="B20" s="152">
        <v>118</v>
      </c>
      <c r="C20" s="155" t="s">
        <v>136</v>
      </c>
      <c r="D20" s="174" t="s">
        <v>17</v>
      </c>
    </row>
    <row r="21" spans="2:4" x14ac:dyDescent="0.25">
      <c r="B21" s="152">
        <v>119</v>
      </c>
      <c r="C21" s="155" t="s">
        <v>137</v>
      </c>
      <c r="D21" s="174" t="s">
        <v>29</v>
      </c>
    </row>
    <row r="22" spans="2:4" x14ac:dyDescent="0.25">
      <c r="B22" s="152">
        <v>120</v>
      </c>
      <c r="C22" s="155" t="s">
        <v>138</v>
      </c>
      <c r="D22" s="174" t="s">
        <v>270</v>
      </c>
    </row>
    <row r="23" spans="2:4" x14ac:dyDescent="0.25">
      <c r="B23" s="152">
        <v>121</v>
      </c>
      <c r="C23" s="155" t="s">
        <v>139</v>
      </c>
      <c r="D23" s="174" t="s">
        <v>271</v>
      </c>
    </row>
    <row r="24" spans="2:4" x14ac:dyDescent="0.25">
      <c r="B24" s="152">
        <v>122</v>
      </c>
      <c r="C24" s="155" t="s">
        <v>140</v>
      </c>
      <c r="D24" s="174" t="s">
        <v>266</v>
      </c>
    </row>
    <row r="25" spans="2:4" x14ac:dyDescent="0.25">
      <c r="B25" s="152">
        <v>123</v>
      </c>
      <c r="C25" s="155" t="s">
        <v>141</v>
      </c>
      <c r="D25" s="174" t="s">
        <v>17</v>
      </c>
    </row>
    <row r="26" spans="2:4" x14ac:dyDescent="0.25">
      <c r="B26" s="152">
        <v>124</v>
      </c>
      <c r="C26" s="155" t="s">
        <v>142</v>
      </c>
      <c r="D26" s="174" t="s">
        <v>266</v>
      </c>
    </row>
    <row r="27" spans="2:4" x14ac:dyDescent="0.25">
      <c r="B27" s="152">
        <v>125</v>
      </c>
      <c r="C27" s="155" t="s">
        <v>143</v>
      </c>
      <c r="D27" s="174" t="s">
        <v>266</v>
      </c>
    </row>
    <row r="28" spans="2:4" x14ac:dyDescent="0.25">
      <c r="B28" s="152">
        <v>126</v>
      </c>
      <c r="C28" s="155" t="s">
        <v>144</v>
      </c>
      <c r="D28" s="174" t="s">
        <v>17</v>
      </c>
    </row>
    <row r="29" spans="2:4" x14ac:dyDescent="0.25">
      <c r="B29" s="152">
        <v>127</v>
      </c>
      <c r="C29" s="155" t="s">
        <v>145</v>
      </c>
      <c r="D29" s="174" t="s">
        <v>266</v>
      </c>
    </row>
    <row r="30" spans="2:4" x14ac:dyDescent="0.25">
      <c r="B30" s="152">
        <v>128</v>
      </c>
      <c r="C30" s="155" t="s">
        <v>146</v>
      </c>
      <c r="D30" s="174" t="s">
        <v>17</v>
      </c>
    </row>
    <row r="31" spans="2:4" x14ac:dyDescent="0.25">
      <c r="B31" s="152">
        <v>129</v>
      </c>
      <c r="C31" s="155" t="s">
        <v>147</v>
      </c>
      <c r="D31" s="174" t="s">
        <v>272</v>
      </c>
    </row>
    <row r="32" spans="2:4" x14ac:dyDescent="0.25">
      <c r="B32" s="152">
        <v>130</v>
      </c>
      <c r="C32" s="155" t="s">
        <v>148</v>
      </c>
      <c r="D32" s="174" t="s">
        <v>17</v>
      </c>
    </row>
    <row r="33" spans="2:4" x14ac:dyDescent="0.25">
      <c r="B33" s="152">
        <v>131</v>
      </c>
      <c r="C33" s="155" t="s">
        <v>149</v>
      </c>
      <c r="D33" s="174" t="s">
        <v>17</v>
      </c>
    </row>
    <row r="34" spans="2:4" x14ac:dyDescent="0.25">
      <c r="B34" s="152">
        <v>132</v>
      </c>
      <c r="C34" s="155" t="s">
        <v>150</v>
      </c>
      <c r="D34" s="174" t="s">
        <v>29</v>
      </c>
    </row>
    <row r="35" spans="2:4" x14ac:dyDescent="0.25">
      <c r="B35" s="152">
        <v>133</v>
      </c>
      <c r="C35" s="155" t="s">
        <v>151</v>
      </c>
      <c r="D35" s="174" t="s">
        <v>17</v>
      </c>
    </row>
    <row r="36" spans="2:4" x14ac:dyDescent="0.25">
      <c r="B36" s="152">
        <v>134</v>
      </c>
      <c r="C36" s="155" t="s">
        <v>152</v>
      </c>
      <c r="D36" s="174" t="s">
        <v>17</v>
      </c>
    </row>
    <row r="37" spans="2:4" x14ac:dyDescent="0.25">
      <c r="B37" s="152">
        <v>135</v>
      </c>
      <c r="C37" s="155" t="s">
        <v>153</v>
      </c>
      <c r="D37" s="174" t="s">
        <v>17</v>
      </c>
    </row>
    <row r="38" spans="2:4" x14ac:dyDescent="0.25">
      <c r="B38" s="152">
        <v>136</v>
      </c>
      <c r="C38" s="155" t="s">
        <v>154</v>
      </c>
      <c r="D38" s="174" t="s">
        <v>266</v>
      </c>
    </row>
    <row r="39" spans="2:4" x14ac:dyDescent="0.25">
      <c r="B39" s="165">
        <v>137</v>
      </c>
      <c r="C39" s="168" t="s">
        <v>155</v>
      </c>
      <c r="D39" s="20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Dashboard</vt:lpstr>
      <vt:lpstr>Lawyers Dashboard</vt:lpstr>
      <vt:lpstr>Clients Dashboard</vt:lpstr>
      <vt:lpstr>Billing Dashboard</vt:lpstr>
      <vt:lpstr>Analysis</vt:lpstr>
      <vt:lpstr>Tracker</vt:lpstr>
      <vt:lpstr>Lawyers Data</vt:lpstr>
      <vt:lpstr>Clients Data</vt:lpstr>
      <vt:lpstr>Cases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2024-06-26T09:50:14Z</dcterms:created>
  <dcterms:modified xsi:type="dcterms:W3CDTF">2024-07-24T12:56:54Z</dcterms:modified>
</cp:coreProperties>
</file>