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TC Calculation" sheetId="1" r:id="rId3"/>
  </sheets>
  <definedNames/>
  <calcPr/>
  <extLst>
    <ext uri="GoogleSheetsCustomDataVersion1">
      <go:sheetsCustomData xmlns:go="http://customooxmlschemas.google.com/" r:id="rId4" roundtripDataSignature="AMtx7miFG4P7m0/QNnKw++NlUFgYZWjiqg=="/>
    </ext>
  </extLst>
</workbook>
</file>

<file path=xl/sharedStrings.xml><?xml version="1.0" encoding="utf-8"?>
<sst xmlns="http://schemas.openxmlformats.org/spreadsheetml/2006/main" count="67" uniqueCount="48">
  <si>
    <t>J. MEHTA &amp; CO.</t>
  </si>
  <si>
    <t>LABOUR MANAGEMENT CONSULTANTS AND ADVOCATES</t>
  </si>
  <si>
    <t>W-1 MANMANDIR APARTMENT, BESIDE KAILASH RESTAURANT, TIMALIYAWAD, NANPURA, SURAT - 395 001</t>
  </si>
  <si>
    <t>(E): info@jmehta.in (M): 93747-11311; 97275-14051 (O): 0261-2472798; 0261-2476700</t>
  </si>
  <si>
    <t>CTC vs NET</t>
  </si>
  <si>
    <t>Prepared by : Labour Law Advisor and Mr. Parth Mehta</t>
  </si>
  <si>
    <t xml:space="preserve">☑️Payroll, Excel &amp; Labour Law Courses for career growth: https://lpt.institute/courses/ </t>
  </si>
  <si>
    <t>☑️Payroll, Excel &amp; Labour Law Courses for career growth: https://lpt.institute/courses/</t>
  </si>
  <si>
    <t>www.youtube.com/LabourLaw Advisor</t>
  </si>
  <si>
    <t>ESI  (Y/N)</t>
  </si>
  <si>
    <t>VPF (Y/N)</t>
  </si>
  <si>
    <t>Name</t>
  </si>
  <si>
    <t>ANNUAL CTC</t>
  </si>
  <si>
    <t>CASH IN HAND</t>
  </si>
  <si>
    <t>Gross Salary</t>
  </si>
  <si>
    <t>Employee Share</t>
  </si>
  <si>
    <t>Employer Share</t>
  </si>
  <si>
    <t>MONTHLY CTC</t>
  </si>
  <si>
    <t>MONTHLY CASH IN HAND</t>
  </si>
  <si>
    <t>Difference (%)</t>
  </si>
  <si>
    <t>Basic</t>
  </si>
  <si>
    <t>HRA</t>
  </si>
  <si>
    <t>PF</t>
  </si>
  <si>
    <t>ESI</t>
  </si>
  <si>
    <t>PT</t>
  </si>
  <si>
    <t>Bonus</t>
  </si>
  <si>
    <t>Gratuity</t>
  </si>
  <si>
    <t>LWW</t>
  </si>
  <si>
    <t>EXPECTATION</t>
  </si>
  <si>
    <t>REALITY</t>
  </si>
  <si>
    <t>80/150/200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</si>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</sst>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u/>
      <sz val="20.0"/>
      <color rgb="FFFF0000"/>
      <name val="Calibri"/>
    </font>
    <font>
      <u/>
      <sz val="20.0"/>
      <color rgb="FF000000"/>
      <name val="Calibri"/>
    </font>
    <font>
      <b/>
      <sz val="10.0"/>
      <name val="Calibri"/>
    </font>
    <font>
      <sz val="10.0"/>
      <name val="Calibri"/>
    </font>
    <font/>
    <font>
      <u/>
      <sz val="12.0"/>
      <color rgb="FF000000"/>
      <name val="Roboto"/>
    </font>
    <font>
      <u/>
      <sz val="11.0"/>
      <color rgb="FF0000FF"/>
      <name val="Calibri"/>
    </font>
    <font>
      <b/>
      <sz val="11.0"/>
      <color rgb="FF000000"/>
      <name val="Calibri"/>
    </font>
    <font>
      <b/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29">
    <border/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/>
    </xf>
    <xf borderId="5" fillId="0" fontId="7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8" fillId="2" fontId="9" numFmtId="0" xfId="0" applyAlignment="1" applyBorder="1" applyFill="1" applyFont="1">
      <alignment horizontal="center" shrinkToFit="0" vertical="center" wrapText="1"/>
    </xf>
    <xf borderId="8" fillId="3" fontId="9" numFmtId="0" xfId="0" applyAlignment="1" applyBorder="1" applyFill="1" applyFont="1">
      <alignment horizontal="center" shrinkToFit="0" vertical="center" wrapText="1"/>
    </xf>
    <xf borderId="11" fillId="0" fontId="8" numFmtId="10" xfId="0" applyAlignment="1" applyBorder="1" applyFont="1" applyNumberFormat="1">
      <alignment horizontal="center" vertical="center"/>
    </xf>
    <xf borderId="8" fillId="0" fontId="8" numFmtId="9" xfId="0" applyAlignment="1" applyBorder="1" applyFont="1" applyNumberFormat="1">
      <alignment horizontal="center" shrinkToFit="0" vertical="center" wrapText="1"/>
    </xf>
    <xf borderId="12" fillId="0" fontId="8" numFmtId="0" xfId="0" applyAlignment="1" applyBorder="1" applyFont="1">
      <alignment horizontal="center" vertical="center"/>
    </xf>
    <xf borderId="13" fillId="0" fontId="5" numFmtId="0" xfId="0" applyBorder="1" applyFont="1"/>
    <xf borderId="14" fillId="2" fontId="9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8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11" fillId="2" fontId="9" numFmtId="0" xfId="0" applyAlignment="1" applyBorder="1" applyFont="1">
      <alignment shrinkToFit="0" vertical="center" wrapText="1"/>
    </xf>
    <xf borderId="11" fillId="3" fontId="9" numFmtId="0" xfId="0" applyAlignment="1" applyBorder="1" applyFont="1">
      <alignment horizontal="center" shrinkToFit="0" vertical="center" wrapText="1"/>
    </xf>
    <xf borderId="11" fillId="0" fontId="8" numFmtId="9" xfId="0" applyAlignment="1" applyBorder="1" applyFont="1" applyNumberFormat="1">
      <alignment horizontal="center" vertical="center"/>
    </xf>
    <xf borderId="22" fillId="0" fontId="5" numFmtId="0" xfId="0" applyBorder="1" applyFont="1"/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11" fillId="2" fontId="0" numFmtId="1" xfId="0" applyAlignment="1" applyBorder="1" applyFont="1" applyNumberFormat="1">
      <alignment horizontal="center" vertical="center"/>
    </xf>
    <xf borderId="11" fillId="3" fontId="0" numFmtId="1" xfId="0" applyAlignment="1" applyBorder="1" applyFont="1" applyNumberFormat="1">
      <alignment horizontal="center" vertical="center"/>
    </xf>
    <xf borderId="24" fillId="2" fontId="0" numFmtId="9" xfId="0" applyAlignment="1" applyBorder="1" applyFont="1" applyNumberFormat="1">
      <alignment horizontal="center" vertical="center"/>
    </xf>
    <xf borderId="25" fillId="0" fontId="0" numFmtId="0" xfId="0" applyAlignment="1" applyBorder="1" applyFont="1">
      <alignment horizontal="center" vertical="center"/>
    </xf>
    <xf borderId="26" fillId="2" fontId="0" numFmtId="1" xfId="0" applyAlignment="1" applyBorder="1" applyFont="1" applyNumberFormat="1">
      <alignment horizontal="center" vertical="center"/>
    </xf>
    <xf borderId="26" fillId="3" fontId="0" numFmtId="1" xfId="0" applyAlignment="1" applyBorder="1" applyFont="1" applyNumberFormat="1">
      <alignment horizontal="center" vertical="center"/>
    </xf>
    <xf borderId="26" fillId="0" fontId="0" numFmtId="0" xfId="0" applyAlignment="1" applyBorder="1" applyFont="1">
      <alignment horizontal="center" vertical="center"/>
    </xf>
    <xf borderId="27" fillId="2" fontId="0" numFmtId="9" xfId="0" applyAlignment="1" applyBorder="1" applyFont="1" applyNumberFormat="1">
      <alignment horizontal="center" vertical="center"/>
    </xf>
    <xf borderId="18" fillId="0" fontId="0" numFmtId="0" xfId="0" applyAlignment="1" applyBorder="1" applyFont="1">
      <alignment horizontal="center" vertical="center"/>
    </xf>
    <xf borderId="28" fillId="2" fontId="0" numFmtId="1" xfId="0" applyAlignment="1" applyBorder="1" applyFont="1" applyNumberFormat="1">
      <alignment horizontal="center" vertical="center"/>
    </xf>
    <xf borderId="28" fillId="3" fontId="0" numFmtId="0" xfId="0" applyAlignment="1" applyBorder="1" applyFont="1">
      <alignment horizontal="center" vertical="center"/>
    </xf>
    <xf borderId="28" fillId="4" fontId="0" numFmtId="0" xfId="0" applyAlignment="1" applyBorder="1" applyFill="1" applyFont="1">
      <alignment horizontal="center" vertical="center"/>
    </xf>
    <xf borderId="28" fillId="2" fontId="0" numFmtId="2" xfId="0" applyAlignment="1" applyBorder="1" applyFont="1" applyNumberFormat="1">
      <alignment horizontal="center" vertical="center"/>
    </xf>
    <xf borderId="11" fillId="3" fontId="0" numFmtId="0" xfId="0" applyAlignment="1" applyBorder="1" applyFont="1">
      <alignment horizontal="center" vertical="center"/>
    </xf>
    <xf borderId="11" fillId="4" fontId="0" numFmtId="0" xfId="0" applyAlignment="1" applyBorder="1" applyFont="1">
      <alignment horizontal="center" vertical="center"/>
    </xf>
    <xf borderId="11" fillId="2" fontId="0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pt.institute/courses/" TargetMode="External"/><Relationship Id="rId2" Type="http://schemas.openxmlformats.org/officeDocument/2006/relationships/hyperlink" Target="http://www.youtube.com/LabourLaw%20Advisor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hidden="1" min="1" max="1" width="6.86"/>
    <col customWidth="1" hidden="1" min="2" max="2" width="7.0"/>
    <col customWidth="1" min="3" max="3" width="6.29"/>
    <col customWidth="1" min="4" max="4" width="11.14"/>
    <col customWidth="1" min="5" max="5" width="12.43"/>
    <col customWidth="1" min="6" max="6" width="11.86"/>
    <col customWidth="1" min="7" max="7" width="7.71"/>
    <col customWidth="1" min="8" max="8" width="6.71"/>
    <col customWidth="1" min="9" max="9" width="5.57"/>
    <col customWidth="1" min="10" max="10" width="7.71"/>
    <col customWidth="1" min="11" max="11" width="11.86"/>
    <col customWidth="1" min="12" max="12" width="7.71"/>
    <col customWidth="1" min="13" max="14" width="6.57"/>
    <col customWidth="1" min="15" max="15" width="8.29"/>
    <col customWidth="1" min="16" max="16" width="6.57"/>
    <col customWidth="1" min="17" max="17" width="12.29"/>
    <col customWidth="1" min="18" max="18" width="11.29"/>
    <col customWidth="1" min="19" max="19" width="13.14"/>
    <col customWidth="1" min="20" max="26" width="9.14"/>
  </cols>
  <sheetData>
    <row r="1" ht="26.25" hidden="1" customHeight="1">
      <c r="A1" s="1" t="s">
        <v>0</v>
      </c>
      <c r="S1" s="2"/>
      <c r="T1" s="2"/>
      <c r="U1" s="2"/>
      <c r="V1" s="2"/>
      <c r="W1" s="2"/>
      <c r="X1" s="2"/>
      <c r="Y1" s="2"/>
      <c r="Z1" s="2"/>
    </row>
    <row r="2" ht="16.5" hidden="1" customHeight="1">
      <c r="A2" s="3" t="s">
        <v>1</v>
      </c>
      <c r="S2" s="2"/>
      <c r="T2" s="2"/>
      <c r="U2" s="2"/>
      <c r="V2" s="2"/>
      <c r="W2" s="2"/>
      <c r="X2" s="2"/>
      <c r="Y2" s="2"/>
      <c r="Z2" s="2"/>
    </row>
    <row r="3" ht="15.0" hidden="1" customHeight="1">
      <c r="A3" s="4" t="s">
        <v>2</v>
      </c>
      <c r="S3" s="5"/>
      <c r="T3" s="5"/>
      <c r="U3" s="5"/>
      <c r="V3" s="5"/>
      <c r="W3" s="5"/>
      <c r="X3" s="5"/>
      <c r="Y3" s="5"/>
      <c r="Z3" s="5"/>
    </row>
    <row r="4" ht="18.75" hidden="1" customHeight="1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5"/>
      <c r="T4" s="5"/>
      <c r="U4" s="5"/>
      <c r="V4" s="5"/>
      <c r="W4" s="5"/>
      <c r="X4" s="5"/>
      <c r="Y4" s="5"/>
      <c r="Z4" s="5"/>
    </row>
    <row r="5" ht="18.75" customHeight="1">
      <c r="A5" s="4"/>
      <c r="B5" s="4"/>
      <c r="C5" s="8" t="s">
        <v>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0"/>
      <c r="T5" s="5"/>
      <c r="U5" s="5"/>
      <c r="V5" s="5"/>
      <c r="W5" s="5"/>
      <c r="X5" s="5"/>
      <c r="Y5" s="5"/>
      <c r="Z5" s="5"/>
    </row>
    <row r="6" ht="18.75" customHeight="1">
      <c r="A6" s="4"/>
      <c r="B6" s="4"/>
      <c r="C6" s="11" t="s">
        <v>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5"/>
      <c r="U6" s="5"/>
      <c r="V6" s="5"/>
      <c r="W6" s="5"/>
      <c r="X6" s="5"/>
      <c r="Y6" s="5"/>
      <c r="Z6" s="5"/>
    </row>
    <row r="7" ht="18.75" customHeight="1">
      <c r="A7" s="14" t="s">
        <v>6</v>
      </c>
      <c r="B7" s="14"/>
      <c r="C7" s="15" t="s">
        <v>7</v>
      </c>
      <c r="T7" s="14"/>
      <c r="U7" s="14"/>
      <c r="V7" s="14"/>
      <c r="W7" s="14"/>
      <c r="X7" s="14"/>
      <c r="Y7" s="14"/>
      <c r="Z7" s="14"/>
    </row>
    <row r="8" ht="18.75" customHeight="1">
      <c r="A8" s="4"/>
      <c r="B8" s="4"/>
      <c r="C8" s="16" t="s">
        <v>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5"/>
      <c r="U8" s="5"/>
      <c r="V8" s="5"/>
      <c r="W8" s="5"/>
      <c r="X8" s="5"/>
      <c r="Y8" s="5"/>
      <c r="Z8" s="5"/>
    </row>
    <row r="9" ht="15.0" customHeight="1">
      <c r="A9" s="17" t="s">
        <v>9</v>
      </c>
      <c r="B9" s="18" t="s">
        <v>10</v>
      </c>
      <c r="C9" s="19" t="s">
        <v>11</v>
      </c>
      <c r="D9" s="20" t="s">
        <v>12</v>
      </c>
      <c r="E9" s="21" t="s">
        <v>13</v>
      </c>
      <c r="F9" s="17" t="s">
        <v>14</v>
      </c>
      <c r="G9" s="22">
        <v>0.7</v>
      </c>
      <c r="H9" s="23">
        <v>0.3</v>
      </c>
      <c r="I9" s="24" t="s">
        <v>15</v>
      </c>
      <c r="J9" s="12"/>
      <c r="K9" s="25"/>
      <c r="L9" s="24" t="s">
        <v>16</v>
      </c>
      <c r="M9" s="12"/>
      <c r="N9" s="12"/>
      <c r="O9" s="12"/>
      <c r="P9" s="25"/>
      <c r="Q9" s="20" t="s">
        <v>17</v>
      </c>
      <c r="R9" s="21" t="s">
        <v>18</v>
      </c>
      <c r="S9" s="26" t="s">
        <v>19</v>
      </c>
      <c r="T9" s="27"/>
      <c r="U9" s="27"/>
      <c r="V9" s="27"/>
      <c r="W9" s="27"/>
      <c r="X9" s="27"/>
      <c r="Y9" s="27"/>
      <c r="Z9" s="27"/>
    </row>
    <row r="10" ht="24.75" customHeight="1">
      <c r="A10" s="28"/>
      <c r="B10" s="29"/>
      <c r="C10" s="30"/>
      <c r="D10" s="31"/>
      <c r="E10" s="31"/>
      <c r="F10" s="28"/>
      <c r="G10" s="32" t="s">
        <v>20</v>
      </c>
      <c r="H10" s="17" t="s">
        <v>21</v>
      </c>
      <c r="I10" s="33" t="s">
        <v>22</v>
      </c>
      <c r="J10" s="33" t="s">
        <v>23</v>
      </c>
      <c r="K10" s="33" t="s">
        <v>24</v>
      </c>
      <c r="L10" s="33" t="s">
        <v>22</v>
      </c>
      <c r="M10" s="33" t="s">
        <v>23</v>
      </c>
      <c r="N10" s="33" t="s">
        <v>25</v>
      </c>
      <c r="O10" s="33" t="s">
        <v>26</v>
      </c>
      <c r="P10" s="33" t="s">
        <v>27</v>
      </c>
      <c r="Q10" s="28"/>
      <c r="R10" s="28"/>
      <c r="S10" s="34"/>
      <c r="T10" s="27"/>
      <c r="U10" s="27"/>
      <c r="V10" s="27"/>
      <c r="W10" s="27"/>
      <c r="X10" s="27"/>
      <c r="Y10" s="27"/>
      <c r="Z10" s="27"/>
    </row>
    <row r="11">
      <c r="A11" s="31"/>
      <c r="B11" s="35"/>
      <c r="C11" s="36"/>
      <c r="D11" s="37" t="s">
        <v>28</v>
      </c>
      <c r="E11" s="38" t="s">
        <v>29</v>
      </c>
      <c r="F11" s="31"/>
      <c r="G11" s="31"/>
      <c r="H11" s="31"/>
      <c r="I11" s="39">
        <v>0.12</v>
      </c>
      <c r="J11" s="22">
        <v>0.0075</v>
      </c>
      <c r="K11" s="33" t="s">
        <v>30</v>
      </c>
      <c r="L11" s="22">
        <v>0.13</v>
      </c>
      <c r="M11" s="22">
        <v>0.0325</v>
      </c>
      <c r="N11" s="22">
        <v>0.0833</v>
      </c>
      <c r="O11" s="22">
        <v>0.0482</v>
      </c>
      <c r="P11" s="22">
        <v>0.0482</v>
      </c>
      <c r="Q11" s="31"/>
      <c r="R11" s="31"/>
      <c r="S11" s="40"/>
      <c r="T11" s="27"/>
      <c r="U11" s="27"/>
      <c r="V11" s="27"/>
      <c r="W11" s="27"/>
      <c r="X11" s="27"/>
      <c r="Y11" s="27"/>
      <c r="Z11" s="27"/>
    </row>
    <row r="12">
      <c r="A12" s="41" t="s">
        <v>31</v>
      </c>
      <c r="B12" s="42"/>
      <c r="C12" s="43" t="s">
        <v>32</v>
      </c>
      <c r="D12" s="44">
        <f t="shared" ref="D12:E12" si="1">Q12*12</f>
        <v>118596</v>
      </c>
      <c r="E12" s="45">
        <f t="shared" si="1"/>
        <v>84288</v>
      </c>
      <c r="F12" s="41">
        <v>7820.0</v>
      </c>
      <c r="G12" s="41">
        <f t="shared" ref="G12:H12" si="2">ROUND($F12*G$9,0)</f>
        <v>5474</v>
      </c>
      <c r="H12" s="41">
        <f t="shared" si="2"/>
        <v>2346</v>
      </c>
      <c r="I12" s="41">
        <f t="shared" ref="I12:I27" si="5">ROUND(IF(G12&lt;=15000,G12*12%,IF(B12="Y",1800,0)),0)</f>
        <v>657</v>
      </c>
      <c r="J12" s="41">
        <f t="shared" ref="J12:J16" si="6">ROUND(IF(A12="Y",IF(F12&lt;=21000,F12*0.75%,0),0),0)</f>
        <v>59</v>
      </c>
      <c r="K12" s="41">
        <f t="shared" ref="K12:K27" si="7">IF(F12&lt;6000,0,IF(F12&lt;9000,80,IF(F12&lt;12000,150,200)))</f>
        <v>80</v>
      </c>
      <c r="L12" s="41">
        <f t="shared" ref="L12:L27" si="8">ROUND(IF(G12&lt;=15000,G12*13%,IF(B12="Y",2004,0)),0)</f>
        <v>712</v>
      </c>
      <c r="M12" s="41">
        <f t="shared" ref="M12:M16" si="9">ROUND(IF(A12="Y",IF(F12&lt;=21000,F12*3.25%,0),0),0)</f>
        <v>254</v>
      </c>
      <c r="N12" s="41">
        <f t="shared" ref="N12:N27" si="10">ROUND(IF(G12&lt;=21000,IF(G12*8.33%&lt;=684,G12*8.33%,684),0),0)</f>
        <v>456</v>
      </c>
      <c r="O12" s="41">
        <f t="shared" ref="O12:O27" si="11">ROUND(G12*4.82%,0)</f>
        <v>264</v>
      </c>
      <c r="P12" s="41">
        <f t="shared" ref="P12:P27" si="12">ROUND(F12*4.82%,0)</f>
        <v>377</v>
      </c>
      <c r="Q12" s="44">
        <f>F12+SUM(L12:P12)</f>
        <v>9883</v>
      </c>
      <c r="R12" s="45">
        <f t="shared" ref="R12:R16" si="13">F12-SUM(I12:K12)</f>
        <v>7024</v>
      </c>
      <c r="S12" s="46">
        <f t="shared" ref="S12:S16" si="14">E12/D12</f>
        <v>0.7107153698</v>
      </c>
      <c r="T12" s="27"/>
      <c r="U12" s="27"/>
      <c r="V12" s="27"/>
      <c r="W12" s="27"/>
      <c r="X12" s="27"/>
      <c r="Y12" s="27"/>
      <c r="Z12" s="27"/>
    </row>
    <row r="13">
      <c r="A13" s="41" t="s">
        <v>31</v>
      </c>
      <c r="B13" s="42"/>
      <c r="C13" s="43" t="s">
        <v>33</v>
      </c>
      <c r="D13" s="44">
        <f t="shared" ref="D13:E13" si="3">Q13*12</f>
        <v>180000</v>
      </c>
      <c r="E13" s="45">
        <f t="shared" si="3"/>
        <v>126084</v>
      </c>
      <c r="F13" s="41">
        <v>11730.0</v>
      </c>
      <c r="G13" s="41">
        <f t="shared" ref="G13:H13" si="4">ROUND($F13*G$9,0)</f>
        <v>8211</v>
      </c>
      <c r="H13" s="41">
        <f t="shared" si="4"/>
        <v>3519</v>
      </c>
      <c r="I13" s="41">
        <f t="shared" si="5"/>
        <v>985</v>
      </c>
      <c r="J13" s="41">
        <f t="shared" si="6"/>
        <v>88</v>
      </c>
      <c r="K13" s="41">
        <f t="shared" si="7"/>
        <v>150</v>
      </c>
      <c r="L13" s="41">
        <f t="shared" si="8"/>
        <v>1067</v>
      </c>
      <c r="M13" s="41">
        <f t="shared" si="9"/>
        <v>381</v>
      </c>
      <c r="N13" s="41">
        <f t="shared" si="10"/>
        <v>684</v>
      </c>
      <c r="O13" s="41">
        <f t="shared" si="11"/>
        <v>396</v>
      </c>
      <c r="P13" s="41">
        <f t="shared" si="12"/>
        <v>565</v>
      </c>
      <c r="Q13" s="44">
        <v>15000.0</v>
      </c>
      <c r="R13" s="45">
        <f t="shared" si="13"/>
        <v>10507</v>
      </c>
      <c r="S13" s="46">
        <f t="shared" si="14"/>
        <v>0.7004666667</v>
      </c>
      <c r="T13" s="27"/>
      <c r="U13" s="27"/>
      <c r="V13" s="27"/>
      <c r="W13" s="27"/>
      <c r="X13" s="27"/>
      <c r="Y13" s="27"/>
      <c r="Z13" s="27"/>
    </row>
    <row r="14">
      <c r="A14" s="41" t="s">
        <v>31</v>
      </c>
      <c r="B14" s="42"/>
      <c r="C14" s="43" t="s">
        <v>34</v>
      </c>
      <c r="D14" s="44">
        <f t="shared" ref="D14:E14" si="15">Q14*12</f>
        <v>237144</v>
      </c>
      <c r="E14" s="45">
        <f t="shared" si="15"/>
        <v>170148</v>
      </c>
      <c r="F14" s="41">
        <v>15827.0</v>
      </c>
      <c r="G14" s="41">
        <f t="shared" ref="G14:H14" si="16">ROUND($F14*G$9,0)</f>
        <v>11079</v>
      </c>
      <c r="H14" s="41">
        <f t="shared" si="16"/>
        <v>4748</v>
      </c>
      <c r="I14" s="41">
        <f t="shared" si="5"/>
        <v>1329</v>
      </c>
      <c r="J14" s="41">
        <f t="shared" si="6"/>
        <v>119</v>
      </c>
      <c r="K14" s="41">
        <f t="shared" si="7"/>
        <v>200</v>
      </c>
      <c r="L14" s="41">
        <f t="shared" si="8"/>
        <v>1440</v>
      </c>
      <c r="M14" s="41">
        <f t="shared" si="9"/>
        <v>514</v>
      </c>
      <c r="N14" s="41">
        <f t="shared" si="10"/>
        <v>684</v>
      </c>
      <c r="O14" s="41">
        <f t="shared" si="11"/>
        <v>534</v>
      </c>
      <c r="P14" s="41">
        <f t="shared" si="12"/>
        <v>763</v>
      </c>
      <c r="Q14" s="44">
        <f t="shared" ref="Q14:Q27" si="19">F14+SUM(L14:P14)</f>
        <v>19762</v>
      </c>
      <c r="R14" s="45">
        <f t="shared" si="13"/>
        <v>14179</v>
      </c>
      <c r="S14" s="46">
        <f t="shared" si="14"/>
        <v>0.7174881085</v>
      </c>
      <c r="T14" s="27"/>
      <c r="U14" s="27"/>
      <c r="V14" s="27"/>
      <c r="W14" s="27"/>
      <c r="X14" s="27"/>
      <c r="Y14" s="27"/>
      <c r="Z14" s="27"/>
    </row>
    <row r="15">
      <c r="A15" s="41" t="s">
        <v>31</v>
      </c>
      <c r="B15" s="42"/>
      <c r="C15" s="43" t="s">
        <v>35</v>
      </c>
      <c r="D15" s="44">
        <f t="shared" ref="D15:E15" si="17">Q15*12</f>
        <v>296424</v>
      </c>
      <c r="E15" s="45">
        <f t="shared" si="17"/>
        <v>214824</v>
      </c>
      <c r="F15" s="41">
        <v>19925.0</v>
      </c>
      <c r="G15" s="41">
        <f t="shared" ref="G15:H15" si="18">ROUND($F15*G$9,0)</f>
        <v>13948</v>
      </c>
      <c r="H15" s="41">
        <f t="shared" si="18"/>
        <v>5978</v>
      </c>
      <c r="I15" s="41">
        <f t="shared" si="5"/>
        <v>1674</v>
      </c>
      <c r="J15" s="41">
        <f t="shared" si="6"/>
        <v>149</v>
      </c>
      <c r="K15" s="41">
        <f t="shared" si="7"/>
        <v>200</v>
      </c>
      <c r="L15" s="41">
        <f t="shared" si="8"/>
        <v>1813</v>
      </c>
      <c r="M15" s="41">
        <f t="shared" si="9"/>
        <v>648</v>
      </c>
      <c r="N15" s="41">
        <f t="shared" si="10"/>
        <v>684</v>
      </c>
      <c r="O15" s="41">
        <f t="shared" si="11"/>
        <v>672</v>
      </c>
      <c r="P15" s="41">
        <f t="shared" si="12"/>
        <v>960</v>
      </c>
      <c r="Q15" s="44">
        <f t="shared" si="19"/>
        <v>24702</v>
      </c>
      <c r="R15" s="45">
        <f t="shared" si="13"/>
        <v>17902</v>
      </c>
      <c r="S15" s="46">
        <f t="shared" si="14"/>
        <v>0.7247186463</v>
      </c>
      <c r="T15" s="27"/>
      <c r="U15" s="27"/>
      <c r="V15" s="27"/>
      <c r="W15" s="27"/>
      <c r="X15" s="27"/>
      <c r="Y15" s="27"/>
      <c r="Z15" s="27"/>
    </row>
    <row r="16">
      <c r="A16" s="41" t="s">
        <v>31</v>
      </c>
      <c r="B16" s="42" t="s">
        <v>31</v>
      </c>
      <c r="C16" s="47" t="s">
        <v>36</v>
      </c>
      <c r="D16" s="48">
        <f t="shared" ref="D16:E16" si="20">Q16*12</f>
        <v>360000</v>
      </c>
      <c r="E16" s="49">
        <f t="shared" si="20"/>
        <v>278916</v>
      </c>
      <c r="F16" s="50">
        <v>25243.0</v>
      </c>
      <c r="G16" s="50">
        <f t="shared" ref="G16:H16" si="21">ROUND($F16*G$9,0)</f>
        <v>17670</v>
      </c>
      <c r="H16" s="50">
        <f t="shared" si="21"/>
        <v>7573</v>
      </c>
      <c r="I16" s="50">
        <f t="shared" si="5"/>
        <v>1800</v>
      </c>
      <c r="J16" s="50">
        <f t="shared" si="6"/>
        <v>0</v>
      </c>
      <c r="K16" s="50">
        <f t="shared" si="7"/>
        <v>200</v>
      </c>
      <c r="L16" s="50">
        <f t="shared" si="8"/>
        <v>2004</v>
      </c>
      <c r="M16" s="50">
        <f t="shared" si="9"/>
        <v>0</v>
      </c>
      <c r="N16" s="50">
        <f t="shared" si="10"/>
        <v>684</v>
      </c>
      <c r="O16" s="50">
        <f t="shared" si="11"/>
        <v>852</v>
      </c>
      <c r="P16" s="50">
        <f t="shared" si="12"/>
        <v>1217</v>
      </c>
      <c r="Q16" s="48">
        <f t="shared" si="19"/>
        <v>30000</v>
      </c>
      <c r="R16" s="49">
        <f t="shared" si="13"/>
        <v>23243</v>
      </c>
      <c r="S16" s="51">
        <f t="shared" si="14"/>
        <v>0.7747666667</v>
      </c>
      <c r="T16" s="27"/>
      <c r="U16" s="27"/>
      <c r="V16" s="27"/>
      <c r="W16" s="27"/>
      <c r="X16" s="27"/>
      <c r="Y16" s="27"/>
      <c r="Z16" s="27"/>
    </row>
    <row r="17" hidden="1">
      <c r="A17" s="41" t="s">
        <v>31</v>
      </c>
      <c r="B17" s="41"/>
      <c r="C17" s="52" t="s">
        <v>37</v>
      </c>
      <c r="D17" s="53">
        <f t="shared" ref="D17:D27" si="23">B17*12</f>
        <v>0</v>
      </c>
      <c r="E17" s="53"/>
      <c r="F17" s="52">
        <v>11000.0</v>
      </c>
      <c r="G17" s="52">
        <f t="shared" ref="G17:H17" si="22">ROUND($F17*G$9,0)</f>
        <v>7700</v>
      </c>
      <c r="H17" s="52">
        <f t="shared" si="22"/>
        <v>3300</v>
      </c>
      <c r="I17" s="54">
        <f t="shared" si="5"/>
        <v>924</v>
      </c>
      <c r="J17" s="54">
        <f t="shared" ref="J17:J27" si="25">ROUND(IF(A17="Y",IF(F17&lt;=21000,F17*1.75%,0),0),0)</f>
        <v>193</v>
      </c>
      <c r="K17" s="54">
        <f t="shared" si="7"/>
        <v>150</v>
      </c>
      <c r="L17" s="55">
        <f t="shared" si="8"/>
        <v>1001</v>
      </c>
      <c r="M17" s="55">
        <f t="shared" ref="M17:M27" si="26">ROUND(IF(A17="Y",IF(F17&lt;=21000,F17*4.75%,0),0),0)</f>
        <v>523</v>
      </c>
      <c r="N17" s="55">
        <f t="shared" si="10"/>
        <v>641</v>
      </c>
      <c r="O17" s="55">
        <f t="shared" si="11"/>
        <v>371</v>
      </c>
      <c r="P17" s="55">
        <f t="shared" si="12"/>
        <v>530</v>
      </c>
      <c r="Q17" s="52">
        <f t="shared" si="19"/>
        <v>14066</v>
      </c>
      <c r="R17" s="52"/>
      <c r="S17" s="56" t="str">
        <f t="shared" ref="S17:S27" si="27">#REF!*100/#REF!</f>
        <v>#REF!</v>
      </c>
      <c r="T17" s="27"/>
      <c r="U17" s="27"/>
      <c r="V17" s="27"/>
      <c r="W17" s="27"/>
      <c r="X17" s="27"/>
      <c r="Y17" s="27"/>
      <c r="Z17" s="27"/>
    </row>
    <row r="18" hidden="1">
      <c r="A18" s="41" t="s">
        <v>31</v>
      </c>
      <c r="B18" s="41"/>
      <c r="C18" s="41" t="s">
        <v>38</v>
      </c>
      <c r="D18" s="44">
        <f t="shared" si="23"/>
        <v>0</v>
      </c>
      <c r="E18" s="44"/>
      <c r="F18" s="41">
        <v>12000.0</v>
      </c>
      <c r="G18" s="41">
        <f t="shared" ref="G18:H18" si="24">ROUND($F18*G$9,0)</f>
        <v>8400</v>
      </c>
      <c r="H18" s="41">
        <f t="shared" si="24"/>
        <v>3600</v>
      </c>
      <c r="I18" s="57">
        <f t="shared" si="5"/>
        <v>1008</v>
      </c>
      <c r="J18" s="57">
        <f t="shared" si="25"/>
        <v>210</v>
      </c>
      <c r="K18" s="57">
        <f t="shared" si="7"/>
        <v>200</v>
      </c>
      <c r="L18" s="58">
        <f t="shared" si="8"/>
        <v>1092</v>
      </c>
      <c r="M18" s="58">
        <f t="shared" si="26"/>
        <v>570</v>
      </c>
      <c r="N18" s="58">
        <f t="shared" si="10"/>
        <v>684</v>
      </c>
      <c r="O18" s="58">
        <f t="shared" si="11"/>
        <v>405</v>
      </c>
      <c r="P18" s="58">
        <f t="shared" si="12"/>
        <v>578</v>
      </c>
      <c r="Q18" s="41">
        <f t="shared" si="19"/>
        <v>15329</v>
      </c>
      <c r="R18" s="41"/>
      <c r="S18" s="59" t="str">
        <f t="shared" si="27"/>
        <v>#REF!</v>
      </c>
      <c r="T18" s="27"/>
      <c r="U18" s="27"/>
      <c r="V18" s="27"/>
      <c r="W18" s="27"/>
      <c r="X18" s="27"/>
      <c r="Y18" s="27"/>
      <c r="Z18" s="27"/>
    </row>
    <row r="19" hidden="1">
      <c r="A19" s="41" t="s">
        <v>31</v>
      </c>
      <c r="B19" s="41"/>
      <c r="C19" s="41" t="s">
        <v>39</v>
      </c>
      <c r="D19" s="44">
        <f t="shared" si="23"/>
        <v>0</v>
      </c>
      <c r="E19" s="44"/>
      <c r="F19" s="41">
        <v>13000.0</v>
      </c>
      <c r="G19" s="41">
        <f t="shared" ref="G19:H19" si="28">ROUND($F19*G$9,0)</f>
        <v>9100</v>
      </c>
      <c r="H19" s="41">
        <f t="shared" si="28"/>
        <v>3900</v>
      </c>
      <c r="I19" s="57">
        <f t="shared" si="5"/>
        <v>1092</v>
      </c>
      <c r="J19" s="57">
        <f t="shared" si="25"/>
        <v>228</v>
      </c>
      <c r="K19" s="57">
        <f t="shared" si="7"/>
        <v>200</v>
      </c>
      <c r="L19" s="58">
        <f t="shared" si="8"/>
        <v>1183</v>
      </c>
      <c r="M19" s="58">
        <f t="shared" si="26"/>
        <v>618</v>
      </c>
      <c r="N19" s="58">
        <f t="shared" si="10"/>
        <v>684</v>
      </c>
      <c r="O19" s="58">
        <f t="shared" si="11"/>
        <v>439</v>
      </c>
      <c r="P19" s="58">
        <f t="shared" si="12"/>
        <v>627</v>
      </c>
      <c r="Q19" s="41">
        <f t="shared" si="19"/>
        <v>16551</v>
      </c>
      <c r="R19" s="41"/>
      <c r="S19" s="59" t="str">
        <f t="shared" si="27"/>
        <v>#REF!</v>
      </c>
      <c r="T19" s="27"/>
      <c r="U19" s="27"/>
      <c r="V19" s="27"/>
      <c r="W19" s="27"/>
      <c r="X19" s="27"/>
      <c r="Y19" s="27"/>
      <c r="Z19" s="27"/>
    </row>
    <row r="20" hidden="1">
      <c r="A20" s="41" t="s">
        <v>31</v>
      </c>
      <c r="B20" s="41"/>
      <c r="C20" s="41" t="s">
        <v>40</v>
      </c>
      <c r="D20" s="44">
        <f t="shared" si="23"/>
        <v>0</v>
      </c>
      <c r="E20" s="44"/>
      <c r="F20" s="41">
        <v>14000.0</v>
      </c>
      <c r="G20" s="41">
        <f t="shared" ref="G20:H20" si="29">ROUND($F20*G$9,0)</f>
        <v>9800</v>
      </c>
      <c r="H20" s="41">
        <f t="shared" si="29"/>
        <v>4200</v>
      </c>
      <c r="I20" s="57">
        <f t="shared" si="5"/>
        <v>1176</v>
      </c>
      <c r="J20" s="57">
        <f t="shared" si="25"/>
        <v>245</v>
      </c>
      <c r="K20" s="57">
        <f t="shared" si="7"/>
        <v>200</v>
      </c>
      <c r="L20" s="58">
        <f t="shared" si="8"/>
        <v>1274</v>
      </c>
      <c r="M20" s="58">
        <f t="shared" si="26"/>
        <v>665</v>
      </c>
      <c r="N20" s="58">
        <f t="shared" si="10"/>
        <v>684</v>
      </c>
      <c r="O20" s="58">
        <f t="shared" si="11"/>
        <v>472</v>
      </c>
      <c r="P20" s="58">
        <f t="shared" si="12"/>
        <v>675</v>
      </c>
      <c r="Q20" s="41">
        <f t="shared" si="19"/>
        <v>17770</v>
      </c>
      <c r="R20" s="41"/>
      <c r="S20" s="59" t="str">
        <f t="shared" si="27"/>
        <v>#REF!</v>
      </c>
      <c r="T20" s="27"/>
      <c r="U20" s="27"/>
      <c r="V20" s="27"/>
      <c r="W20" s="27"/>
      <c r="X20" s="27"/>
      <c r="Y20" s="27"/>
      <c r="Z20" s="27"/>
    </row>
    <row r="21" hidden="1">
      <c r="A21" s="41" t="s">
        <v>31</v>
      </c>
      <c r="B21" s="41"/>
      <c r="C21" s="41" t="s">
        <v>41</v>
      </c>
      <c r="D21" s="44">
        <f t="shared" si="23"/>
        <v>0</v>
      </c>
      <c r="E21" s="44"/>
      <c r="F21" s="41">
        <v>15000.0</v>
      </c>
      <c r="G21" s="41">
        <f t="shared" ref="G21:H21" si="30">ROUND($F21*G$9,0)</f>
        <v>10500</v>
      </c>
      <c r="H21" s="41">
        <f t="shared" si="30"/>
        <v>4500</v>
      </c>
      <c r="I21" s="57">
        <f t="shared" si="5"/>
        <v>1260</v>
      </c>
      <c r="J21" s="57">
        <f t="shared" si="25"/>
        <v>263</v>
      </c>
      <c r="K21" s="57">
        <f t="shared" si="7"/>
        <v>200</v>
      </c>
      <c r="L21" s="58">
        <f t="shared" si="8"/>
        <v>1365</v>
      </c>
      <c r="M21" s="58">
        <f t="shared" si="26"/>
        <v>713</v>
      </c>
      <c r="N21" s="58">
        <f t="shared" si="10"/>
        <v>684</v>
      </c>
      <c r="O21" s="58">
        <f t="shared" si="11"/>
        <v>506</v>
      </c>
      <c r="P21" s="58">
        <f t="shared" si="12"/>
        <v>723</v>
      </c>
      <c r="Q21" s="41">
        <f t="shared" si="19"/>
        <v>18991</v>
      </c>
      <c r="R21" s="41"/>
      <c r="S21" s="59" t="str">
        <f t="shared" si="27"/>
        <v>#REF!</v>
      </c>
      <c r="T21" s="27"/>
      <c r="U21" s="27"/>
      <c r="V21" s="27"/>
      <c r="W21" s="27"/>
      <c r="X21" s="27"/>
      <c r="Y21" s="27"/>
      <c r="Z21" s="27"/>
    </row>
    <row r="22" ht="15.75" hidden="1" customHeight="1">
      <c r="A22" s="41" t="s">
        <v>31</v>
      </c>
      <c r="B22" s="41"/>
      <c r="C22" s="41" t="s">
        <v>42</v>
      </c>
      <c r="D22" s="44">
        <f t="shared" si="23"/>
        <v>0</v>
      </c>
      <c r="E22" s="44"/>
      <c r="F22" s="41">
        <v>16000.0</v>
      </c>
      <c r="G22" s="41">
        <f t="shared" ref="G22:H22" si="31">ROUND($F22*G$9,0)</f>
        <v>11200</v>
      </c>
      <c r="H22" s="41">
        <f t="shared" si="31"/>
        <v>4800</v>
      </c>
      <c r="I22" s="57">
        <f t="shared" si="5"/>
        <v>1344</v>
      </c>
      <c r="J22" s="57">
        <f t="shared" si="25"/>
        <v>280</v>
      </c>
      <c r="K22" s="57">
        <f t="shared" si="7"/>
        <v>200</v>
      </c>
      <c r="L22" s="58">
        <f t="shared" si="8"/>
        <v>1456</v>
      </c>
      <c r="M22" s="58">
        <f t="shared" si="26"/>
        <v>760</v>
      </c>
      <c r="N22" s="58">
        <f t="shared" si="10"/>
        <v>684</v>
      </c>
      <c r="O22" s="58">
        <f t="shared" si="11"/>
        <v>540</v>
      </c>
      <c r="P22" s="58">
        <f t="shared" si="12"/>
        <v>771</v>
      </c>
      <c r="Q22" s="41">
        <f t="shared" si="19"/>
        <v>20211</v>
      </c>
      <c r="R22" s="41"/>
      <c r="S22" s="59" t="str">
        <f t="shared" si="27"/>
        <v>#REF!</v>
      </c>
      <c r="T22" s="27"/>
      <c r="U22" s="27"/>
      <c r="V22" s="27"/>
      <c r="W22" s="27"/>
      <c r="X22" s="27"/>
      <c r="Y22" s="27"/>
      <c r="Z22" s="27"/>
    </row>
    <row r="23" ht="15.75" hidden="1" customHeight="1">
      <c r="A23" s="41" t="s">
        <v>31</v>
      </c>
      <c r="B23" s="41"/>
      <c r="C23" s="41" t="s">
        <v>43</v>
      </c>
      <c r="D23" s="44">
        <f t="shared" si="23"/>
        <v>0</v>
      </c>
      <c r="E23" s="44"/>
      <c r="F23" s="41">
        <v>17000.0</v>
      </c>
      <c r="G23" s="41">
        <f t="shared" ref="G23:H23" si="32">ROUND($F23*G$9,0)</f>
        <v>11900</v>
      </c>
      <c r="H23" s="41">
        <f t="shared" si="32"/>
        <v>5100</v>
      </c>
      <c r="I23" s="57">
        <f t="shared" si="5"/>
        <v>1428</v>
      </c>
      <c r="J23" s="57">
        <f t="shared" si="25"/>
        <v>298</v>
      </c>
      <c r="K23" s="57">
        <f t="shared" si="7"/>
        <v>200</v>
      </c>
      <c r="L23" s="58">
        <f t="shared" si="8"/>
        <v>1547</v>
      </c>
      <c r="M23" s="58">
        <f t="shared" si="26"/>
        <v>808</v>
      </c>
      <c r="N23" s="58">
        <f t="shared" si="10"/>
        <v>684</v>
      </c>
      <c r="O23" s="58">
        <f t="shared" si="11"/>
        <v>574</v>
      </c>
      <c r="P23" s="58">
        <f t="shared" si="12"/>
        <v>819</v>
      </c>
      <c r="Q23" s="41">
        <f t="shared" si="19"/>
        <v>21432</v>
      </c>
      <c r="R23" s="41"/>
      <c r="S23" s="59" t="str">
        <f t="shared" si="27"/>
        <v>#REF!</v>
      </c>
      <c r="T23" s="27"/>
      <c r="U23" s="27"/>
      <c r="V23" s="27"/>
      <c r="W23" s="27"/>
      <c r="X23" s="27"/>
      <c r="Y23" s="27"/>
      <c r="Z23" s="27"/>
    </row>
    <row r="24" ht="15.75" hidden="1" customHeight="1">
      <c r="A24" s="41" t="s">
        <v>31</v>
      </c>
      <c r="B24" s="41"/>
      <c r="C24" s="41" t="s">
        <v>44</v>
      </c>
      <c r="D24" s="44">
        <f t="shared" si="23"/>
        <v>0</v>
      </c>
      <c r="E24" s="44"/>
      <c r="F24" s="41">
        <v>18000.0</v>
      </c>
      <c r="G24" s="41">
        <f t="shared" ref="G24:H24" si="33">ROUND($F24*G$9,0)</f>
        <v>12600</v>
      </c>
      <c r="H24" s="41">
        <f t="shared" si="33"/>
        <v>5400</v>
      </c>
      <c r="I24" s="57">
        <f t="shared" si="5"/>
        <v>1512</v>
      </c>
      <c r="J24" s="57">
        <f t="shared" si="25"/>
        <v>315</v>
      </c>
      <c r="K24" s="57">
        <f t="shared" si="7"/>
        <v>200</v>
      </c>
      <c r="L24" s="58">
        <f t="shared" si="8"/>
        <v>1638</v>
      </c>
      <c r="M24" s="58">
        <f t="shared" si="26"/>
        <v>855</v>
      </c>
      <c r="N24" s="58">
        <f t="shared" si="10"/>
        <v>684</v>
      </c>
      <c r="O24" s="58">
        <f t="shared" si="11"/>
        <v>607</v>
      </c>
      <c r="P24" s="58">
        <f t="shared" si="12"/>
        <v>868</v>
      </c>
      <c r="Q24" s="41">
        <f t="shared" si="19"/>
        <v>22652</v>
      </c>
      <c r="R24" s="41"/>
      <c r="S24" s="59" t="str">
        <f t="shared" si="27"/>
        <v>#REF!</v>
      </c>
      <c r="T24" s="27"/>
      <c r="U24" s="27"/>
      <c r="V24" s="27"/>
      <c r="W24" s="27"/>
      <c r="X24" s="27"/>
      <c r="Y24" s="27"/>
      <c r="Z24" s="27"/>
    </row>
    <row r="25" ht="15.75" hidden="1" customHeight="1">
      <c r="A25" s="41" t="s">
        <v>31</v>
      </c>
      <c r="B25" s="41"/>
      <c r="C25" s="41" t="s">
        <v>45</v>
      </c>
      <c r="D25" s="44">
        <f t="shared" si="23"/>
        <v>0</v>
      </c>
      <c r="E25" s="44"/>
      <c r="F25" s="41">
        <v>19000.0</v>
      </c>
      <c r="G25" s="41">
        <f t="shared" ref="G25:H25" si="34">ROUND($F25*G$9,0)</f>
        <v>13300</v>
      </c>
      <c r="H25" s="41">
        <f t="shared" si="34"/>
        <v>5700</v>
      </c>
      <c r="I25" s="57">
        <f t="shared" si="5"/>
        <v>1596</v>
      </c>
      <c r="J25" s="57">
        <f t="shared" si="25"/>
        <v>333</v>
      </c>
      <c r="K25" s="57">
        <f t="shared" si="7"/>
        <v>200</v>
      </c>
      <c r="L25" s="58">
        <f t="shared" si="8"/>
        <v>1729</v>
      </c>
      <c r="M25" s="58">
        <f t="shared" si="26"/>
        <v>903</v>
      </c>
      <c r="N25" s="58">
        <f t="shared" si="10"/>
        <v>684</v>
      </c>
      <c r="O25" s="58">
        <f t="shared" si="11"/>
        <v>641</v>
      </c>
      <c r="P25" s="58">
        <f t="shared" si="12"/>
        <v>916</v>
      </c>
      <c r="Q25" s="41">
        <f t="shared" si="19"/>
        <v>23873</v>
      </c>
      <c r="R25" s="41"/>
      <c r="S25" s="59" t="str">
        <f t="shared" si="27"/>
        <v>#REF!</v>
      </c>
      <c r="T25" s="27"/>
      <c r="U25" s="27"/>
      <c r="V25" s="27"/>
      <c r="W25" s="27"/>
      <c r="X25" s="27"/>
      <c r="Y25" s="27"/>
      <c r="Z25" s="27"/>
    </row>
    <row r="26" ht="15.75" hidden="1" customHeight="1">
      <c r="A26" s="41" t="s">
        <v>31</v>
      </c>
      <c r="B26" s="41"/>
      <c r="C26" s="41" t="s">
        <v>46</v>
      </c>
      <c r="D26" s="44">
        <f t="shared" si="23"/>
        <v>0</v>
      </c>
      <c r="E26" s="44"/>
      <c r="F26" s="41">
        <v>20000.0</v>
      </c>
      <c r="G26" s="41">
        <f t="shared" ref="G26:H26" si="35">ROUND($F26*G$9,0)</f>
        <v>14000</v>
      </c>
      <c r="H26" s="41">
        <f t="shared" si="35"/>
        <v>6000</v>
      </c>
      <c r="I26" s="57">
        <f t="shared" si="5"/>
        <v>1680</v>
      </c>
      <c r="J26" s="57">
        <f t="shared" si="25"/>
        <v>350</v>
      </c>
      <c r="K26" s="57">
        <f t="shared" si="7"/>
        <v>200</v>
      </c>
      <c r="L26" s="58">
        <f t="shared" si="8"/>
        <v>1820</v>
      </c>
      <c r="M26" s="58">
        <f t="shared" si="26"/>
        <v>950</v>
      </c>
      <c r="N26" s="58">
        <f t="shared" si="10"/>
        <v>684</v>
      </c>
      <c r="O26" s="58">
        <f t="shared" si="11"/>
        <v>675</v>
      </c>
      <c r="P26" s="58">
        <f t="shared" si="12"/>
        <v>964</v>
      </c>
      <c r="Q26" s="41">
        <f t="shared" si="19"/>
        <v>25093</v>
      </c>
      <c r="R26" s="41"/>
      <c r="S26" s="59" t="str">
        <f t="shared" si="27"/>
        <v>#REF!</v>
      </c>
      <c r="T26" s="27"/>
      <c r="U26" s="27"/>
      <c r="V26" s="27"/>
      <c r="W26" s="27"/>
      <c r="X26" s="27"/>
      <c r="Y26" s="27"/>
      <c r="Z26" s="27"/>
    </row>
    <row r="27" ht="15.75" hidden="1" customHeight="1">
      <c r="A27" s="41" t="s">
        <v>31</v>
      </c>
      <c r="B27" s="41" t="s">
        <v>31</v>
      </c>
      <c r="C27" s="41" t="s">
        <v>47</v>
      </c>
      <c r="D27" s="44" t="str">
        <f t="shared" si="23"/>
        <v>#VALUE!</v>
      </c>
      <c r="E27" s="44"/>
      <c r="F27" s="41">
        <v>50000.0</v>
      </c>
      <c r="G27" s="41">
        <f t="shared" ref="G27:H27" si="36">ROUND($F27*G$9,0)</f>
        <v>35000</v>
      </c>
      <c r="H27" s="41">
        <f t="shared" si="36"/>
        <v>15000</v>
      </c>
      <c r="I27" s="57">
        <f t="shared" si="5"/>
        <v>1800</v>
      </c>
      <c r="J27" s="57">
        <f t="shared" si="25"/>
        <v>0</v>
      </c>
      <c r="K27" s="57">
        <f t="shared" si="7"/>
        <v>200</v>
      </c>
      <c r="L27" s="58">
        <f t="shared" si="8"/>
        <v>2004</v>
      </c>
      <c r="M27" s="58">
        <f t="shared" si="26"/>
        <v>0</v>
      </c>
      <c r="N27" s="58">
        <f t="shared" si="10"/>
        <v>0</v>
      </c>
      <c r="O27" s="58">
        <f t="shared" si="11"/>
        <v>1687</v>
      </c>
      <c r="P27" s="58">
        <f t="shared" si="12"/>
        <v>2410</v>
      </c>
      <c r="Q27" s="41">
        <f t="shared" si="19"/>
        <v>56101</v>
      </c>
      <c r="R27" s="41"/>
      <c r="S27" s="59" t="str">
        <f t="shared" si="27"/>
        <v>#REF!</v>
      </c>
      <c r="T27" s="27"/>
      <c r="U27" s="27"/>
      <c r="V27" s="27"/>
      <c r="W27" s="27"/>
      <c r="X27" s="27"/>
      <c r="Y27" s="27"/>
      <c r="Z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</sheetData>
  <mergeCells count="21">
    <mergeCell ref="I9:K9"/>
    <mergeCell ref="L9:P9"/>
    <mergeCell ref="A1:R1"/>
    <mergeCell ref="A2:R2"/>
    <mergeCell ref="A3:R3"/>
    <mergeCell ref="C6:S6"/>
    <mergeCell ref="C8:S8"/>
    <mergeCell ref="C7:S7"/>
    <mergeCell ref="G10:G11"/>
    <mergeCell ref="H10:H11"/>
    <mergeCell ref="C9:C11"/>
    <mergeCell ref="E9:E10"/>
    <mergeCell ref="D9:D10"/>
    <mergeCell ref="B9:B11"/>
    <mergeCell ref="A4:R4"/>
    <mergeCell ref="C5:S5"/>
    <mergeCell ref="S9:S11"/>
    <mergeCell ref="Q9:Q11"/>
    <mergeCell ref="R9:R11"/>
    <mergeCell ref="A9:A11"/>
    <mergeCell ref="F9:F11"/>
  </mergeCells>
  <hyperlinks>
    <hyperlink r:id="rId1" ref="C7"/>
    <hyperlink r:id="rId2" ref="C8"/>
  </hyperlinks>
  <printOptions horizontalCentered="1" verticalCentered="1"/>
  <pageMargins bottom="0.62992125984252" footer="0.0" header="0.0" left="0.31496062992126" right="0.31496062992126" top="0.0"/>
  <pageSetup scale="82" orientation="landscape"/>
  <headerFooter>
    <oddFooter>&amp;CNote: Above calculations are made by assuming 26 Working days, ESIC - PF Calculated at prevalent monthly qualifying limit, PMRPY Benefits to be available till year 2019-2020 only,Prevalent Minimum Wages in Gujarat, Shift of 08 Working Hours and Others</oddFooter>
  </headerFooter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2016-12-12T07:53:14Z</dcterms:created>
  <dc:creator>jmehta</dc:creator>
</cp:coreProperties>
</file>