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is\Downloads\"/>
    </mc:Choice>
  </mc:AlternateContent>
  <xr:revisionPtr revIDLastSave="0" documentId="8_{CC303A22-1579-4A56-9947-F41FAF19B7CF}" xr6:coauthVersionLast="47" xr6:coauthVersionMax="47" xr10:uidLastSave="{00000000-0000-0000-0000-000000000000}"/>
  <bookViews>
    <workbookView xWindow="-108" yWindow="-108" windowWidth="23256" windowHeight="12456" xr2:uid="{11285EE5-F85A-46C9-BF07-2F18898EA358}"/>
  </bookViews>
  <sheets>
    <sheet name="Otis Financial Model" sheetId="1" r:id="rId1"/>
  </sheets>
  <calcPr calcId="191029" iterate="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2" i="1" l="1"/>
  <c r="E102" i="1" s="1"/>
  <c r="G102" i="1" s="1"/>
  <c r="H102" i="1" s="1"/>
  <c r="I102" i="1" s="1"/>
  <c r="J102" i="1" s="1"/>
  <c r="K102" i="1" s="1"/>
  <c r="D74" i="1"/>
  <c r="E74" i="1" s="1"/>
  <c r="G74" i="1" s="1"/>
  <c r="H74" i="1" s="1"/>
  <c r="I74" i="1" s="1"/>
  <c r="J74" i="1" s="1"/>
  <c r="K74" i="1" s="1"/>
  <c r="D52" i="1"/>
  <c r="E52" i="1" s="1"/>
  <c r="G52" i="1" s="1"/>
  <c r="H52" i="1" s="1"/>
  <c r="I52" i="1" s="1"/>
  <c r="J52" i="1" s="1"/>
  <c r="K52" i="1" s="1"/>
  <c r="G65" i="1"/>
  <c r="D43" i="1"/>
  <c r="E43" i="1"/>
  <c r="H49" i="1"/>
  <c r="I49" i="1" s="1"/>
  <c r="J49" i="1" s="1"/>
  <c r="K49" i="1" s="1"/>
  <c r="E49" i="1"/>
  <c r="G36" i="1"/>
  <c r="H36" i="1" s="1"/>
  <c r="I36" i="1" s="1"/>
  <c r="J36" i="1" s="1"/>
  <c r="K36" i="1" s="1"/>
  <c r="K114" i="1" s="1"/>
  <c r="E83" i="1"/>
  <c r="E47" i="1"/>
  <c r="D47" i="1"/>
  <c r="E36" i="1"/>
  <c r="D36" i="1"/>
  <c r="C36" i="1"/>
  <c r="E30" i="1"/>
  <c r="E29" i="1"/>
  <c r="E28" i="1"/>
  <c r="D28" i="1"/>
  <c r="E27" i="1"/>
  <c r="D30" i="1"/>
  <c r="D27" i="1"/>
  <c r="E25" i="1"/>
  <c r="E24" i="1"/>
  <c r="D24" i="1"/>
  <c r="D29" i="1"/>
  <c r="D25" i="1"/>
  <c r="E11" i="1"/>
  <c r="D11" i="1"/>
  <c r="G10" i="1"/>
  <c r="H10" i="1" s="1"/>
  <c r="I10" i="1" s="1"/>
  <c r="J10" i="1" s="1"/>
  <c r="K10" i="1" s="1"/>
  <c r="D3" i="1"/>
  <c r="E3" i="1" s="1"/>
  <c r="G3" i="1" s="1"/>
  <c r="H3" i="1" s="1"/>
  <c r="I3" i="1" s="1"/>
  <c r="J3" i="1" s="1"/>
  <c r="K3" i="1" s="1"/>
  <c r="E115" i="1"/>
  <c r="C106" i="1"/>
  <c r="C47" i="1" s="1"/>
  <c r="E16" i="1"/>
  <c r="C17" i="1"/>
  <c r="E13" i="1"/>
  <c r="D13" i="1"/>
  <c r="D5" i="1"/>
  <c r="E5" i="1"/>
  <c r="G5" i="1" s="1"/>
  <c r="C13" i="1"/>
  <c r="C5" i="1"/>
  <c r="I114" i="1" l="1"/>
  <c r="J114" i="1"/>
  <c r="G114" i="1"/>
  <c r="H114" i="1"/>
  <c r="E17" i="1"/>
  <c r="D16" i="1"/>
  <c r="C16" i="1"/>
  <c r="D17" i="1"/>
  <c r="D14" i="1"/>
  <c r="E14" i="1"/>
  <c r="G13" i="1"/>
  <c r="E6" i="1"/>
  <c r="D6" i="1"/>
  <c r="D115" i="1"/>
  <c r="C123" i="1"/>
  <c r="D123" i="1"/>
  <c r="C115" i="1"/>
  <c r="E96" i="1"/>
  <c r="E123" i="1"/>
  <c r="E92" i="1"/>
  <c r="D96" i="1"/>
  <c r="D92" i="1"/>
  <c r="D83" i="1"/>
  <c r="D56" i="1"/>
  <c r="E56" i="1"/>
  <c r="C56" i="1"/>
  <c r="C34" i="1" l="1"/>
  <c r="C33" i="1"/>
  <c r="C32" i="1"/>
  <c r="C50" i="1"/>
  <c r="E50" i="1"/>
  <c r="E33" i="1"/>
  <c r="E34" i="1"/>
  <c r="E32" i="1"/>
  <c r="D34" i="1"/>
  <c r="D32" i="1"/>
  <c r="D50" i="1"/>
  <c r="D33" i="1"/>
  <c r="G17" i="1"/>
  <c r="H17" i="1" s="1"/>
  <c r="I17" i="1" s="1"/>
  <c r="G16" i="1"/>
  <c r="H16" i="1" s="1"/>
  <c r="C61" i="1"/>
  <c r="C66" i="1" s="1"/>
  <c r="D18" i="1"/>
  <c r="D23" i="1"/>
  <c r="E18" i="1"/>
  <c r="E23" i="1"/>
  <c r="C18" i="1"/>
  <c r="E61" i="1"/>
  <c r="E66" i="1" s="1"/>
  <c r="D98" i="1"/>
  <c r="D100" i="1" s="1"/>
  <c r="H13" i="1"/>
  <c r="G55" i="1"/>
  <c r="E98" i="1"/>
  <c r="E100" i="1" s="1"/>
  <c r="D61" i="1"/>
  <c r="D66" i="1" s="1"/>
  <c r="G59" i="1" l="1"/>
  <c r="G18" i="1"/>
  <c r="C70" i="1"/>
  <c r="C20" i="1"/>
  <c r="E70" i="1"/>
  <c r="E21" i="1" s="1"/>
  <c r="E20" i="1"/>
  <c r="D70" i="1"/>
  <c r="D20" i="1"/>
  <c r="I16" i="1"/>
  <c r="H18" i="1"/>
  <c r="J17" i="1"/>
  <c r="I13" i="1"/>
  <c r="H55" i="1"/>
  <c r="H59" i="1" s="1"/>
  <c r="E72" i="1" l="1"/>
  <c r="C72" i="1"/>
  <c r="C21" i="1"/>
  <c r="I18" i="1"/>
  <c r="D72" i="1"/>
  <c r="D21" i="1"/>
  <c r="K17" i="1"/>
  <c r="J16" i="1"/>
  <c r="J13" i="1"/>
  <c r="I55" i="1"/>
  <c r="I59" i="1" s="1"/>
  <c r="C105" i="1" l="1"/>
  <c r="C110" i="1" s="1"/>
  <c r="C127" i="1" s="1"/>
  <c r="C45" i="1"/>
  <c r="D110" i="1"/>
  <c r="D127" i="1" s="1"/>
  <c r="D45" i="1"/>
  <c r="E110" i="1"/>
  <c r="E127" i="1" s="1"/>
  <c r="E45" i="1"/>
  <c r="K16" i="1"/>
  <c r="J18" i="1"/>
  <c r="K13" i="1"/>
  <c r="K55" i="1" s="1"/>
  <c r="K59" i="1" s="1"/>
  <c r="J55" i="1"/>
  <c r="J59" i="1" s="1"/>
  <c r="K18" i="1" l="1"/>
  <c r="H5" i="1" l="1"/>
  <c r="I5" i="1" s="1"/>
  <c r="G54" i="1"/>
  <c r="G56" i="1" s="1"/>
  <c r="G60" i="1" s="1"/>
  <c r="G58" i="1" l="1"/>
  <c r="G61" i="1" s="1"/>
  <c r="G66" i="1" s="1"/>
  <c r="J5" i="1"/>
  <c r="I54" i="1"/>
  <c r="H54" i="1"/>
  <c r="H56" i="1" l="1"/>
  <c r="H58" i="1"/>
  <c r="I58" i="1"/>
  <c r="I56" i="1"/>
  <c r="K5" i="1"/>
  <c r="K54" i="1" s="1"/>
  <c r="J54" i="1"/>
  <c r="K56" i="1" l="1"/>
  <c r="K58" i="1"/>
  <c r="J56" i="1"/>
  <c r="J58" i="1"/>
  <c r="H60" i="1"/>
  <c r="H61" i="1" s="1"/>
  <c r="I60" i="1"/>
  <c r="I61" i="1" s="1"/>
  <c r="J60" i="1" l="1"/>
  <c r="J61" i="1" s="1"/>
  <c r="K60" i="1"/>
  <c r="K61" i="1" s="1"/>
  <c r="G20" i="1" l="1"/>
  <c r="H20" i="1"/>
  <c r="I20" i="1"/>
  <c r="J20" i="1"/>
  <c r="K20" i="1"/>
  <c r="G21" i="1"/>
  <c r="H21" i="1"/>
  <c r="I21" i="1"/>
  <c r="J21" i="1"/>
  <c r="K21" i="1"/>
  <c r="G23" i="1"/>
  <c r="H23" i="1"/>
  <c r="I23" i="1"/>
  <c r="J23" i="1"/>
  <c r="K23" i="1"/>
  <c r="G24" i="1"/>
  <c r="H24" i="1"/>
  <c r="I24" i="1"/>
  <c r="J24" i="1"/>
  <c r="K24" i="1"/>
  <c r="G25" i="1"/>
  <c r="H25" i="1"/>
  <c r="I25" i="1"/>
  <c r="J25" i="1"/>
  <c r="K25" i="1"/>
  <c r="G27" i="1"/>
  <c r="H27" i="1"/>
  <c r="I27" i="1"/>
  <c r="J27" i="1"/>
  <c r="K27" i="1"/>
  <c r="G28" i="1"/>
  <c r="H28" i="1"/>
  <c r="I28" i="1"/>
  <c r="J28" i="1"/>
  <c r="K28" i="1"/>
  <c r="G29" i="1"/>
  <c r="H29" i="1"/>
  <c r="I29" i="1"/>
  <c r="J29" i="1"/>
  <c r="K29" i="1"/>
  <c r="G30" i="1"/>
  <c r="H30" i="1"/>
  <c r="I30" i="1"/>
  <c r="J30" i="1"/>
  <c r="K30" i="1"/>
  <c r="G32" i="1"/>
  <c r="H32" i="1"/>
  <c r="I32" i="1"/>
  <c r="J32" i="1"/>
  <c r="K32" i="1"/>
  <c r="G33" i="1"/>
  <c r="H33" i="1"/>
  <c r="I33" i="1"/>
  <c r="J33" i="1"/>
  <c r="K33" i="1"/>
  <c r="G34" i="1"/>
  <c r="H34" i="1"/>
  <c r="I34" i="1"/>
  <c r="J34" i="1"/>
  <c r="K34" i="1"/>
  <c r="G39" i="1"/>
  <c r="H39" i="1"/>
  <c r="I39" i="1"/>
  <c r="J39" i="1"/>
  <c r="K39" i="1"/>
  <c r="G44" i="1"/>
  <c r="H44" i="1"/>
  <c r="I44" i="1"/>
  <c r="J44" i="1"/>
  <c r="K44" i="1"/>
  <c r="G46" i="1"/>
  <c r="H46" i="1"/>
  <c r="I46" i="1"/>
  <c r="J46" i="1"/>
  <c r="K46" i="1"/>
  <c r="G47" i="1"/>
  <c r="H47" i="1"/>
  <c r="I47" i="1"/>
  <c r="J47" i="1"/>
  <c r="K47" i="1"/>
  <c r="G50" i="1"/>
  <c r="H50" i="1"/>
  <c r="I50" i="1"/>
  <c r="J50" i="1"/>
  <c r="K50" i="1"/>
  <c r="H65" i="1"/>
  <c r="I65" i="1"/>
  <c r="J65" i="1"/>
  <c r="K65" i="1"/>
  <c r="H66" i="1"/>
  <c r="I66" i="1"/>
  <c r="J66" i="1"/>
  <c r="K66" i="1"/>
  <c r="G68" i="1"/>
  <c r="H68" i="1"/>
  <c r="I68" i="1"/>
  <c r="J68" i="1"/>
  <c r="K68" i="1"/>
  <c r="G70" i="1"/>
  <c r="H70" i="1"/>
  <c r="I70" i="1"/>
  <c r="J70" i="1"/>
  <c r="K70" i="1"/>
  <c r="G71" i="1"/>
  <c r="H71" i="1"/>
  <c r="I71" i="1"/>
  <c r="J71" i="1"/>
  <c r="K71" i="1"/>
  <c r="G72" i="1"/>
  <c r="H72" i="1"/>
  <c r="I72" i="1"/>
  <c r="J72" i="1"/>
  <c r="K72" i="1"/>
  <c r="G77" i="1"/>
  <c r="H77" i="1"/>
  <c r="I77" i="1"/>
  <c r="J77" i="1"/>
  <c r="K77" i="1"/>
  <c r="G78" i="1"/>
  <c r="H78" i="1"/>
  <c r="I78" i="1"/>
  <c r="J78" i="1"/>
  <c r="K78" i="1"/>
  <c r="G79" i="1"/>
  <c r="H79" i="1"/>
  <c r="I79" i="1"/>
  <c r="J79" i="1"/>
  <c r="K79" i="1"/>
  <c r="G80" i="1"/>
  <c r="H80" i="1"/>
  <c r="I80" i="1"/>
  <c r="J80" i="1"/>
  <c r="K80" i="1"/>
  <c r="G81" i="1"/>
  <c r="H81" i="1"/>
  <c r="I81" i="1"/>
  <c r="J81" i="1"/>
  <c r="K81" i="1"/>
  <c r="G82" i="1"/>
  <c r="H82" i="1"/>
  <c r="I82" i="1"/>
  <c r="J82" i="1"/>
  <c r="K82" i="1"/>
  <c r="G83" i="1"/>
  <c r="H83" i="1"/>
  <c r="I83" i="1"/>
  <c r="J83" i="1"/>
  <c r="K83" i="1"/>
  <c r="G86" i="1"/>
  <c r="H86" i="1"/>
  <c r="I86" i="1"/>
  <c r="J86" i="1"/>
  <c r="K86" i="1"/>
  <c r="G87" i="1"/>
  <c r="H87" i="1"/>
  <c r="I87" i="1"/>
  <c r="J87" i="1"/>
  <c r="K87" i="1"/>
  <c r="G88" i="1"/>
  <c r="H88" i="1"/>
  <c r="I88" i="1"/>
  <c r="J88" i="1"/>
  <c r="K88" i="1"/>
  <c r="G89" i="1"/>
  <c r="H89" i="1"/>
  <c r="I89" i="1"/>
  <c r="J89" i="1"/>
  <c r="K89" i="1"/>
  <c r="G90" i="1"/>
  <c r="H90" i="1"/>
  <c r="I90" i="1"/>
  <c r="J90" i="1"/>
  <c r="K90" i="1"/>
  <c r="G91" i="1"/>
  <c r="H91" i="1"/>
  <c r="I91" i="1"/>
  <c r="J91" i="1"/>
  <c r="K91" i="1"/>
  <c r="G92" i="1"/>
  <c r="H92" i="1"/>
  <c r="I92" i="1"/>
  <c r="J92" i="1"/>
  <c r="K92" i="1"/>
  <c r="G94" i="1"/>
  <c r="H94" i="1"/>
  <c r="I94" i="1"/>
  <c r="J94" i="1"/>
  <c r="K94" i="1"/>
  <c r="G95" i="1"/>
  <c r="H95" i="1"/>
  <c r="I95" i="1"/>
  <c r="J95" i="1"/>
  <c r="K95" i="1"/>
  <c r="G96" i="1"/>
  <c r="H96" i="1"/>
  <c r="I96" i="1"/>
  <c r="J96" i="1"/>
  <c r="K96" i="1"/>
  <c r="G98" i="1"/>
  <c r="H98" i="1"/>
  <c r="I98" i="1"/>
  <c r="J98" i="1"/>
  <c r="K98" i="1"/>
  <c r="G100" i="1"/>
  <c r="H100" i="1"/>
  <c r="I100" i="1"/>
  <c r="J100" i="1"/>
  <c r="K100" i="1"/>
  <c r="G105" i="1"/>
  <c r="H105" i="1"/>
  <c r="I105" i="1"/>
  <c r="J105" i="1"/>
  <c r="K105" i="1"/>
  <c r="G106" i="1"/>
  <c r="H106" i="1"/>
  <c r="I106" i="1"/>
  <c r="J106" i="1"/>
  <c r="K106" i="1"/>
  <c r="G107" i="1"/>
  <c r="H107" i="1"/>
  <c r="I107" i="1"/>
  <c r="J107" i="1"/>
  <c r="K107" i="1"/>
  <c r="G108" i="1"/>
  <c r="H108" i="1"/>
  <c r="I108" i="1"/>
  <c r="J108" i="1"/>
  <c r="K108" i="1"/>
  <c r="G109" i="1"/>
  <c r="H109" i="1"/>
  <c r="I109" i="1"/>
  <c r="J109" i="1"/>
  <c r="K109" i="1"/>
  <c r="G110" i="1"/>
  <c r="H110" i="1"/>
  <c r="I110" i="1"/>
  <c r="J110" i="1"/>
  <c r="K110" i="1"/>
  <c r="G113" i="1"/>
  <c r="H113" i="1"/>
  <c r="I113" i="1"/>
  <c r="J113" i="1"/>
  <c r="K113" i="1"/>
  <c r="G115" i="1"/>
  <c r="H115" i="1"/>
  <c r="I115" i="1"/>
  <c r="J115" i="1"/>
  <c r="K115" i="1"/>
  <c r="G118" i="1"/>
  <c r="H118" i="1"/>
  <c r="I118" i="1"/>
  <c r="J118" i="1"/>
  <c r="K118" i="1"/>
  <c r="G119" i="1"/>
  <c r="H119" i="1"/>
  <c r="I119" i="1"/>
  <c r="J119" i="1"/>
  <c r="K119" i="1"/>
  <c r="G120" i="1"/>
  <c r="H120" i="1"/>
  <c r="I120" i="1"/>
  <c r="J120" i="1"/>
  <c r="K120" i="1"/>
  <c r="G121" i="1"/>
  <c r="H121" i="1"/>
  <c r="I121" i="1"/>
  <c r="J121" i="1"/>
  <c r="K121" i="1"/>
  <c r="G122" i="1"/>
  <c r="H122" i="1"/>
  <c r="I122" i="1"/>
  <c r="J122" i="1"/>
  <c r="K122" i="1"/>
  <c r="G123" i="1"/>
  <c r="H123" i="1"/>
  <c r="I123" i="1"/>
  <c r="J123" i="1"/>
  <c r="K123" i="1"/>
  <c r="G125" i="1"/>
  <c r="H125" i="1"/>
  <c r="I125" i="1"/>
  <c r="J125" i="1"/>
  <c r="K125" i="1"/>
  <c r="G127" i="1"/>
  <c r="H127" i="1"/>
  <c r="I127" i="1"/>
  <c r="J127" i="1"/>
  <c r="K1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subi s sabu</author>
  </authors>
  <commentList>
    <comment ref="G6" authorId="0" shapeId="0" xr:uid="{9B569CC9-6251-44C5-A7A7-1C009211E842}">
      <text>
        <r>
          <rPr>
            <b/>
            <sz val="9"/>
            <color indexed="81"/>
            <rFont val="Tahoma"/>
            <family val="2"/>
          </rPr>
          <t>OTIS Investor Presentation</t>
        </r>
        <r>
          <rPr>
            <sz val="9"/>
            <color indexed="81"/>
            <rFont val="Tahoma"/>
            <family val="2"/>
          </rPr>
          <t xml:space="preserve">
</t>
        </r>
      </text>
    </comment>
    <comment ref="G90" authorId="0" shapeId="0" xr:uid="{5C1A21D7-41CB-4B80-B6F5-886665A5E8DC}">
      <text>
        <r>
          <rPr>
            <sz val="9"/>
            <color indexed="81"/>
            <rFont val="Tahoma"/>
            <family val="2"/>
          </rPr>
          <t>Under US GAAP, this is forecasted by taking FY 21  Op Lease Liability and suming it with the difference of Op Lease Assets of FY 22 and FY 21 (this year and previous year).</t>
        </r>
      </text>
    </comment>
  </commentList>
</comments>
</file>

<file path=xl/sharedStrings.xml><?xml version="1.0" encoding="utf-8"?>
<sst xmlns="http://schemas.openxmlformats.org/spreadsheetml/2006/main" count="103" uniqueCount="95">
  <si>
    <t>Income Statement</t>
  </si>
  <si>
    <t>Products</t>
  </si>
  <si>
    <t>Services</t>
  </si>
  <si>
    <t>Total Revenue</t>
  </si>
  <si>
    <t>Cost of Products</t>
  </si>
  <si>
    <t>Operating Expenses</t>
  </si>
  <si>
    <t>Operating Income</t>
  </si>
  <si>
    <t>Other Income/ (Expense)</t>
  </si>
  <si>
    <t>Non-Service Pension Expense</t>
  </si>
  <si>
    <t>Interest Income/ (Expense)</t>
  </si>
  <si>
    <t xml:space="preserve">Pre Tax Income </t>
  </si>
  <si>
    <t>Income Taxes</t>
  </si>
  <si>
    <t>Net Income</t>
  </si>
  <si>
    <t>(-) NCI Net Income</t>
  </si>
  <si>
    <t>Net Income to Parent</t>
  </si>
  <si>
    <t>Cost of Services</t>
  </si>
  <si>
    <t>Balance Sheet</t>
  </si>
  <si>
    <t>Assets</t>
  </si>
  <si>
    <t>Cash and cash equivalents</t>
  </si>
  <si>
    <t>Total Assets</t>
  </si>
  <si>
    <t>Liabilities and (Deficit) Equity</t>
  </si>
  <si>
    <t>Accounts payable</t>
  </si>
  <si>
    <t>Accrued liabilities</t>
  </si>
  <si>
    <t>Contract liabilities</t>
  </si>
  <si>
    <t>Accounts receivables</t>
  </si>
  <si>
    <t>Inventory &amp; Other</t>
  </si>
  <si>
    <t>Net PP&amp;E, Goodwill &amp; Intangibles</t>
  </si>
  <si>
    <t>Op. Lease Assets</t>
  </si>
  <si>
    <t>Other Assets</t>
  </si>
  <si>
    <t>Total Liabilities</t>
  </si>
  <si>
    <t>Total Debt</t>
  </si>
  <si>
    <t>Op. Lease Liabilities</t>
  </si>
  <si>
    <t>Other Liabilties</t>
  </si>
  <si>
    <t>Common Shareholders' Equity</t>
  </si>
  <si>
    <t>Noncontrolling Interests</t>
  </si>
  <si>
    <t>Total Equity</t>
  </si>
  <si>
    <t>#</t>
  </si>
  <si>
    <t>Total Liabilities + Equity</t>
  </si>
  <si>
    <t>Balance Check</t>
  </si>
  <si>
    <t>Cash Flow Statement</t>
  </si>
  <si>
    <t>Operating Activities:</t>
  </si>
  <si>
    <t>Net income to Parent</t>
  </si>
  <si>
    <t>(+/-) Reversal of NCI Net Income</t>
  </si>
  <si>
    <t>(+) D&amp;A</t>
  </si>
  <si>
    <t>(+/-) Pensions/ Other Items</t>
  </si>
  <si>
    <t>(+/-) Change in WC &amp; Leases</t>
  </si>
  <si>
    <t>Cash Flow from Operations</t>
  </si>
  <si>
    <t>Investing Activities</t>
  </si>
  <si>
    <t>(-) CapEx</t>
  </si>
  <si>
    <t>(-) Acquisitions &amp; Other</t>
  </si>
  <si>
    <t>Cash Flow from Investing</t>
  </si>
  <si>
    <t>Financing Activities</t>
  </si>
  <si>
    <t>(+-) Change in Debt</t>
  </si>
  <si>
    <t>(-) Common Dividends</t>
  </si>
  <si>
    <t>(-) Stock Repurchases</t>
  </si>
  <si>
    <t>(-) Dividends to NCI</t>
  </si>
  <si>
    <t>Cash Flow from Financing</t>
  </si>
  <si>
    <t xml:space="preserve">(+/-) Other </t>
  </si>
  <si>
    <t>Foreign Exchange Effects</t>
  </si>
  <si>
    <t>Net Change in Cash</t>
  </si>
  <si>
    <t>Drivers</t>
  </si>
  <si>
    <t>New Equipment Market Size</t>
  </si>
  <si>
    <t>Growth Rate</t>
  </si>
  <si>
    <t>New Equipment Market Share</t>
  </si>
  <si>
    <t>Services Units (Maintenance)</t>
  </si>
  <si>
    <t>Revenue per Service Unit</t>
  </si>
  <si>
    <t>Product - COGS % Revenue</t>
  </si>
  <si>
    <t>Services - COGS % Revenue</t>
  </si>
  <si>
    <t>Tax Rate</t>
  </si>
  <si>
    <t>OpEx % Total Revenue</t>
  </si>
  <si>
    <t>NCI Net Income % Net Income</t>
  </si>
  <si>
    <t>Accounts receivables % Revenue</t>
  </si>
  <si>
    <t>Inventory &amp; Other % COGS</t>
  </si>
  <si>
    <t>Op. Lease Assets % OpEx</t>
  </si>
  <si>
    <t>Accounts payable % COGS</t>
  </si>
  <si>
    <t>Accrued liabilities % Total Expenses</t>
  </si>
  <si>
    <t>Contract liabilities % Total Expenses</t>
  </si>
  <si>
    <t>Other Liabilities % Total Expenses</t>
  </si>
  <si>
    <t>CapEx % Revenue</t>
  </si>
  <si>
    <t>D&amp;A % Revenue</t>
  </si>
  <si>
    <t>Acquisitions &amp; Other</t>
  </si>
  <si>
    <t>Change in Debt</t>
  </si>
  <si>
    <t>Stock Repurchases</t>
  </si>
  <si>
    <t>FX Rate Effects % Revenue</t>
  </si>
  <si>
    <t>Pensions/Other Items % Revenue</t>
  </si>
  <si>
    <t>Dividends % Net Income</t>
  </si>
  <si>
    <t>NCI Dividends to % Net Income</t>
  </si>
  <si>
    <t>Minimum Cash</t>
  </si>
  <si>
    <t>Excess Cash Flow</t>
  </si>
  <si>
    <t>% Stock Repurchases</t>
  </si>
  <si>
    <t>% Debt Repayment</t>
  </si>
  <si>
    <t>Other Items % Debt Issuances</t>
  </si>
  <si>
    <t>Interest Expense % Debt</t>
  </si>
  <si>
    <t>OTIS WORLDWIDE CORPORATION - THREE STATEMENT MODEL</t>
  </si>
  <si>
    <t>All figures in millions of  U.S.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</si>
</sst>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FY&quot;\ yy"/>
    <numFmt numFmtId="165" formatCode="0.0%"/>
    <numFmt numFmtId="166" formatCode="#,##0_);\(#,##0\);\-"/>
    <numFmt numFmtId="167" formatCode="yyyy&quot;F&quot;"/>
    <numFmt numFmtId="168" formatCode="\ yyyy&quot;A&quot;"/>
  </numFmts>
  <fonts count="17" x14ac:knownFonts="1">
    <font>
      <sz val="11"/>
      <color theme="1"/>
      <name val="Times New Roman"/>
      <family val="2"/>
    </font>
    <font>
      <sz val="11"/>
      <color theme="1"/>
      <name val="Times New Roman"/>
      <family val="2"/>
    </font>
    <font>
      <b/>
      <sz val="11"/>
      <color theme="1"/>
      <name val="Times New Roman"/>
      <family val="1"/>
    </font>
    <font>
      <sz val="11"/>
      <color theme="1"/>
      <name val="Times New Roman"/>
      <family val="1"/>
    </font>
    <font>
      <b/>
      <i/>
      <sz val="11"/>
      <color theme="1"/>
      <name val="Times New Roman"/>
      <family val="1"/>
    </font>
    <font>
      <b/>
      <sz val="11"/>
      <color indexed="8"/>
      <name val="Times New Roman"/>
      <family val="1"/>
    </font>
    <font>
      <b/>
      <sz val="12"/>
      <color theme="0"/>
      <name val="Times New Roman"/>
      <family val="1"/>
    </font>
    <font>
      <b/>
      <sz val="11"/>
      <color theme="0"/>
      <name val="Times New Roman"/>
      <family val="1"/>
    </font>
    <font>
      <i/>
      <sz val="11"/>
      <color indexed="8"/>
      <name val="Calibri"/>
      <family val="2"/>
      <charset val="1"/>
    </font>
    <font>
      <sz val="11"/>
      <color rgb="FF0000FF"/>
      <name val="Times New Roman"/>
      <family val="1"/>
    </font>
    <font>
      <sz val="9"/>
      <color indexed="81"/>
      <name val="Tahoma"/>
      <family val="2"/>
    </font>
    <font>
      <b/>
      <sz val="9"/>
      <color indexed="81"/>
      <name val="Tahoma"/>
      <family val="2"/>
    </font>
    <font>
      <i/>
      <sz val="11"/>
      <color theme="1"/>
      <name val="Times New Roman"/>
      <family val="1"/>
    </font>
    <font>
      <sz val="11"/>
      <name val="Times New Roman"/>
      <family val="1"/>
    </font>
    <font>
      <b/>
      <sz val="11"/>
      <name val="Times New Roman"/>
      <family val="1"/>
    </font>
    <font>
      <b/>
      <sz val="12"/>
      <color rgb="FFFFFFFF"/>
      <name val="Times New Roman"/>
      <family val="1"/>
    </font>
    <font>
      <i/>
      <sz val="9"/>
      <color theme="1"/>
      <name val="Times New Roman"/>
      <family val="1"/>
    </font>
  </fonts>
  <fills count="7">
    <fill>
      <patternFill patternType="none"/>
    </fill>
    <fill>
      <patternFill patternType="gray125"/>
    </fill>
    <fill>
      <patternFill patternType="solid">
        <fgColor rgb="FF000066"/>
        <bgColor indexed="64"/>
      </patternFill>
    </fill>
    <fill>
      <patternFill patternType="solid">
        <fgColor rgb="FFFFFF00"/>
        <bgColor indexed="64"/>
      </patternFill>
    </fill>
    <fill>
      <patternFill patternType="solid">
        <fgColor theme="2"/>
        <bgColor indexed="64"/>
      </patternFill>
    </fill>
    <fill>
      <patternFill patternType="solid">
        <fgColor theme="0"/>
        <bgColor indexed="64"/>
      </patternFill>
    </fill>
    <fill>
      <patternFill patternType="solid">
        <fgColor rgb="FF227ACB"/>
        <bgColor indexed="64"/>
      </patternFill>
    </fill>
  </fills>
  <borders count="2">
    <border>
      <left/>
      <right/>
      <top/>
      <bottom/>
      <diagonal/>
    </border>
    <border>
      <left/>
      <right/>
      <top style="thin">
        <color auto="1"/>
      </top>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2" fillId="0" borderId="0" xfId="0" applyFont="1"/>
    <xf numFmtId="0" fontId="3" fillId="0" borderId="0" xfId="0" applyFont="1"/>
    <xf numFmtId="0" fontId="0" fillId="0" borderId="0" xfId="0" applyAlignment="1">
      <alignment horizontal="left" indent="1"/>
    </xf>
    <xf numFmtId="0" fontId="2" fillId="0" borderId="1" xfId="0" applyFont="1" applyBorder="1"/>
    <xf numFmtId="37" fontId="2" fillId="0" borderId="1" xfId="0" applyNumberFormat="1" applyFont="1" applyBorder="1"/>
    <xf numFmtId="37" fontId="2" fillId="0" borderId="0" xfId="0" applyNumberFormat="1" applyFont="1"/>
    <xf numFmtId="0" fontId="4" fillId="0" borderId="0" xfId="0" applyFont="1"/>
    <xf numFmtId="0" fontId="3" fillId="0" borderId="0" xfId="0" applyFont="1" applyAlignment="1">
      <alignment horizontal="left" indent="1"/>
    </xf>
    <xf numFmtId="37" fontId="3" fillId="0" borderId="0" xfId="0" applyNumberFormat="1" applyFont="1"/>
    <xf numFmtId="0" fontId="5" fillId="0" borderId="0" xfId="0" applyFont="1"/>
    <xf numFmtId="3" fontId="3" fillId="0" borderId="0" xfId="0" applyNumberFormat="1" applyFont="1"/>
    <xf numFmtId="164" fontId="7" fillId="2" borderId="0" xfId="0" applyNumberFormat="1" applyFont="1" applyFill="1"/>
    <xf numFmtId="0" fontId="8" fillId="0" borderId="0" xfId="0" applyFont="1"/>
    <xf numFmtId="0" fontId="2" fillId="0" borderId="0" xfId="0" applyFont="1" applyAlignment="1">
      <alignment horizontal="left" indent="1"/>
    </xf>
    <xf numFmtId="0" fontId="6" fillId="2" borderId="0" xfId="0" applyFont="1" applyFill="1" applyAlignment="1">
      <alignment horizontal="left" vertical="top"/>
    </xf>
    <xf numFmtId="165" fontId="3" fillId="0" borderId="0" xfId="1" applyNumberFormat="1" applyFont="1"/>
    <xf numFmtId="165" fontId="9" fillId="0" borderId="0" xfId="0" applyNumberFormat="1" applyFont="1"/>
    <xf numFmtId="165" fontId="9" fillId="0" borderId="0" xfId="1" applyNumberFormat="1" applyFont="1" applyBorder="1"/>
    <xf numFmtId="2" fontId="3" fillId="0" borderId="0" xfId="0" applyNumberFormat="1" applyFont="1"/>
    <xf numFmtId="2" fontId="9" fillId="0" borderId="0" xfId="0" applyNumberFormat="1" applyFont="1"/>
    <xf numFmtId="0" fontId="12" fillId="0" borderId="0" xfId="0" applyFont="1"/>
    <xf numFmtId="165" fontId="13" fillId="0" borderId="0" xfId="1" applyNumberFormat="1" applyFont="1" applyBorder="1"/>
    <xf numFmtId="37" fontId="9" fillId="0" borderId="0" xfId="0" applyNumberFormat="1" applyFont="1"/>
    <xf numFmtId="0" fontId="3" fillId="0" borderId="0" xfId="0" applyFont="1" applyAlignment="1">
      <alignment vertical="top"/>
    </xf>
    <xf numFmtId="39" fontId="3" fillId="0" borderId="0" xfId="0" applyNumberFormat="1" applyFont="1"/>
    <xf numFmtId="39" fontId="9" fillId="0" borderId="0" xfId="0" applyNumberFormat="1" applyFont="1"/>
    <xf numFmtId="165" fontId="9" fillId="0" borderId="0" xfId="1" applyNumberFormat="1" applyFont="1"/>
    <xf numFmtId="0" fontId="14" fillId="0" borderId="0" xfId="0" applyFont="1"/>
    <xf numFmtId="166" fontId="14" fillId="0" borderId="0" xfId="0" applyNumberFormat="1" applyFont="1" applyAlignment="1">
      <alignment horizontal="center" vertical="center"/>
    </xf>
    <xf numFmtId="9" fontId="9" fillId="0" borderId="0" xfId="1" applyFont="1"/>
    <xf numFmtId="0" fontId="3" fillId="4" borderId="0" xfId="0" applyFont="1" applyFill="1"/>
    <xf numFmtId="3" fontId="3" fillId="4" borderId="0" xfId="0" applyNumberFormat="1" applyFont="1" applyFill="1"/>
    <xf numFmtId="37" fontId="2" fillId="4" borderId="1" xfId="0" applyNumberFormat="1" applyFont="1" applyFill="1" applyBorder="1"/>
    <xf numFmtId="0" fontId="2" fillId="4" borderId="0" xfId="0" applyFont="1" applyFill="1"/>
    <xf numFmtId="0" fontId="3" fillId="5" borderId="0" xfId="0" applyFont="1" applyFill="1"/>
    <xf numFmtId="164" fontId="7" fillId="5" borderId="0" xfId="0" applyNumberFormat="1" applyFont="1" applyFill="1"/>
    <xf numFmtId="0" fontId="2" fillId="5" borderId="0" xfId="0" applyFont="1" applyFill="1"/>
    <xf numFmtId="9" fontId="2" fillId="0" borderId="1" xfId="0" applyNumberFormat="1" applyFont="1" applyBorder="1"/>
    <xf numFmtId="0" fontId="14" fillId="3" borderId="0" xfId="0" applyFont="1" applyFill="1"/>
    <xf numFmtId="166" fontId="14" fillId="3" borderId="0" xfId="0" applyNumberFormat="1" applyFont="1" applyFill="1" applyAlignment="1">
      <alignment horizontal="center" vertical="center"/>
    </xf>
    <xf numFmtId="167" fontId="7" fillId="2" borderId="0" xfId="0" applyNumberFormat="1" applyFont="1" applyFill="1"/>
    <xf numFmtId="168" fontId="7" fillId="2" borderId="0" xfId="0" applyNumberFormat="1" applyFont="1" applyFill="1"/>
    <xf numFmtId="0" fontId="15" fillId="0" borderId="0" xfId="0" applyFont="1" applyAlignment="1">
      <alignment horizontal="center"/>
    </xf>
    <xf numFmtId="0" fontId="16" fillId="0" borderId="0" xfId="0" applyFont="1"/>
    <xf numFmtId="3" fontId="9" fillId="0" borderId="0" xfId="0" applyNumberFormat="1" applyFont="1"/>
    <xf numFmtId="0" fontId="15" fillId="6" borderId="0" xfId="0" applyFont="1" applyFill="1" applyAlignment="1">
      <alignment horizontal="center"/>
    </xf>
    <xf numFmtId="165" fontId="3" fillId="4" borderId="0" xfId="1" applyNumberFormat="1" applyFont="1" applyFill="1"/>
  </cellXfs>
  <cellStyles count="2">
    <cellStyle name="Normal" xfId="0" builtinId="0"/>
    <cellStyle name="Percent" xfId="1" builtinId="5"/>
  </cellStyles>
  <dxfs count="0"/>
  <tableStyles count="0" defaultTableStyle="TableStyleMedium2" defaultPivotStyle="PivotStyleLight16"/>
  <colors>
    <mruColors>
      <color rgb="FF0000FF"/>
      <color rgb="FFFFFFFF"/>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6C8B-79F2-4533-A363-5285BFAA7300}">
  <dimension ref="A1:L157"/>
  <sheetViews>
    <sheetView showGridLines="0" tabSelected="1" topLeftCell="A21" zoomScaleNormal="82" workbookViewId="0">
      <selection activeCell="A39" sqref="A39"/>
    </sheetView>
  </sheetViews>
  <sheetFormatPr defaultRowHeight="13.8" x14ac:dyDescent="0.25"/>
  <cols>
    <col min="1" max="1" width="1.88671875" style="2" customWidth="1"/>
    <col min="2" max="2" width="31.44140625" style="2" bestFit="1" customWidth="1"/>
    <col min="3" max="3" width="8" style="2" bestFit="1" customWidth="1"/>
    <col min="4" max="4" width="9.6640625" style="2" bestFit="1" customWidth="1"/>
    <col min="5" max="5" width="8" style="2" bestFit="1" customWidth="1"/>
    <col min="6" max="6" width="2" style="2" customWidth="1"/>
    <col min="7" max="7" width="7.6640625" style="2" bestFit="1" customWidth="1"/>
    <col min="8" max="10" width="7.5546875" style="2" bestFit="1" customWidth="1"/>
    <col min="11" max="11" width="9.21875" style="2" bestFit="1" customWidth="1"/>
    <col min="12" max="16384" width="8.88671875" style="2"/>
  </cols>
  <sheetData>
    <row r="1" spans="1:11" ht="15.6" x14ac:dyDescent="0.3">
      <c r="B1" s="46" t="s">
        <v>93</v>
      </c>
      <c r="C1" s="46"/>
      <c r="D1" s="46"/>
      <c r="E1" s="46"/>
      <c r="F1" s="46"/>
      <c r="G1" s="46"/>
      <c r="H1" s="46"/>
      <c r="I1" s="46"/>
      <c r="J1" s="46"/>
      <c r="K1" s="46"/>
    </row>
    <row r="2" spans="1:11" ht="15.6" x14ac:dyDescent="0.3">
      <c r="B2" s="43"/>
      <c r="C2" s="43"/>
      <c r="D2" s="43"/>
      <c r="E2" s="43"/>
      <c r="F2" s="43"/>
      <c r="G2" s="43"/>
      <c r="H2" s="43"/>
      <c r="I2" s="43"/>
      <c r="J2" s="43"/>
      <c r="K2" s="43"/>
    </row>
    <row r="3" spans="1:11" ht="15.6" x14ac:dyDescent="0.25">
      <c r="A3" s="2" t="s">
        <v>36</v>
      </c>
      <c r="B3" s="15" t="s">
        <v>60</v>
      </c>
      <c r="C3" s="42">
        <v>43830</v>
      </c>
      <c r="D3" s="42">
        <f>EOMONTH(C3,12)</f>
        <v>44196</v>
      </c>
      <c r="E3" s="42">
        <f t="shared" ref="E3:K3" si="0">EOMONTH(D3,12)</f>
        <v>44561</v>
      </c>
      <c r="F3" s="12"/>
      <c r="G3" s="41">
        <f>EOMONTH(E3,12)</f>
        <v>44926</v>
      </c>
      <c r="H3" s="41">
        <f t="shared" si="0"/>
        <v>45291</v>
      </c>
      <c r="I3" s="41">
        <f t="shared" si="0"/>
        <v>45657</v>
      </c>
      <c r="J3" s="41">
        <f t="shared" si="0"/>
        <v>46022</v>
      </c>
      <c r="K3" s="41">
        <f t="shared" si="0"/>
        <v>46387</v>
      </c>
    </row>
    <row r="4" spans="1:11" x14ac:dyDescent="0.25">
      <c r="B4" s="44" t="s">
        <v>94</v>
      </c>
    </row>
    <row r="5" spans="1:11" x14ac:dyDescent="0.25">
      <c r="B5" s="2" t="s">
        <v>61</v>
      </c>
      <c r="C5" s="9">
        <f>C54/C8</f>
        <v>35300</v>
      </c>
      <c r="D5" s="9">
        <f>D54/D8</f>
        <v>31594.117647058822</v>
      </c>
      <c r="E5" s="9">
        <f>E54/E8</f>
        <v>35711.111111111109</v>
      </c>
      <c r="F5" s="9"/>
      <c r="G5" s="9">
        <f>E5*(1+G6)</f>
        <v>37496.666666666664</v>
      </c>
      <c r="H5" s="9">
        <f t="shared" ref="H5:K5" si="1">G5*(1+H6)</f>
        <v>39371.5</v>
      </c>
      <c r="I5" s="9">
        <f t="shared" si="1"/>
        <v>40946.36</v>
      </c>
      <c r="J5" s="9">
        <f t="shared" si="1"/>
        <v>42584.214400000004</v>
      </c>
      <c r="K5" s="9">
        <f t="shared" si="1"/>
        <v>43861.740832000003</v>
      </c>
    </row>
    <row r="6" spans="1:11" s="21" customFormat="1" x14ac:dyDescent="0.25">
      <c r="B6" s="8" t="s">
        <v>62</v>
      </c>
      <c r="C6" s="2"/>
      <c r="D6" s="16">
        <f>D5/C5-1</f>
        <v>-0.10498250291618072</v>
      </c>
      <c r="E6" s="16">
        <f t="shared" ref="E6" si="2">E5/D5-1</f>
        <v>0.13030886034051181</v>
      </c>
      <c r="F6" s="16"/>
      <c r="G6" s="18">
        <v>0.05</v>
      </c>
      <c r="H6" s="18">
        <v>0.05</v>
      </c>
      <c r="I6" s="18">
        <v>0.04</v>
      </c>
      <c r="J6" s="18">
        <v>0.04</v>
      </c>
      <c r="K6" s="18">
        <v>0.03</v>
      </c>
    </row>
    <row r="8" spans="1:11" x14ac:dyDescent="0.25">
      <c r="B8" s="2" t="s">
        <v>63</v>
      </c>
      <c r="C8" s="17">
        <v>0.16</v>
      </c>
      <c r="D8" s="17">
        <v>0.17</v>
      </c>
      <c r="E8" s="17">
        <v>0.18</v>
      </c>
      <c r="F8" s="17"/>
      <c r="G8" s="17">
        <v>0.18</v>
      </c>
      <c r="H8" s="17">
        <v>0.182</v>
      </c>
      <c r="I8" s="17">
        <v>0.184</v>
      </c>
      <c r="J8" s="17">
        <v>0.185</v>
      </c>
      <c r="K8" s="17">
        <v>0.185</v>
      </c>
    </row>
    <row r="10" spans="1:11" x14ac:dyDescent="0.25">
      <c r="B10" s="2" t="s">
        <v>64</v>
      </c>
      <c r="C10" s="20">
        <v>2</v>
      </c>
      <c r="D10" s="20">
        <v>2.1</v>
      </c>
      <c r="E10" s="20">
        <v>2.15</v>
      </c>
      <c r="F10" s="20"/>
      <c r="G10" s="19">
        <f>E10*(1+G11)</f>
        <v>2.2145000000000001</v>
      </c>
      <c r="H10" s="19">
        <f t="shared" ref="H10:K10" si="3">G10*(1+H11)</f>
        <v>2.2809350000000004</v>
      </c>
      <c r="I10" s="19">
        <f t="shared" si="3"/>
        <v>2.3493630500000005</v>
      </c>
      <c r="J10" s="19">
        <f t="shared" si="3"/>
        <v>2.4198439415000004</v>
      </c>
      <c r="K10" s="19">
        <f t="shared" si="3"/>
        <v>2.4924392597450002</v>
      </c>
    </row>
    <row r="11" spans="1:11" s="21" customFormat="1" x14ac:dyDescent="0.25">
      <c r="B11" s="8" t="s">
        <v>62</v>
      </c>
      <c r="C11" s="2"/>
      <c r="D11" s="16">
        <f>D10/C10-1</f>
        <v>5.0000000000000044E-2</v>
      </c>
      <c r="E11" s="16">
        <f t="shared" ref="E11" si="4">E10/D10-1</f>
        <v>2.3809523809523725E-2</v>
      </c>
      <c r="F11" s="16"/>
      <c r="G11" s="18">
        <v>0.03</v>
      </c>
      <c r="H11" s="18">
        <v>0.03</v>
      </c>
      <c r="I11" s="18">
        <v>0.03</v>
      </c>
      <c r="J11" s="18">
        <v>0.03</v>
      </c>
      <c r="K11" s="18">
        <v>0.03</v>
      </c>
    </row>
    <row r="13" spans="1:11" x14ac:dyDescent="0.25">
      <c r="B13" s="2" t="s">
        <v>65</v>
      </c>
      <c r="C13" s="9">
        <f>C55/C10</f>
        <v>3735</v>
      </c>
      <c r="D13" s="9">
        <f>D55/D10</f>
        <v>3516.6666666666665</v>
      </c>
      <c r="E13" s="9">
        <f>E55/E10</f>
        <v>3660.4651162790701</v>
      </c>
      <c r="F13" s="9"/>
      <c r="G13" s="9">
        <f>E13*(1+G14)</f>
        <v>3806.8837209302333</v>
      </c>
      <c r="H13" s="9">
        <f t="shared" ref="H13:K13" si="5">G13*(1+H14)</f>
        <v>3940.124651162791</v>
      </c>
      <c r="I13" s="9">
        <f t="shared" si="5"/>
        <v>4078.0290139534882</v>
      </c>
      <c r="J13" s="9">
        <f t="shared" si="5"/>
        <v>4200.3698843720931</v>
      </c>
      <c r="K13" s="9">
        <f t="shared" si="5"/>
        <v>4326.3809809032564</v>
      </c>
    </row>
    <row r="14" spans="1:11" s="21" customFormat="1" x14ac:dyDescent="0.25">
      <c r="B14" s="8" t="s">
        <v>62</v>
      </c>
      <c r="C14" s="2"/>
      <c r="D14" s="16">
        <f>D13/C13-1</f>
        <v>-5.8456046407853623E-2</v>
      </c>
      <c r="E14" s="16">
        <f t="shared" ref="E14" si="6">E13/D13-1</f>
        <v>4.0890554392152723E-2</v>
      </c>
      <c r="F14" s="16"/>
      <c r="G14" s="18">
        <v>0.04</v>
      </c>
      <c r="H14" s="18">
        <v>3.5000000000000003E-2</v>
      </c>
      <c r="I14" s="18">
        <v>3.5000000000000003E-2</v>
      </c>
      <c r="J14" s="18">
        <v>0.03</v>
      </c>
      <c r="K14" s="18">
        <v>0.03</v>
      </c>
    </row>
    <row r="15" spans="1:11" x14ac:dyDescent="0.25">
      <c r="D15" s="16"/>
      <c r="E15" s="16"/>
      <c r="F15" s="16"/>
      <c r="G15" s="18"/>
      <c r="H15" s="18"/>
      <c r="I15" s="18"/>
      <c r="J15" s="18"/>
      <c r="K15" s="18"/>
    </row>
    <row r="16" spans="1:11" x14ac:dyDescent="0.25">
      <c r="B16" s="2" t="s">
        <v>66</v>
      </c>
      <c r="C16" s="16">
        <f>-C58/C54</f>
        <v>0.82152974504249288</v>
      </c>
      <c r="D16" s="16">
        <f t="shared" ref="D16:E16" si="7">-D58/D54</f>
        <v>0.82647551666356356</v>
      </c>
      <c r="E16" s="16">
        <f t="shared" si="7"/>
        <v>0.82342874922215303</v>
      </c>
      <c r="F16" s="16"/>
      <c r="G16" s="18">
        <f>AVERAGE(C16:E16)</f>
        <v>0.82381133697606979</v>
      </c>
      <c r="H16" s="22">
        <f>G16</f>
        <v>0.82381133697606979</v>
      </c>
      <c r="I16" s="22">
        <f t="shared" ref="I16:J16" si="8">H16</f>
        <v>0.82381133697606979</v>
      </c>
      <c r="J16" s="22">
        <f t="shared" si="8"/>
        <v>0.82381133697606979</v>
      </c>
      <c r="K16" s="22">
        <f>J16</f>
        <v>0.82381133697606979</v>
      </c>
    </row>
    <row r="17" spans="2:11" x14ac:dyDescent="0.25">
      <c r="B17" s="2" t="s">
        <v>67</v>
      </c>
      <c r="C17" s="16">
        <f>-C59/C55</f>
        <v>0.62275769745649268</v>
      </c>
      <c r="D17" s="16">
        <f t="shared" ref="D17:E17" si="9">-D59/D55</f>
        <v>0.61448882870683819</v>
      </c>
      <c r="E17" s="16">
        <f t="shared" si="9"/>
        <v>0.61143583227445997</v>
      </c>
      <c r="F17" s="16"/>
      <c r="G17" s="18">
        <f t="shared" ref="G17:G18" si="10">AVERAGE(C17:E17)</f>
        <v>0.61622745281259694</v>
      </c>
      <c r="H17" s="22">
        <f>G17</f>
        <v>0.61622745281259694</v>
      </c>
      <c r="I17" s="22">
        <f t="shared" ref="I17:J17" si="11">H17</f>
        <v>0.61622745281259694</v>
      </c>
      <c r="J17" s="22">
        <f t="shared" si="11"/>
        <v>0.61622745281259694</v>
      </c>
      <c r="K17" s="22">
        <f>J17</f>
        <v>0.61622745281259694</v>
      </c>
    </row>
    <row r="18" spans="2:11" x14ac:dyDescent="0.25">
      <c r="B18" s="2" t="s">
        <v>69</v>
      </c>
      <c r="C18" s="16">
        <f>-C60/C56</f>
        <v>0.15040402500381156</v>
      </c>
      <c r="D18" s="16">
        <f t="shared" ref="D18:E18" si="12">-D60/D56</f>
        <v>0.16274694261523989</v>
      </c>
      <c r="E18" s="16">
        <f t="shared" si="12"/>
        <v>0.1473632675898727</v>
      </c>
      <c r="F18" s="16"/>
      <c r="G18" s="18">
        <f t="shared" si="10"/>
        <v>0.1535047450696414</v>
      </c>
      <c r="H18" s="22">
        <f>G18</f>
        <v>0.1535047450696414</v>
      </c>
      <c r="I18" s="22">
        <f t="shared" ref="I18:J18" si="13">H18</f>
        <v>0.1535047450696414</v>
      </c>
      <c r="J18" s="22">
        <f t="shared" si="13"/>
        <v>0.1535047450696414</v>
      </c>
      <c r="K18" s="22">
        <f>J18</f>
        <v>0.1535047450696414</v>
      </c>
    </row>
    <row r="19" spans="2:11" x14ac:dyDescent="0.25">
      <c r="D19" s="16"/>
      <c r="E19" s="16"/>
      <c r="F19" s="16"/>
      <c r="G19" s="18"/>
      <c r="H19" s="18"/>
      <c r="I19" s="18"/>
      <c r="J19" s="18"/>
      <c r="K19" s="18"/>
    </row>
    <row r="20" spans="2:11" x14ac:dyDescent="0.25">
      <c r="B20" s="2" t="s">
        <v>68</v>
      </c>
      <c r="C20" s="16">
        <f>-C68/C66</f>
        <v>0.31918323481998923</v>
      </c>
      <c r="D20" s="16">
        <f t="shared" ref="D20:E20" si="14">-D68/D66</f>
        <v>0.3011250827266711</v>
      </c>
      <c r="E20" s="16">
        <f t="shared" si="14"/>
        <v>0.27587965323814378</v>
      </c>
      <c r="F20" s="16"/>
      <c r="G20" s="18">
        <f ca="1">AVERAGE(C20:G20)</f>
        <v>0.2987293235949347</v>
      </c>
      <c r="H20" s="22">
        <f ca="1">G20</f>
        <v>0.2987293235949347</v>
      </c>
      <c r="I20" s="22">
        <f t="shared" ref="I20:K20" ca="1" si="15">H20</f>
        <v>0.2987293235949347</v>
      </c>
      <c r="J20" s="22">
        <f t="shared" ca="1" si="15"/>
        <v>0.2987293235949347</v>
      </c>
      <c r="K20" s="22">
        <f t="shared" ca="1" si="15"/>
        <v>0.2987293235949347</v>
      </c>
    </row>
    <row r="21" spans="2:11" x14ac:dyDescent="0.25">
      <c r="B21" s="2" t="s">
        <v>70</v>
      </c>
      <c r="C21" s="16">
        <f>-C71/C70</f>
        <v>0.11917916337805841</v>
      </c>
      <c r="D21" s="16">
        <f t="shared" ref="D21:E21" si="16">-D71/D70</f>
        <v>0.14204545454545456</v>
      </c>
      <c r="E21" s="16">
        <f t="shared" si="16"/>
        <v>0.12253521126760564</v>
      </c>
      <c r="F21" s="16"/>
      <c r="G21" s="18">
        <f ca="1">AVERAGE(C21:G21)</f>
        <v>0.12791994306370619</v>
      </c>
      <c r="H21" s="22">
        <f ca="1">G21</f>
        <v>0.12791994306370619</v>
      </c>
      <c r="I21" s="22">
        <f t="shared" ref="I21:K21" ca="1" si="17">H21</f>
        <v>0.12791994306370619</v>
      </c>
      <c r="J21" s="22">
        <f t="shared" ca="1" si="17"/>
        <v>0.12791994306370619</v>
      </c>
      <c r="K21" s="22">
        <f t="shared" ca="1" si="17"/>
        <v>0.12791994306370619</v>
      </c>
    </row>
    <row r="22" spans="2:11" x14ac:dyDescent="0.25">
      <c r="C22" s="16"/>
      <c r="D22" s="16"/>
      <c r="E22" s="16"/>
      <c r="F22" s="16"/>
      <c r="G22" s="18"/>
      <c r="H22" s="22"/>
      <c r="I22" s="22"/>
      <c r="J22" s="22"/>
      <c r="K22" s="22"/>
    </row>
    <row r="23" spans="2:11" x14ac:dyDescent="0.25">
      <c r="B23" s="24" t="s">
        <v>71</v>
      </c>
      <c r="C23" s="47"/>
      <c r="D23" s="16">
        <f>D78/D56</f>
        <v>0.24678582627783005</v>
      </c>
      <c r="E23" s="16">
        <f t="shared" ref="E23" si="18">E78/E56</f>
        <v>0.22604560078332633</v>
      </c>
      <c r="F23" s="16"/>
      <c r="G23" s="18">
        <f t="shared" ref="G23:G25" ca="1" si="19">AVERAGE(C23:G23)</f>
        <v>0.23641571353057819</v>
      </c>
      <c r="H23" s="22">
        <f t="shared" ref="H23:K23" ca="1" si="20">G23</f>
        <v>0.23641571353057819</v>
      </c>
      <c r="I23" s="22">
        <f t="shared" ca="1" si="20"/>
        <v>0.23641571353057819</v>
      </c>
      <c r="J23" s="22">
        <f t="shared" ca="1" si="20"/>
        <v>0.23641571353057819</v>
      </c>
      <c r="K23" s="22">
        <f t="shared" ca="1" si="20"/>
        <v>0.23641571353057819</v>
      </c>
    </row>
    <row r="24" spans="2:11" x14ac:dyDescent="0.25">
      <c r="B24" s="24" t="s">
        <v>72</v>
      </c>
      <c r="C24" s="47"/>
      <c r="D24" s="16">
        <f>-D79/SUM(D58:D59)</f>
        <v>0.1722178901637518</v>
      </c>
      <c r="E24" s="16">
        <f t="shared" ref="E24" si="21">-E79/SUM(E58:E59)</f>
        <v>0.15378525482434438</v>
      </c>
      <c r="F24" s="16"/>
      <c r="G24" s="18">
        <f t="shared" ca="1" si="19"/>
        <v>0.16300157249404809</v>
      </c>
      <c r="H24" s="22">
        <f t="shared" ref="H24:K24" ca="1" si="22">G24</f>
        <v>0.16300157249404809</v>
      </c>
      <c r="I24" s="22">
        <f t="shared" ca="1" si="22"/>
        <v>0.16300157249404809</v>
      </c>
      <c r="J24" s="22">
        <f t="shared" ca="1" si="22"/>
        <v>0.16300157249404809</v>
      </c>
      <c r="K24" s="22">
        <f t="shared" ca="1" si="22"/>
        <v>0.16300157249404809</v>
      </c>
    </row>
    <row r="25" spans="2:11" x14ac:dyDescent="0.25">
      <c r="B25" s="24" t="s">
        <v>73</v>
      </c>
      <c r="C25" s="47"/>
      <c r="D25" s="16">
        <f>D81/-D60</f>
        <v>0.26107899807321772</v>
      </c>
      <c r="E25" s="16">
        <f t="shared" ref="E25" si="23">E81/-E60</f>
        <v>0.24964404366397722</v>
      </c>
      <c r="F25" s="16"/>
      <c r="G25" s="18">
        <f t="shared" ca="1" si="19"/>
        <v>0.25536152086859748</v>
      </c>
      <c r="H25" s="22">
        <f t="shared" ref="H25:K25" ca="1" si="24">G25</f>
        <v>0.25536152086859748</v>
      </c>
      <c r="I25" s="22">
        <f t="shared" ca="1" si="24"/>
        <v>0.25536152086859748</v>
      </c>
      <c r="J25" s="22">
        <f t="shared" ca="1" si="24"/>
        <v>0.25536152086859748</v>
      </c>
      <c r="K25" s="22">
        <f t="shared" ca="1" si="24"/>
        <v>0.25536152086859748</v>
      </c>
    </row>
    <row r="26" spans="2:11" x14ac:dyDescent="0.25">
      <c r="B26" s="24"/>
      <c r="C26" s="47"/>
      <c r="D26" s="16"/>
      <c r="E26" s="16"/>
      <c r="F26" s="16"/>
      <c r="G26" s="18"/>
      <c r="H26" s="22"/>
      <c r="I26" s="22"/>
      <c r="J26" s="22"/>
      <c r="K26" s="22"/>
    </row>
    <row r="27" spans="2:11" x14ac:dyDescent="0.25">
      <c r="B27" s="24" t="s">
        <v>74</v>
      </c>
      <c r="C27" s="47"/>
      <c r="D27" s="16">
        <f>D86/-SUM(D58:D59)</f>
        <v>0.1618580817645093</v>
      </c>
      <c r="E27" s="16">
        <f>E86/-SUM(E58:E59)</f>
        <v>0.15398317664522512</v>
      </c>
      <c r="F27" s="16"/>
      <c r="G27" s="18">
        <f t="shared" ref="G27" ca="1" si="25">AVERAGE(C27:G27)</f>
        <v>0.15792062920486719</v>
      </c>
      <c r="H27" s="22">
        <f t="shared" ref="H27:K27" ca="1" si="26">G27</f>
        <v>0.15792062920486719</v>
      </c>
      <c r="I27" s="22">
        <f t="shared" ca="1" si="26"/>
        <v>0.15792062920486719</v>
      </c>
      <c r="J27" s="22">
        <f t="shared" ca="1" si="26"/>
        <v>0.15792062920486719</v>
      </c>
      <c r="K27" s="22">
        <f t="shared" ca="1" si="26"/>
        <v>0.15792062920486719</v>
      </c>
    </row>
    <row r="28" spans="2:11" x14ac:dyDescent="0.25">
      <c r="B28" s="24" t="s">
        <v>75</v>
      </c>
      <c r="C28" s="47"/>
      <c r="D28" s="16">
        <f>-D87/SUM($D$58:$D$60)</f>
        <v>0.1788654663892156</v>
      </c>
      <c r="E28" s="16">
        <f>-E87/SUM($E$58:$E$60)</f>
        <v>0.16320013101867015</v>
      </c>
      <c r="F28" s="16"/>
      <c r="G28" s="18">
        <f ca="1">AVERAGE(C28:G28)</f>
        <v>0.17103279870394286</v>
      </c>
      <c r="H28" s="22">
        <f t="shared" ref="H28:K28" ca="1" si="27">G28</f>
        <v>0.17103279870394286</v>
      </c>
      <c r="I28" s="22">
        <f t="shared" ca="1" si="27"/>
        <v>0.17103279870394286</v>
      </c>
      <c r="J28" s="22">
        <f t="shared" ca="1" si="27"/>
        <v>0.17103279870394286</v>
      </c>
      <c r="K28" s="22">
        <f t="shared" ca="1" si="27"/>
        <v>0.17103279870394286</v>
      </c>
    </row>
    <row r="29" spans="2:11" x14ac:dyDescent="0.25">
      <c r="B29" s="24" t="s">
        <v>76</v>
      </c>
      <c r="C29" s="47"/>
      <c r="D29" s="16">
        <f t="shared" ref="D29" si="28">-D88/SUM($D$58:$D$60)</f>
        <v>0.22998281009680629</v>
      </c>
      <c r="E29" s="16">
        <f>-E88/SUM($E$58:$E$60)</f>
        <v>0.21896495250573206</v>
      </c>
      <c r="F29" s="16"/>
      <c r="G29" s="18">
        <f ca="1">AVERAGE(C29:G29)</f>
        <v>0.22447388130126913</v>
      </c>
      <c r="H29" s="22">
        <f t="shared" ref="H29:K29" ca="1" si="29">G29</f>
        <v>0.22447388130126913</v>
      </c>
      <c r="I29" s="22">
        <f t="shared" ca="1" si="29"/>
        <v>0.22447388130126913</v>
      </c>
      <c r="J29" s="22">
        <f t="shared" ca="1" si="29"/>
        <v>0.22447388130126913</v>
      </c>
      <c r="K29" s="22">
        <f t="shared" ca="1" si="29"/>
        <v>0.22447388130126913</v>
      </c>
    </row>
    <row r="30" spans="2:11" x14ac:dyDescent="0.25">
      <c r="B30" s="24" t="s">
        <v>77</v>
      </c>
      <c r="C30" s="47"/>
      <c r="D30" s="16">
        <f>-D91/SUM($D$58:$D$60)</f>
        <v>0.14557133809825387</v>
      </c>
      <c r="E30" s="16">
        <f>-E91/SUM($E$58:$E$60)</f>
        <v>0.11717982312479529</v>
      </c>
      <c r="F30" s="16"/>
      <c r="G30" s="18">
        <f ca="1">AVERAGE(C30:G30)</f>
        <v>0.13137558061152457</v>
      </c>
      <c r="H30" s="22">
        <f t="shared" ref="H30:K30" ca="1" si="30">G30</f>
        <v>0.13137558061152457</v>
      </c>
      <c r="I30" s="22">
        <f t="shared" ca="1" si="30"/>
        <v>0.13137558061152457</v>
      </c>
      <c r="J30" s="22">
        <f t="shared" ca="1" si="30"/>
        <v>0.13137558061152457</v>
      </c>
      <c r="K30" s="22">
        <f t="shared" ca="1" si="30"/>
        <v>0.13137558061152457</v>
      </c>
    </row>
    <row r="31" spans="2:11" x14ac:dyDescent="0.25">
      <c r="D31" s="16"/>
      <c r="E31" s="16"/>
      <c r="F31" s="16"/>
      <c r="G31" s="18"/>
      <c r="H31" s="18"/>
      <c r="I31" s="18"/>
      <c r="J31" s="18"/>
      <c r="K31" s="18"/>
    </row>
    <row r="32" spans="2:11" x14ac:dyDescent="0.25">
      <c r="B32" s="24" t="s">
        <v>78</v>
      </c>
      <c r="C32" s="16">
        <f>-C113/C56</f>
        <v>1.1053514255221832E-2</v>
      </c>
      <c r="D32" s="16">
        <f t="shared" ref="D32:E32" si="31">-D113/D56</f>
        <v>1.4346190028222013E-2</v>
      </c>
      <c r="E32" s="16">
        <f t="shared" si="31"/>
        <v>1.0910616869492237E-2</v>
      </c>
      <c r="F32" s="16"/>
      <c r="G32" s="16">
        <f ca="1">AVERAGE(C32:G32)</f>
        <v>1.2103440384312028E-2</v>
      </c>
      <c r="H32" s="22">
        <f t="shared" ref="H32:H34" ca="1" si="32">G32</f>
        <v>1.2103440384312028E-2</v>
      </c>
      <c r="I32" s="22">
        <f t="shared" ref="I32:I34" ca="1" si="33">H32</f>
        <v>1.2103440384312028E-2</v>
      </c>
      <c r="J32" s="22">
        <f t="shared" ref="J32:J34" ca="1" si="34">I32</f>
        <v>1.2103440384312028E-2</v>
      </c>
      <c r="K32" s="22">
        <f t="shared" ref="K32:K34" ca="1" si="35">J32</f>
        <v>1.2103440384312028E-2</v>
      </c>
    </row>
    <row r="33" spans="2:12" x14ac:dyDescent="0.25">
      <c r="B33" s="24" t="s">
        <v>79</v>
      </c>
      <c r="C33" s="16">
        <f>C107/C56</f>
        <v>1.3721603903033999E-2</v>
      </c>
      <c r="D33" s="16">
        <f t="shared" ref="D33:E33" si="36">D107/D56</f>
        <v>1.4973345876450299E-2</v>
      </c>
      <c r="E33" s="16">
        <f t="shared" si="36"/>
        <v>1.4197789900685411E-2</v>
      </c>
      <c r="F33" s="16"/>
      <c r="G33" s="16">
        <f ca="1">AVERAGE(C33:G33)</f>
        <v>1.4297579893389903E-2</v>
      </c>
      <c r="H33" s="22">
        <f t="shared" ca="1" si="32"/>
        <v>1.4297579893389903E-2</v>
      </c>
      <c r="I33" s="22">
        <f t="shared" ca="1" si="33"/>
        <v>1.4297579893389903E-2</v>
      </c>
      <c r="J33" s="22">
        <f t="shared" ca="1" si="34"/>
        <v>1.4297579893389903E-2</v>
      </c>
      <c r="K33" s="22">
        <f t="shared" ca="1" si="35"/>
        <v>1.4297579893389903E-2</v>
      </c>
    </row>
    <row r="34" spans="2:12" x14ac:dyDescent="0.25">
      <c r="B34" s="24" t="s">
        <v>84</v>
      </c>
      <c r="C34" s="16">
        <f>C108/C56</f>
        <v>4.1164811709102E-3</v>
      </c>
      <c r="D34" s="16">
        <f t="shared" ref="D34:E34" si="37">D108/D56</f>
        <v>1.2229539040451553E-2</v>
      </c>
      <c r="E34" s="16">
        <f t="shared" si="37"/>
        <v>-2.3080151070079733E-3</v>
      </c>
      <c r="F34" s="16"/>
      <c r="G34" s="16">
        <f ca="1">AVERAGE(C34:G34)</f>
        <v>4.6793350347845934E-3</v>
      </c>
      <c r="H34" s="22">
        <f t="shared" ca="1" si="32"/>
        <v>4.6793350347845934E-3</v>
      </c>
      <c r="I34" s="22">
        <f t="shared" ca="1" si="33"/>
        <v>4.6793350347845934E-3</v>
      </c>
      <c r="J34" s="22">
        <f t="shared" ca="1" si="34"/>
        <v>4.6793350347845934E-3</v>
      </c>
      <c r="K34" s="22">
        <f t="shared" ca="1" si="35"/>
        <v>4.6793350347845934E-3</v>
      </c>
    </row>
    <row r="35" spans="2:12" x14ac:dyDescent="0.25">
      <c r="D35" s="16"/>
      <c r="E35" s="16"/>
      <c r="F35" s="16"/>
      <c r="G35" s="18"/>
      <c r="H35" s="18"/>
      <c r="I35" s="18"/>
      <c r="J35" s="18"/>
      <c r="K35" s="18"/>
    </row>
    <row r="36" spans="2:12" x14ac:dyDescent="0.25">
      <c r="B36" s="24" t="s">
        <v>80</v>
      </c>
      <c r="C36" s="9">
        <f>C114</f>
        <v>-58</v>
      </c>
      <c r="D36" s="9">
        <f t="shared" ref="D36:E36" si="38">D114</f>
        <v>-170</v>
      </c>
      <c r="E36" s="9">
        <f t="shared" si="38"/>
        <v>67</v>
      </c>
      <c r="F36" s="9"/>
      <c r="G36" s="23">
        <f>75</f>
        <v>75</v>
      </c>
      <c r="H36" s="9">
        <f>G36</f>
        <v>75</v>
      </c>
      <c r="I36" s="9">
        <f t="shared" ref="I36:K36" si="39">H36</f>
        <v>75</v>
      </c>
      <c r="J36" s="9">
        <f t="shared" si="39"/>
        <v>75</v>
      </c>
      <c r="K36" s="9">
        <f t="shared" si="39"/>
        <v>75</v>
      </c>
    </row>
    <row r="37" spans="2:12" x14ac:dyDescent="0.25">
      <c r="B37" s="24"/>
      <c r="C37" s="9"/>
      <c r="D37" s="9"/>
      <c r="E37" s="9"/>
      <c r="F37" s="9"/>
      <c r="G37" s="26"/>
      <c r="H37" s="25"/>
      <c r="I37" s="25"/>
      <c r="J37" s="25"/>
      <c r="K37" s="25"/>
    </row>
    <row r="38" spans="2:12" x14ac:dyDescent="0.25">
      <c r="B38" s="24" t="s">
        <v>87</v>
      </c>
      <c r="C38" s="9"/>
      <c r="D38" s="9"/>
      <c r="E38" s="23">
        <v>3000</v>
      </c>
      <c r="F38" s="23"/>
      <c r="G38" s="23">
        <v>3000</v>
      </c>
      <c r="H38" s="23">
        <v>3000</v>
      </c>
      <c r="I38" s="23">
        <v>3000</v>
      </c>
      <c r="J38" s="23">
        <v>3000</v>
      </c>
      <c r="K38" s="23">
        <v>3000</v>
      </c>
    </row>
    <row r="39" spans="2:12" x14ac:dyDescent="0.25">
      <c r="B39" s="24" t="s">
        <v>88</v>
      </c>
      <c r="C39" s="9"/>
      <c r="D39" s="9"/>
      <c r="G39" s="9">
        <f ca="1">E77+G110+G115+G119+G121+G125-E38</f>
        <v>1654.6223864893427</v>
      </c>
      <c r="H39" s="9">
        <f ca="1">F77+H110+H115+H119+H121+H125-F38</f>
        <v>1022.1419276514522</v>
      </c>
      <c r="I39" s="9">
        <f t="shared" ref="I39:K39" ca="1" si="40">G77+I110+I115+I119+I121+I125-G38</f>
        <v>1045.8087874340235</v>
      </c>
      <c r="J39" s="9">
        <f t="shared" ca="1" si="40"/>
        <v>1085.4837364468226</v>
      </c>
      <c r="K39" s="9">
        <f t="shared" ca="1" si="40"/>
        <v>1124.2962186090463</v>
      </c>
      <c r="L39" s="9"/>
    </row>
    <row r="40" spans="2:12" x14ac:dyDescent="0.25">
      <c r="B40" s="24" t="s">
        <v>89</v>
      </c>
      <c r="C40" s="9"/>
      <c r="D40" s="9"/>
      <c r="E40" s="27">
        <v>0.85</v>
      </c>
      <c r="F40" s="27"/>
      <c r="G40" s="27">
        <v>0.85</v>
      </c>
      <c r="H40" s="27">
        <v>0.85</v>
      </c>
      <c r="I40" s="27">
        <v>0.85</v>
      </c>
      <c r="J40" s="27">
        <v>0.85</v>
      </c>
      <c r="K40" s="27">
        <v>0.85</v>
      </c>
    </row>
    <row r="41" spans="2:12" x14ac:dyDescent="0.25">
      <c r="B41" s="24" t="s">
        <v>90</v>
      </c>
      <c r="C41" s="9"/>
      <c r="D41" s="9"/>
      <c r="E41" s="27">
        <v>0.15</v>
      </c>
      <c r="F41" s="27"/>
      <c r="G41" s="27">
        <v>0.15</v>
      </c>
      <c r="H41" s="27">
        <v>0.15</v>
      </c>
      <c r="I41" s="27">
        <v>0.15</v>
      </c>
      <c r="J41" s="27">
        <v>0.15</v>
      </c>
      <c r="K41" s="27">
        <v>0.15</v>
      </c>
    </row>
    <row r="42" spans="2:12" x14ac:dyDescent="0.25">
      <c r="B42" s="24"/>
      <c r="C42" s="9"/>
      <c r="D42" s="9"/>
      <c r="E42" s="30"/>
      <c r="F42" s="30"/>
      <c r="G42" s="26"/>
      <c r="H42" s="25"/>
      <c r="I42" s="25"/>
      <c r="J42" s="25"/>
      <c r="K42" s="25"/>
    </row>
    <row r="43" spans="2:12" x14ac:dyDescent="0.25">
      <c r="B43" s="24" t="s">
        <v>92</v>
      </c>
      <c r="D43" s="16">
        <f>-D65/D89</f>
        <v>2.0459500251551233E-2</v>
      </c>
      <c r="E43" s="16">
        <f>-E65/E89</f>
        <v>1.8699298776295888E-2</v>
      </c>
      <c r="F43" s="16"/>
      <c r="G43" s="27">
        <v>2.5000000000000001E-2</v>
      </c>
      <c r="H43" s="18">
        <v>0.03</v>
      </c>
      <c r="I43" s="18">
        <v>0.03</v>
      </c>
      <c r="J43" s="18">
        <v>3.5000000000000003E-2</v>
      </c>
      <c r="K43" s="18">
        <v>3.5000000000000003E-2</v>
      </c>
    </row>
    <row r="44" spans="2:12" x14ac:dyDescent="0.25">
      <c r="B44" s="24" t="s">
        <v>81</v>
      </c>
      <c r="G44" s="9">
        <f ca="1">IF(G39&lt;0,-G39,-G39*$E$41)</f>
        <v>-248.19335797340139</v>
      </c>
      <c r="H44" s="9">
        <f ca="1">IF(H39&lt;0,-H39,-H39*$E$41)</f>
        <v>-153.32128914771783</v>
      </c>
      <c r="I44" s="9">
        <f ca="1">IF(I39&lt;0,-I39,-I39*$E$41)</f>
        <v>-156.87131811510352</v>
      </c>
      <c r="J44" s="9">
        <f ca="1">IF(J39&lt;0,-J39,-J39*$E$41)</f>
        <v>-162.82256046702338</v>
      </c>
      <c r="K44" s="9">
        <f ca="1">IF(K39&lt;0,-K39,-K39*$E$41)</f>
        <v>-168.64443279135693</v>
      </c>
    </row>
    <row r="45" spans="2:12" x14ac:dyDescent="0.25">
      <c r="B45" s="2" t="s">
        <v>85</v>
      </c>
      <c r="C45" s="16">
        <f>-C119/C72</f>
        <v>0</v>
      </c>
      <c r="D45" s="16">
        <f>-D119/D72</f>
        <v>0.28697571743929362</v>
      </c>
      <c r="E45" s="16">
        <f>-E119/E72</f>
        <v>0.31540930979133225</v>
      </c>
      <c r="F45" s="16"/>
      <c r="G45" s="27">
        <v>0.35</v>
      </c>
      <c r="H45" s="18">
        <v>0.375</v>
      </c>
      <c r="I45" s="18">
        <v>0.4</v>
      </c>
      <c r="J45" s="18">
        <v>0.4</v>
      </c>
      <c r="K45" s="18">
        <v>0.4</v>
      </c>
    </row>
    <row r="46" spans="2:12" x14ac:dyDescent="0.25">
      <c r="B46" s="2" t="s">
        <v>82</v>
      </c>
      <c r="G46" s="9">
        <f ca="1">IF(G44&lt;0,-G39*$E$40)</f>
        <v>-1406.4290285159414</v>
      </c>
      <c r="H46" s="9">
        <f ca="1">IF(H44&lt;0,-H39*$E$40)</f>
        <v>-868.82063850373436</v>
      </c>
      <c r="I46" s="9">
        <f ca="1">IF(I44&lt;0,-I39*$E$40)</f>
        <v>-888.93746931891997</v>
      </c>
      <c r="J46" s="9">
        <f ca="1">IF(J44&lt;0,-J39*$E$40)</f>
        <v>-922.66117597979917</v>
      </c>
      <c r="K46" s="9">
        <f ca="1">IF(K44&lt;0,-K39*$E$40)</f>
        <v>-955.6517858176893</v>
      </c>
    </row>
    <row r="47" spans="2:12" x14ac:dyDescent="0.25">
      <c r="B47" s="2" t="s">
        <v>86</v>
      </c>
      <c r="C47" s="16">
        <f>-C121/C106</f>
        <v>1.0794701986754967</v>
      </c>
      <c r="D47" s="16">
        <f t="shared" ref="D47:E47" si="41">-D121/D106</f>
        <v>0.99333333333333329</v>
      </c>
      <c r="E47" s="16">
        <f t="shared" si="41"/>
        <v>0.89080459770114939</v>
      </c>
      <c r="F47" s="16"/>
      <c r="G47" s="16">
        <f ca="1">AVERAGE(C47:G47)</f>
        <v>0.98786937656999307</v>
      </c>
      <c r="H47" s="22">
        <f t="shared" ref="H47" ca="1" si="42">G47</f>
        <v>0.98786937656999307</v>
      </c>
      <c r="I47" s="22">
        <f t="shared" ref="I47" ca="1" si="43">H47</f>
        <v>0.98786937656999307</v>
      </c>
      <c r="J47" s="22">
        <f t="shared" ref="J47" ca="1" si="44">I47</f>
        <v>0.98786937656999307</v>
      </c>
      <c r="K47" s="22">
        <f t="shared" ref="K47" ca="1" si="45">J47</f>
        <v>0.98786937656999307</v>
      </c>
    </row>
    <row r="49" spans="1:11" x14ac:dyDescent="0.25">
      <c r="B49" s="2" t="s">
        <v>91</v>
      </c>
      <c r="E49" s="16">
        <f>-E122/E118</f>
        <v>3.2000000000000001E-2</v>
      </c>
      <c r="F49" s="16"/>
      <c r="G49" s="27">
        <v>0.02</v>
      </c>
      <c r="H49" s="16">
        <f>G49</f>
        <v>0.02</v>
      </c>
      <c r="I49" s="16">
        <f t="shared" ref="I49:K49" si="46">H49</f>
        <v>0.02</v>
      </c>
      <c r="J49" s="16">
        <f t="shared" si="46"/>
        <v>0.02</v>
      </c>
      <c r="K49" s="16">
        <f t="shared" si="46"/>
        <v>0.02</v>
      </c>
    </row>
    <row r="50" spans="1:11" x14ac:dyDescent="0.25">
      <c r="B50" s="2" t="s">
        <v>83</v>
      </c>
      <c r="C50" s="16">
        <f>C125/C56</f>
        <v>-1.5246226558926666E-3</v>
      </c>
      <c r="D50" s="16">
        <f t="shared" ref="D50:E50" si="47">D125/D56</f>
        <v>4.6252743806835996E-3</v>
      </c>
      <c r="E50" s="16">
        <f t="shared" si="47"/>
        <v>-3.0074136242831165E-3</v>
      </c>
      <c r="F50" s="16"/>
      <c r="G50" s="16">
        <f ca="1">AVERAGE(C50:G50)</f>
        <v>3.1079366835938916E-5</v>
      </c>
      <c r="H50" s="22">
        <f t="shared" ref="H50" ca="1" si="48">G50</f>
        <v>3.1079366835938916E-5</v>
      </c>
      <c r="I50" s="22">
        <f t="shared" ref="I50" ca="1" si="49">H50</f>
        <v>3.1079366835938916E-5</v>
      </c>
      <c r="J50" s="22">
        <f t="shared" ref="J50" ca="1" si="50">I50</f>
        <v>3.1079366835938916E-5</v>
      </c>
      <c r="K50" s="22">
        <f t="shared" ref="K50" ca="1" si="51">J50</f>
        <v>3.1079366835938916E-5</v>
      </c>
    </row>
    <row r="52" spans="1:11" s="1" customFormat="1" ht="15.6" x14ac:dyDescent="0.25">
      <c r="A52" s="1" t="s">
        <v>36</v>
      </c>
      <c r="B52" s="15" t="s">
        <v>0</v>
      </c>
      <c r="C52" s="42">
        <v>43830</v>
      </c>
      <c r="D52" s="42">
        <f>EOMONTH(C52,12)</f>
        <v>44196</v>
      </c>
      <c r="E52" s="42">
        <f t="shared" ref="E52" si="52">EOMONTH(D52,12)</f>
        <v>44561</v>
      </c>
      <c r="F52" s="12"/>
      <c r="G52" s="41">
        <f>EOMONTH(E52,12)</f>
        <v>44926</v>
      </c>
      <c r="H52" s="41">
        <f t="shared" ref="H52" si="53">EOMONTH(G52,12)</f>
        <v>45291</v>
      </c>
      <c r="I52" s="41">
        <f t="shared" ref="I52" si="54">EOMONTH(H52,12)</f>
        <v>45657</v>
      </c>
      <c r="J52" s="41">
        <f t="shared" ref="J52" si="55">EOMONTH(I52,12)</f>
        <v>46022</v>
      </c>
      <c r="K52" s="41">
        <f t="shared" ref="K52" si="56">EOMONTH(J52,12)</f>
        <v>46387</v>
      </c>
    </row>
    <row r="53" spans="1:11" x14ac:dyDescent="0.25">
      <c r="B53" s="44" t="s">
        <v>94</v>
      </c>
    </row>
    <row r="54" spans="1:11" x14ac:dyDescent="0.25">
      <c r="B54" s="8" t="s">
        <v>1</v>
      </c>
      <c r="C54" s="23">
        <v>5648</v>
      </c>
      <c r="D54" s="23">
        <v>5371</v>
      </c>
      <c r="E54" s="23">
        <v>6428</v>
      </c>
      <c r="F54" s="9"/>
      <c r="G54" s="9">
        <f>G5*G8</f>
        <v>6749.4</v>
      </c>
      <c r="H54" s="9">
        <f>H5*H8</f>
        <v>7165.6129999999994</v>
      </c>
      <c r="I54" s="9">
        <f>I5*I8</f>
        <v>7534.1302400000004</v>
      </c>
      <c r="J54" s="9">
        <f>J5*J8</f>
        <v>7878.0796640000008</v>
      </c>
      <c r="K54" s="9">
        <f>K5*K8</f>
        <v>8114.4220539200005</v>
      </c>
    </row>
    <row r="55" spans="1:11" x14ac:dyDescent="0.25">
      <c r="B55" s="8" t="s">
        <v>2</v>
      </c>
      <c r="C55" s="23">
        <v>7470</v>
      </c>
      <c r="D55" s="23">
        <v>7385</v>
      </c>
      <c r="E55" s="23">
        <v>7870</v>
      </c>
      <c r="F55" s="9"/>
      <c r="G55" s="9">
        <f>G10*G13</f>
        <v>8430.3440000000028</v>
      </c>
      <c r="H55" s="9">
        <f>H10*H13</f>
        <v>8987.1682212000014</v>
      </c>
      <c r="I55" s="9">
        <f>I10*I13</f>
        <v>9580.7706822102609</v>
      </c>
      <c r="J55" s="9">
        <f>J10*J13</f>
        <v>10164.239616756866</v>
      </c>
      <c r="K55" s="9">
        <f>K10*K13</f>
        <v>10783.241809417361</v>
      </c>
    </row>
    <row r="56" spans="1:11" s="1" customFormat="1" x14ac:dyDescent="0.25">
      <c r="B56" s="38" t="s">
        <v>3</v>
      </c>
      <c r="C56" s="5">
        <f>SUM(C54:C55)</f>
        <v>13118</v>
      </c>
      <c r="D56" s="5">
        <f t="shared" ref="D56:E56" si="57">SUM(D54:D55)</f>
        <v>12756</v>
      </c>
      <c r="E56" s="5">
        <f t="shared" si="57"/>
        <v>14298</v>
      </c>
      <c r="F56" s="5"/>
      <c r="G56" s="5">
        <f t="shared" ref="G56" si="58">SUM(G54:G55)</f>
        <v>15179.744000000002</v>
      </c>
      <c r="H56" s="5">
        <f t="shared" ref="H56" si="59">SUM(H54:H55)</f>
        <v>16152.781221200001</v>
      </c>
      <c r="I56" s="5">
        <f t="shared" ref="I56" si="60">SUM(I54:I55)</f>
        <v>17114.900922210261</v>
      </c>
      <c r="J56" s="5">
        <f t="shared" ref="J56" si="61">SUM(J54:J55)</f>
        <v>18042.319280756867</v>
      </c>
      <c r="K56" s="5">
        <f t="shared" ref="K56" si="62">SUM(K54:K55)</f>
        <v>18897.663863337362</v>
      </c>
    </row>
    <row r="58" spans="1:11" x14ac:dyDescent="0.25">
      <c r="B58" s="8" t="s">
        <v>4</v>
      </c>
      <c r="C58" s="23">
        <v>-4640</v>
      </c>
      <c r="D58" s="23">
        <v>-4439</v>
      </c>
      <c r="E58" s="23">
        <v>-5293</v>
      </c>
      <c r="F58" s="9"/>
      <c r="G58" s="9">
        <f t="shared" ref="G58:K60" si="63">-G16*G54</f>
        <v>-5560.2322377862847</v>
      </c>
      <c r="H58" s="9">
        <f t="shared" si="63"/>
        <v>-5903.1132257831059</v>
      </c>
      <c r="I58" s="9">
        <f t="shared" si="63"/>
        <v>-6206.701905966238</v>
      </c>
      <c r="J58" s="9">
        <f t="shared" si="63"/>
        <v>-6490.0513408038269</v>
      </c>
      <c r="K58" s="9">
        <f t="shared" si="63"/>
        <v>-6684.7528810279418</v>
      </c>
    </row>
    <row r="59" spans="1:11" x14ac:dyDescent="0.25">
      <c r="B59" s="8" t="s">
        <v>15</v>
      </c>
      <c r="C59" s="23">
        <v>-4652</v>
      </c>
      <c r="D59" s="23">
        <v>-4538</v>
      </c>
      <c r="E59" s="23">
        <v>-4812</v>
      </c>
      <c r="F59" s="9"/>
      <c r="G59" s="9">
        <f t="shared" si="63"/>
        <v>-5195.0094094539618</v>
      </c>
      <c r="H59" s="9">
        <f t="shared" si="63"/>
        <v>-5538.1397809483951</v>
      </c>
      <c r="I59" s="9">
        <f t="shared" si="63"/>
        <v>-5903.9339134800357</v>
      </c>
      <c r="J59" s="9">
        <f t="shared" si="63"/>
        <v>-6263.4834888109699</v>
      </c>
      <c r="K59" s="9">
        <f t="shared" si="63"/>
        <v>-6644.9296332795593</v>
      </c>
    </row>
    <row r="60" spans="1:11" x14ac:dyDescent="0.25">
      <c r="B60" s="8" t="s">
        <v>5</v>
      </c>
      <c r="C60" s="23">
        <v>-1973</v>
      </c>
      <c r="D60" s="23">
        <v>-2076</v>
      </c>
      <c r="E60" s="23">
        <v>-2107</v>
      </c>
      <c r="F60" s="9"/>
      <c r="G60" s="9">
        <f t="shared" si="63"/>
        <v>-2330.1627329424191</v>
      </c>
      <c r="H60" s="9">
        <f t="shared" si="63"/>
        <v>-2479.528563525997</v>
      </c>
      <c r="I60" s="9">
        <f t="shared" si="63"/>
        <v>-2627.2185029560569</v>
      </c>
      <c r="J60" s="9">
        <f t="shared" si="63"/>
        <v>-2769.5816216576586</v>
      </c>
      <c r="K60" s="9">
        <f t="shared" si="63"/>
        <v>-2900.8810737533763</v>
      </c>
    </row>
    <row r="61" spans="1:11" s="1" customFormat="1" x14ac:dyDescent="0.25">
      <c r="B61" s="4" t="s">
        <v>6</v>
      </c>
      <c r="C61" s="5">
        <f>C56+SUM(C58:C60)</f>
        <v>1853</v>
      </c>
      <c r="D61" s="5">
        <f>D56+SUM(D58:D60)</f>
        <v>1703</v>
      </c>
      <c r="E61" s="5">
        <f>E56+SUM(E58:E60)</f>
        <v>2086</v>
      </c>
      <c r="F61" s="5"/>
      <c r="G61" s="5">
        <f t="shared" ref="G61" si="64">G56+SUM(G58:G60)</f>
        <v>2094.3396198173359</v>
      </c>
      <c r="H61" s="5">
        <f t="shared" ref="H61" si="65">H56+SUM(H58:H60)</f>
        <v>2231.9996509425018</v>
      </c>
      <c r="I61" s="5">
        <f t="shared" ref="I61" si="66">I56+SUM(I58:I60)</f>
        <v>2377.0465998079308</v>
      </c>
      <c r="J61" s="5">
        <f t="shared" ref="J61" si="67">J56+SUM(J58:J60)</f>
        <v>2519.2028294844113</v>
      </c>
      <c r="K61" s="5">
        <f t="shared" ref="K61" si="68">K56+SUM(K58:K60)</f>
        <v>2667.1002752764853</v>
      </c>
    </row>
    <row r="63" spans="1:11" x14ac:dyDescent="0.25">
      <c r="B63" s="8" t="s">
        <v>7</v>
      </c>
      <c r="C63" s="23">
        <v>-39</v>
      </c>
      <c r="D63" s="23">
        <v>-64</v>
      </c>
      <c r="E63" s="23">
        <v>22</v>
      </c>
      <c r="F63" s="9"/>
      <c r="G63" s="23">
        <v>22</v>
      </c>
      <c r="H63" s="23">
        <v>22</v>
      </c>
      <c r="I63" s="23">
        <v>22</v>
      </c>
      <c r="J63" s="23">
        <v>22</v>
      </c>
      <c r="K63" s="23">
        <v>22</v>
      </c>
    </row>
    <row r="64" spans="1:11" x14ac:dyDescent="0.25">
      <c r="B64" s="8" t="s">
        <v>8</v>
      </c>
      <c r="C64" s="23">
        <v>33</v>
      </c>
      <c r="D64" s="23">
        <v>-6</v>
      </c>
      <c r="E64" s="23">
        <v>-11</v>
      </c>
      <c r="F64" s="9"/>
      <c r="G64" s="23">
        <v>-11</v>
      </c>
      <c r="H64" s="23">
        <v>-11</v>
      </c>
      <c r="I64" s="23">
        <v>-11</v>
      </c>
      <c r="J64" s="23">
        <v>-11</v>
      </c>
      <c r="K64" s="23">
        <v>-11</v>
      </c>
    </row>
    <row r="65" spans="1:11" x14ac:dyDescent="0.25">
      <c r="B65" s="8" t="s">
        <v>9</v>
      </c>
      <c r="C65" s="23">
        <v>14</v>
      </c>
      <c r="D65" s="23">
        <v>-122</v>
      </c>
      <c r="E65" s="23">
        <v>-136</v>
      </c>
      <c r="F65" s="9"/>
      <c r="G65" s="9">
        <f>-G43*E89</f>
        <v>-181.82500000000002</v>
      </c>
      <c r="H65" s="9">
        <f ca="1">-H43*G89</f>
        <v>-210.74419926079796</v>
      </c>
      <c r="I65" s="9">
        <f ca="1">-I43*H89</f>
        <v>-206.14456058636642</v>
      </c>
      <c r="J65" s="9">
        <f ca="1">-J43*I89</f>
        <v>-235.01149121673222</v>
      </c>
      <c r="K65" s="9">
        <f ca="1">-K43*J89</f>
        <v>-229.31270160038642</v>
      </c>
    </row>
    <row r="66" spans="1:11" s="1" customFormat="1" x14ac:dyDescent="0.25">
      <c r="B66" s="4" t="s">
        <v>10</v>
      </c>
      <c r="C66" s="5">
        <f>C61+SUM(C63:C65)</f>
        <v>1861</v>
      </c>
      <c r="D66" s="5">
        <f t="shared" ref="D66:E66" si="69">D61+SUM(D63:D65)</f>
        <v>1511</v>
      </c>
      <c r="E66" s="5">
        <f t="shared" si="69"/>
        <v>1961</v>
      </c>
      <c r="F66" s="5"/>
      <c r="G66" s="5">
        <f t="shared" ref="G66" si="70">G61+SUM(G63:G65)</f>
        <v>1923.5146198173359</v>
      </c>
      <c r="H66" s="5">
        <f t="shared" ref="H66" ca="1" si="71">H61+SUM(H63:H65)</f>
        <v>2032.2554516817038</v>
      </c>
      <c r="I66" s="5">
        <f t="shared" ref="I66" ca="1" si="72">I61+SUM(I63:I65)</f>
        <v>2181.9020392215643</v>
      </c>
      <c r="J66" s="5">
        <f t="shared" ref="J66" ca="1" si="73">J61+SUM(J63:J65)</f>
        <v>2295.1913382676789</v>
      </c>
      <c r="K66" s="5">
        <f t="shared" ref="K66" ca="1" si="74">K61+SUM(K63:K65)</f>
        <v>2448.7875736760989</v>
      </c>
    </row>
    <row r="67" spans="1:11" x14ac:dyDescent="0.25">
      <c r="C67" s="9"/>
      <c r="D67" s="9"/>
      <c r="E67" s="9"/>
      <c r="F67" s="9"/>
    </row>
    <row r="68" spans="1:11" x14ac:dyDescent="0.25">
      <c r="B68" s="2" t="s">
        <v>11</v>
      </c>
      <c r="C68" s="23">
        <v>-594</v>
      </c>
      <c r="D68" s="23">
        <v>-455</v>
      </c>
      <c r="E68" s="23">
        <v>-541</v>
      </c>
      <c r="F68" s="9"/>
      <c r="G68" s="9">
        <f ca="1">-G66*G20</f>
        <v>-574.61022130300069</v>
      </c>
      <c r="H68" s="9">
        <f ca="1">-H66*H20</f>
        <v>-607.09429645299383</v>
      </c>
      <c r="I68" s="9">
        <f ca="1">-I66*I20</f>
        <v>-651.79812032706661</v>
      </c>
      <c r="J68" s="9">
        <f ca="1">-J66*J20</f>
        <v>-685.64095600165672</v>
      </c>
      <c r="K68" s="9">
        <f ca="1">-K66*K20</f>
        <v>-731.52465551194234</v>
      </c>
    </row>
    <row r="69" spans="1:11" x14ac:dyDescent="0.25">
      <c r="C69" s="9"/>
      <c r="D69" s="9"/>
      <c r="E69" s="9"/>
      <c r="F69" s="9"/>
    </row>
    <row r="70" spans="1:11" s="1" customFormat="1" x14ac:dyDescent="0.25">
      <c r="B70" s="1" t="s">
        <v>12</v>
      </c>
      <c r="C70" s="6">
        <f>C66+C68</f>
        <v>1267</v>
      </c>
      <c r="D70" s="6">
        <f>D66+D68</f>
        <v>1056</v>
      </c>
      <c r="E70" s="6">
        <f t="shared" ref="E70:K70" si="75">E66+E68</f>
        <v>1420</v>
      </c>
      <c r="F70" s="6"/>
      <c r="G70" s="6">
        <f t="shared" ca="1" si="75"/>
        <v>1348.9043985143353</v>
      </c>
      <c r="H70" s="6">
        <f t="shared" ca="1" si="75"/>
        <v>1425.16115522871</v>
      </c>
      <c r="I70" s="6">
        <f t="shared" ca="1" si="75"/>
        <v>1530.1039188944978</v>
      </c>
      <c r="J70" s="6">
        <f t="shared" ca="1" si="75"/>
        <v>1609.5503822660221</v>
      </c>
      <c r="K70" s="6">
        <f t="shared" ca="1" si="75"/>
        <v>1717.2629181641564</v>
      </c>
    </row>
    <row r="71" spans="1:11" s="8" customFormat="1" x14ac:dyDescent="0.25">
      <c r="B71" s="8" t="s">
        <v>13</v>
      </c>
      <c r="C71" s="23">
        <v>-151</v>
      </c>
      <c r="D71" s="23">
        <v>-150</v>
      </c>
      <c r="E71" s="23">
        <v>-174</v>
      </c>
      <c r="F71" s="9"/>
      <c r="G71" s="9">
        <f ca="1">-G21*G70</f>
        <v>-172.55177385633661</v>
      </c>
      <c r="H71" s="9">
        <f ca="1">-H21*H70</f>
        <v>-182.30653383346231</v>
      </c>
      <c r="I71" s="9">
        <f ca="1">-I21*I70</f>
        <v>-195.73080618653788</v>
      </c>
      <c r="J71" s="9">
        <f ca="1">-J21*J70</f>
        <v>-205.89359325763607</v>
      </c>
      <c r="K71" s="9">
        <f ca="1">-K21*K70</f>
        <v>-219.67217471697282</v>
      </c>
    </row>
    <row r="72" spans="1:11" s="1" customFormat="1" x14ac:dyDescent="0.25">
      <c r="B72" s="4" t="s">
        <v>14</v>
      </c>
      <c r="C72" s="5">
        <f>SUM(C70:C71)</f>
        <v>1116</v>
      </c>
      <c r="D72" s="5">
        <f t="shared" ref="D72:E72" si="76">SUM(D70:D71)</f>
        <v>906</v>
      </c>
      <c r="E72" s="5">
        <f t="shared" si="76"/>
        <v>1246</v>
      </c>
      <c r="F72" s="5"/>
      <c r="G72" s="5">
        <f t="shared" ref="G72" ca="1" si="77">SUM(G70:G71)</f>
        <v>1176.3526246579986</v>
      </c>
      <c r="H72" s="5">
        <f t="shared" ref="H72" ca="1" si="78">SUM(H70:H71)</f>
        <v>1242.8546213952477</v>
      </c>
      <c r="I72" s="5">
        <f t="shared" ref="I72" ca="1" si="79">SUM(I70:I71)</f>
        <v>1334.37311270796</v>
      </c>
      <c r="J72" s="5">
        <f t="shared" ref="J72" ca="1" si="80">SUM(J70:J71)</f>
        <v>1403.6567890083861</v>
      </c>
      <c r="K72" s="5">
        <f t="shared" ref="K72" ca="1" si="81">SUM(K70:K71)</f>
        <v>1497.5907434471835</v>
      </c>
    </row>
    <row r="74" spans="1:11" ht="15.6" x14ac:dyDescent="0.3">
      <c r="A74" s="7" t="s">
        <v>36</v>
      </c>
      <c r="B74" s="15" t="s">
        <v>16</v>
      </c>
      <c r="C74" s="42">
        <v>43830</v>
      </c>
      <c r="D74" s="42">
        <f>EOMONTH(C74,12)</f>
        <v>44196</v>
      </c>
      <c r="E74" s="42">
        <f t="shared" ref="E74" si="82">EOMONTH(D74,12)</f>
        <v>44561</v>
      </c>
      <c r="F74" s="12"/>
      <c r="G74" s="41">
        <f>EOMONTH(E74,12)</f>
        <v>44926</v>
      </c>
      <c r="H74" s="41">
        <f t="shared" ref="H74" si="83">EOMONTH(G74,12)</f>
        <v>45291</v>
      </c>
      <c r="I74" s="41">
        <f t="shared" ref="I74" si="84">EOMONTH(H74,12)</f>
        <v>45657</v>
      </c>
      <c r="J74" s="41">
        <f t="shared" ref="J74" si="85">EOMONTH(I74,12)</f>
        <v>46022</v>
      </c>
      <c r="K74" s="41">
        <f t="shared" ref="K74" si="86">EOMONTH(J74,12)</f>
        <v>46387</v>
      </c>
    </row>
    <row r="75" spans="1:11" x14ac:dyDescent="0.25">
      <c r="B75" s="44" t="s">
        <v>94</v>
      </c>
    </row>
    <row r="76" spans="1:11" x14ac:dyDescent="0.25">
      <c r="B76" s="10" t="s">
        <v>17</v>
      </c>
    </row>
    <row r="77" spans="1:11" x14ac:dyDescent="0.25">
      <c r="B77" s="8" t="s">
        <v>18</v>
      </c>
      <c r="C77" s="31"/>
      <c r="D77" s="23">
        <v>1799</v>
      </c>
      <c r="E77" s="23">
        <v>3475</v>
      </c>
      <c r="F77" s="9"/>
      <c r="G77" s="9">
        <f ca="1">E77+G127</f>
        <v>3000</v>
      </c>
      <c r="H77" s="9">
        <f t="shared" ref="H77:K77" ca="1" si="87">G77+H127</f>
        <v>3000</v>
      </c>
      <c r="I77" s="9">
        <f t="shared" ca="1" si="87"/>
        <v>3000.0000000000009</v>
      </c>
      <c r="J77" s="9">
        <f t="shared" ca="1" si="87"/>
        <v>3000.0000000000009</v>
      </c>
      <c r="K77" s="9">
        <f t="shared" ca="1" si="87"/>
        <v>3000</v>
      </c>
    </row>
    <row r="78" spans="1:11" x14ac:dyDescent="0.25">
      <c r="B78" s="8" t="s">
        <v>24</v>
      </c>
      <c r="C78" s="32"/>
      <c r="D78" s="23">
        <v>3148</v>
      </c>
      <c r="E78" s="23">
        <v>3232</v>
      </c>
      <c r="F78" s="9"/>
      <c r="G78" s="9">
        <f ca="1">G23*G56</f>
        <v>3588.7300089715136</v>
      </c>
      <c r="H78" s="9">
        <f ca="1">H23*H56</f>
        <v>3818.7712979133225</v>
      </c>
      <c r="I78" s="9">
        <f ca="1">I23*I56</f>
        <v>4046.2315135294898</v>
      </c>
      <c r="J78" s="9">
        <f ca="1">J23*J56</f>
        <v>4265.4877865066428</v>
      </c>
      <c r="K78" s="9">
        <f ca="1">K23*K56</f>
        <v>4467.7046863119258</v>
      </c>
    </row>
    <row r="79" spans="1:11" x14ac:dyDescent="0.25">
      <c r="B79" s="8" t="s">
        <v>25</v>
      </c>
      <c r="C79" s="32"/>
      <c r="D79" s="23">
        <v>1546</v>
      </c>
      <c r="E79" s="23">
        <v>1554</v>
      </c>
      <c r="F79" s="9"/>
      <c r="G79" s="9">
        <f ca="1">-G24*SUM(G58:G59)</f>
        <v>1753.1213010536364</v>
      </c>
      <c r="H79" s="9">
        <f ca="1">-H24*SUM(H58:H59)</f>
        <v>1864.9422313994905</v>
      </c>
      <c r="I79" s="9">
        <f ca="1">-I24*SUM(I58:I59)</f>
        <v>1974.0526824724873</v>
      </c>
      <c r="J79" s="9">
        <f ca="1">-J24*SUM(J58:J59)</f>
        <v>2078.8462320848234</v>
      </c>
      <c r="K79" s="9">
        <f ca="1">-K24*SUM(K58:K59)</f>
        <v>2172.7592106785391</v>
      </c>
    </row>
    <row r="80" spans="1:11" x14ac:dyDescent="0.25">
      <c r="B80" s="8" t="s">
        <v>26</v>
      </c>
      <c r="C80" s="32"/>
      <c r="D80" s="23">
        <v>3031</v>
      </c>
      <c r="E80" s="23">
        <v>2860</v>
      </c>
      <c r="F80" s="9"/>
      <c r="G80" s="9">
        <f ca="1">E80-G113-G107</f>
        <v>2826.6935239519121</v>
      </c>
      <c r="H80" s="9">
        <f t="shared" ref="H80:K80" ca="1" si="88">G80-H113-H107</f>
        <v>2791.2520684929864</v>
      </c>
      <c r="I80" s="9">
        <f t="shared" ca="1" si="88"/>
        <v>2753.6995881856114</v>
      </c>
      <c r="J80" s="9">
        <f t="shared" ca="1" si="88"/>
        <v>2714.1122226163056</v>
      </c>
      <c r="K80" s="9">
        <f t="shared" ca="1" si="88"/>
        <v>2672.6481117044841</v>
      </c>
    </row>
    <row r="81" spans="1:11" x14ac:dyDescent="0.25">
      <c r="B81" s="8" t="s">
        <v>27</v>
      </c>
      <c r="C81" s="32"/>
      <c r="D81" s="23">
        <v>542</v>
      </c>
      <c r="E81" s="23">
        <v>526</v>
      </c>
      <c r="F81" s="9"/>
      <c r="G81" s="9">
        <f ca="1">-G25*G60</f>
        <v>595.03389935550365</v>
      </c>
      <c r="H81" s="9">
        <f ca="1">-H25*H60</f>
        <v>633.17618501912739</v>
      </c>
      <c r="I81" s="9">
        <f ca="1">-I25*I60</f>
        <v>670.89051256897858</v>
      </c>
      <c r="J81" s="9">
        <f ca="1">-J25*J60</f>
        <v>707.24457507621628</v>
      </c>
      <c r="K81" s="9">
        <f ca="1">-K25*K60</f>
        <v>740.77340285259231</v>
      </c>
    </row>
    <row r="82" spans="1:11" x14ac:dyDescent="0.25">
      <c r="B82" s="8" t="s">
        <v>28</v>
      </c>
      <c r="C82" s="32"/>
      <c r="D82" s="23">
        <v>644</v>
      </c>
      <c r="E82" s="23">
        <v>632</v>
      </c>
      <c r="F82" s="9"/>
      <c r="G82" s="9">
        <f ca="1">E82-G108-G114</f>
        <v>635.96889208173877</v>
      </c>
      <c r="H82" s="9">
        <f t="shared" ref="H82:K82" ca="1" si="89">G82-H108-H114</f>
        <v>635.3846170041669</v>
      </c>
      <c r="I82" s="9">
        <f t="shared" ca="1" si="89"/>
        <v>630.29826150200131</v>
      </c>
      <c r="J82" s="9">
        <f t="shared" ca="1" si="89"/>
        <v>620.87220478278618</v>
      </c>
      <c r="K82" s="9">
        <f t="shared" ca="1" si="89"/>
        <v>607.44370419148891</v>
      </c>
    </row>
    <row r="83" spans="1:11" x14ac:dyDescent="0.25">
      <c r="A83" s="1"/>
      <c r="B83" s="4" t="s">
        <v>19</v>
      </c>
      <c r="C83" s="33"/>
      <c r="D83" s="5">
        <f t="shared" ref="D83:G83" si="90">SUM(D77:D82)</f>
        <v>10710</v>
      </c>
      <c r="E83" s="5">
        <f t="shared" si="90"/>
        <v>12279</v>
      </c>
      <c r="F83" s="5"/>
      <c r="G83" s="5">
        <f t="shared" ca="1" si="90"/>
        <v>12399.547625414303</v>
      </c>
      <c r="H83" s="5">
        <f t="shared" ref="H83:K83" ca="1" si="91">SUM(H77:H82)</f>
        <v>12743.526399829094</v>
      </c>
      <c r="I83" s="5">
        <f t="shared" ca="1" si="91"/>
        <v>13075.172558258568</v>
      </c>
      <c r="J83" s="5">
        <f t="shared" ca="1" si="91"/>
        <v>13386.563021066777</v>
      </c>
      <c r="K83" s="5">
        <f t="shared" ca="1" si="91"/>
        <v>13661.32911573903</v>
      </c>
    </row>
    <row r="85" spans="1:11" x14ac:dyDescent="0.25">
      <c r="B85" s="10" t="s">
        <v>20</v>
      </c>
    </row>
    <row r="86" spans="1:11" x14ac:dyDescent="0.25">
      <c r="B86" s="8" t="s">
        <v>21</v>
      </c>
      <c r="C86" s="31"/>
      <c r="D86" s="45">
        <v>1453</v>
      </c>
      <c r="E86" s="45">
        <v>1556</v>
      </c>
      <c r="F86" s="11"/>
      <c r="G86" s="11">
        <f ca="1">-G27*SUM(G58:G59)</f>
        <v>1698.4745281825722</v>
      </c>
      <c r="H86" s="11">
        <f ca="1">-H27*SUM(H58:H59)</f>
        <v>1806.8098737151174</v>
      </c>
      <c r="I86" s="11">
        <f ca="1">-I27*SUM(I58:I59)</f>
        <v>1912.5192286779579</v>
      </c>
      <c r="J86" s="11">
        <f ca="1">-J27*SUM(J58:J59)</f>
        <v>2014.0462448789574</v>
      </c>
      <c r="K86" s="11">
        <f ca="1">-K27*SUM(K58:K59)</f>
        <v>2105.0318497605563</v>
      </c>
    </row>
    <row r="87" spans="1:11" x14ac:dyDescent="0.25">
      <c r="B87" s="8" t="s">
        <v>22</v>
      </c>
      <c r="C87" s="31"/>
      <c r="D87" s="45">
        <v>1977</v>
      </c>
      <c r="E87" s="45">
        <v>1993</v>
      </c>
      <c r="F87" s="11"/>
      <c r="G87" s="11">
        <f ca="1">-G28*SUM(G58:G60)</f>
        <v>2238.033333315474</v>
      </c>
      <c r="H87" s="11">
        <f ca="1">-H28*SUM(H58:H60)</f>
        <v>2380.9102321074083</v>
      </c>
      <c r="I87" s="11">
        <f ca="1">-I28*SUM(I58:I60)</f>
        <v>2520.6564716514722</v>
      </c>
      <c r="J87" s="11">
        <f ca="1">-J28*SUM(J58:J60)</f>
        <v>2654.9620512683459</v>
      </c>
      <c r="K87" s="11">
        <f ca="1">-K28*SUM(K58:K60)</f>
        <v>2775.9587150083607</v>
      </c>
    </row>
    <row r="88" spans="1:11" x14ac:dyDescent="0.25">
      <c r="B88" s="8" t="s">
        <v>23</v>
      </c>
      <c r="C88" s="31"/>
      <c r="D88" s="45">
        <v>2542</v>
      </c>
      <c r="E88" s="45">
        <v>2674</v>
      </c>
      <c r="F88" s="11"/>
      <c r="G88" s="11">
        <f ca="1">-G29*SUM(G58:G60)</f>
        <v>2937.331509616231</v>
      </c>
      <c r="H88" s="11">
        <f ca="1">-H29*SUM(H58:H60)</f>
        <v>3124.8518698228768</v>
      </c>
      <c r="I88" s="11">
        <f ca="1">-I29*SUM(I58:I60)</f>
        <v>3308.2633618023369</v>
      </c>
      <c r="J88" s="11">
        <f ca="1">-J29*SUM(J58:J60)</f>
        <v>3484.5341997087112</v>
      </c>
      <c r="K88" s="11">
        <f ca="1">-K29*SUM(K58:K60)</f>
        <v>3643.3376043190783</v>
      </c>
    </row>
    <row r="89" spans="1:11" x14ac:dyDescent="0.25">
      <c r="B89" s="8" t="s">
        <v>30</v>
      </c>
      <c r="C89" s="31"/>
      <c r="D89" s="45">
        <v>5963</v>
      </c>
      <c r="E89" s="45">
        <v>7273</v>
      </c>
      <c r="F89" s="11"/>
      <c r="G89" s="11">
        <f ca="1">E89+G118</f>
        <v>7024.8066420265986</v>
      </c>
      <c r="H89" s="11">
        <f t="shared" ref="H89:K89" ca="1" si="92">G89+H118</f>
        <v>6871.4853528788808</v>
      </c>
      <c r="I89" s="11">
        <f t="shared" ca="1" si="92"/>
        <v>6714.6140347637775</v>
      </c>
      <c r="J89" s="11">
        <f t="shared" ca="1" si="92"/>
        <v>6551.7914742967541</v>
      </c>
      <c r="K89" s="11">
        <f t="shared" ca="1" si="92"/>
        <v>6383.1470415053973</v>
      </c>
    </row>
    <row r="90" spans="1:11" x14ac:dyDescent="0.25">
      <c r="B90" s="8" t="s">
        <v>31</v>
      </c>
      <c r="C90" s="31"/>
      <c r="D90" s="45">
        <v>367</v>
      </c>
      <c r="E90" s="45">
        <v>336</v>
      </c>
      <c r="F90" s="11"/>
      <c r="G90" s="11">
        <f ca="1">E90+(G81-E81)</f>
        <v>405.03389935550365</v>
      </c>
      <c r="H90" s="11">
        <f t="shared" ref="H90:K90" ca="1" si="93">G90+(H81-G81)</f>
        <v>443.17618501912739</v>
      </c>
      <c r="I90" s="11">
        <f t="shared" ca="1" si="93"/>
        <v>480.89051256897858</v>
      </c>
      <c r="J90" s="11">
        <f t="shared" ca="1" si="93"/>
        <v>517.24457507621628</v>
      </c>
      <c r="K90" s="11">
        <f t="shared" ca="1" si="93"/>
        <v>550.77340285259231</v>
      </c>
    </row>
    <row r="91" spans="1:11" x14ac:dyDescent="0.25">
      <c r="B91" s="8" t="s">
        <v>32</v>
      </c>
      <c r="C91" s="31"/>
      <c r="D91" s="45">
        <v>1609</v>
      </c>
      <c r="E91" s="45">
        <v>1431</v>
      </c>
      <c r="F91" s="11"/>
      <c r="G91" s="11">
        <f ca="1">-G30*SUM(G58:G60)</f>
        <v>1719.1025979830847</v>
      </c>
      <c r="H91" s="11">
        <f ca="1">-H30*SUM(H58:H60)</f>
        <v>1828.8507613587897</v>
      </c>
      <c r="I91" s="11">
        <f ca="1">-I30*SUM(I58:I60)</f>
        <v>1936.1941685736733</v>
      </c>
      <c r="J91" s="11">
        <f ca="1">-J30*SUM(J58:J60)</f>
        <v>2039.3584366862278</v>
      </c>
      <c r="K91" s="11">
        <f ca="1">-K30*SUM(K58:K60)</f>
        <v>2132.2997150337674</v>
      </c>
    </row>
    <row r="92" spans="1:11" x14ac:dyDescent="0.25">
      <c r="A92" s="1"/>
      <c r="B92" s="4" t="s">
        <v>29</v>
      </c>
      <c r="C92" s="33"/>
      <c r="D92" s="5">
        <f>SUM(D86:D91)</f>
        <v>13911</v>
      </c>
      <c r="E92" s="5">
        <f>SUM(E86:E91)</f>
        <v>15263</v>
      </c>
      <c r="F92" s="5"/>
      <c r="G92" s="5">
        <f t="shared" ref="G92" ca="1" si="94">SUM(G86:G91)</f>
        <v>16022.782510479463</v>
      </c>
      <c r="H92" s="5">
        <f t="shared" ref="H92:K92" ca="1" si="95">SUM(H86:H91)</f>
        <v>16456.084274902198</v>
      </c>
      <c r="I92" s="5">
        <f t="shared" ca="1" si="95"/>
        <v>16873.137778038195</v>
      </c>
      <c r="J92" s="5">
        <f t="shared" ca="1" si="95"/>
        <v>17261.936981915213</v>
      </c>
      <c r="K92" s="5">
        <f t="shared" ca="1" si="95"/>
        <v>17590.548328479752</v>
      </c>
    </row>
    <row r="94" spans="1:11" x14ac:dyDescent="0.25">
      <c r="B94" s="8" t="s">
        <v>33</v>
      </c>
      <c r="C94" s="31"/>
      <c r="D94" s="23">
        <v>-3862</v>
      </c>
      <c r="E94" s="23">
        <v>-3625</v>
      </c>
      <c r="F94" s="9"/>
      <c r="G94" s="9">
        <f ca="1">E94+G125+G105+G119+G120+G122</f>
        <v>-4266.3280456559905</v>
      </c>
      <c r="H94" s="9">
        <f t="shared" ref="H94:K94" ca="1" si="96">G94+H125+H105+H119+H120+H122</f>
        <v>-4357.8625275747008</v>
      </c>
      <c r="I94" s="9">
        <f t="shared" ca="1" si="96"/>
        <v>-4445.6442089847233</v>
      </c>
      <c r="J94" s="9">
        <f t="shared" ca="1" si="96"/>
        <v>-4525.5505676999928</v>
      </c>
      <c r="K94" s="9">
        <f t="shared" ca="1" si="96"/>
        <v>-4582.0605800218209</v>
      </c>
    </row>
    <row r="95" spans="1:11" x14ac:dyDescent="0.25">
      <c r="B95" s="8" t="s">
        <v>34</v>
      </c>
      <c r="C95" s="31"/>
      <c r="D95" s="45">
        <v>661</v>
      </c>
      <c r="E95" s="45">
        <v>641</v>
      </c>
      <c r="F95" s="11"/>
      <c r="G95" s="11">
        <f ca="1">E95+G106+G121</f>
        <v>643.09316059083085</v>
      </c>
      <c r="H95" s="11">
        <f t="shared" ref="H95:K95" ca="1" si="97">G95+H106+H121</f>
        <v>645.30465250159432</v>
      </c>
      <c r="I95" s="11">
        <f t="shared" ca="1" si="97"/>
        <v>647.67898920509492</v>
      </c>
      <c r="J95" s="11">
        <f t="shared" ca="1" si="97"/>
        <v>650.17660685155431</v>
      </c>
      <c r="K95" s="11">
        <f t="shared" ca="1" si="97"/>
        <v>652.84136728109661</v>
      </c>
    </row>
    <row r="96" spans="1:11" s="1" customFormat="1" x14ac:dyDescent="0.25">
      <c r="B96" s="4" t="s">
        <v>35</v>
      </c>
      <c r="C96" s="33"/>
      <c r="D96" s="5">
        <f>SUM(D94:D95)</f>
        <v>-3201</v>
      </c>
      <c r="E96" s="5">
        <f>SUM(E94:E95)</f>
        <v>-2984</v>
      </c>
      <c r="F96" s="5"/>
      <c r="G96" s="5">
        <f t="shared" ref="G96" ca="1" si="98">SUM(G94:G95)</f>
        <v>-3623.2348850651597</v>
      </c>
      <c r="H96" s="5">
        <f t="shared" ref="H96" ca="1" si="99">SUM(H94:H95)</f>
        <v>-3712.5578750731065</v>
      </c>
      <c r="I96" s="5">
        <f t="shared" ref="I96" ca="1" si="100">SUM(I94:I95)</f>
        <v>-3797.9652197796286</v>
      </c>
      <c r="J96" s="5">
        <f t="shared" ref="J96" ca="1" si="101">SUM(J94:J95)</f>
        <v>-3875.3739608484384</v>
      </c>
      <c r="K96" s="5">
        <f t="shared" ref="K96" ca="1" si="102">SUM(K94:K95)</f>
        <v>-3929.2192127407243</v>
      </c>
    </row>
    <row r="98" spans="1:11" s="1" customFormat="1" x14ac:dyDescent="0.25">
      <c r="B98" s="10" t="s">
        <v>37</v>
      </c>
      <c r="C98" s="34"/>
      <c r="D98" s="6">
        <f>SUM(D96+D92)</f>
        <v>10710</v>
      </c>
      <c r="E98" s="6">
        <f t="shared" ref="E98:G98" si="103">SUM(E96+E92)</f>
        <v>12279</v>
      </c>
      <c r="F98" s="6"/>
      <c r="G98" s="6">
        <f t="shared" ca="1" si="103"/>
        <v>12399.547625414303</v>
      </c>
      <c r="H98" s="6">
        <f t="shared" ref="H98:K98" ca="1" si="104">SUM(H96+H92)</f>
        <v>12743.52639982909</v>
      </c>
      <c r="I98" s="6">
        <f t="shared" ca="1" si="104"/>
        <v>13075.172558258568</v>
      </c>
      <c r="J98" s="6">
        <f t="shared" ca="1" si="104"/>
        <v>13386.563021066773</v>
      </c>
      <c r="K98" s="6">
        <f t="shared" ca="1" si="104"/>
        <v>13661.329115739027</v>
      </c>
    </row>
    <row r="100" spans="1:11" s="28" customFormat="1" x14ac:dyDescent="0.25">
      <c r="B100" s="39" t="s">
        <v>38</v>
      </c>
      <c r="C100" s="39"/>
      <c r="D100" s="40">
        <f>D98-D83</f>
        <v>0</v>
      </c>
      <c r="E100" s="40">
        <f t="shared" ref="E100:G100" si="105">E98-E83</f>
        <v>0</v>
      </c>
      <c r="F100" s="40"/>
      <c r="G100" s="40">
        <f t="shared" ca="1" si="105"/>
        <v>0</v>
      </c>
      <c r="H100" s="40">
        <f t="shared" ref="H100:K100" ca="1" si="106">H98-H83</f>
        <v>0</v>
      </c>
      <c r="I100" s="40">
        <f t="shared" ca="1" si="106"/>
        <v>0</v>
      </c>
      <c r="J100" s="40">
        <f t="shared" ca="1" si="106"/>
        <v>0</v>
      </c>
      <c r="K100" s="40">
        <f t="shared" ca="1" si="106"/>
        <v>0</v>
      </c>
    </row>
    <row r="102" spans="1:11" ht="15.6" x14ac:dyDescent="0.25">
      <c r="A102" s="2" t="s">
        <v>36</v>
      </c>
      <c r="B102" s="15" t="s">
        <v>39</v>
      </c>
      <c r="C102" s="42">
        <v>43830</v>
      </c>
      <c r="D102" s="42">
        <f>EOMONTH(C102,12)</f>
        <v>44196</v>
      </c>
      <c r="E102" s="42">
        <f t="shared" ref="E102" si="107">EOMONTH(D102,12)</f>
        <v>44561</v>
      </c>
      <c r="F102" s="12"/>
      <c r="G102" s="41">
        <f>EOMONTH(E102,12)</f>
        <v>44926</v>
      </c>
      <c r="H102" s="41">
        <f t="shared" ref="H102" si="108">EOMONTH(G102,12)</f>
        <v>45291</v>
      </c>
      <c r="I102" s="41">
        <f t="shared" ref="I102" si="109">EOMONTH(H102,12)</f>
        <v>45657</v>
      </c>
      <c r="J102" s="41">
        <f t="shared" ref="J102" si="110">EOMONTH(I102,12)</f>
        <v>46022</v>
      </c>
      <c r="K102" s="41">
        <f t="shared" ref="K102" si="111">EOMONTH(J102,12)</f>
        <v>46387</v>
      </c>
    </row>
    <row r="103" spans="1:11" s="35" customFormat="1" x14ac:dyDescent="0.25">
      <c r="B103" s="44" t="s">
        <v>94</v>
      </c>
      <c r="C103" s="36"/>
      <c r="D103" s="36"/>
      <c r="E103" s="36"/>
      <c r="F103" s="36"/>
      <c r="G103" s="36"/>
      <c r="H103" s="36"/>
      <c r="I103" s="36"/>
      <c r="J103" s="36"/>
      <c r="K103" s="36"/>
    </row>
    <row r="104" spans="1:11" s="37" customFormat="1" x14ac:dyDescent="0.25">
      <c r="B104" s="37" t="s">
        <v>40</v>
      </c>
    </row>
    <row r="105" spans="1:11" s="1" customFormat="1" x14ac:dyDescent="0.25">
      <c r="B105" s="14" t="s">
        <v>41</v>
      </c>
      <c r="C105" s="9">
        <f>C72</f>
        <v>1116</v>
      </c>
      <c r="D105" s="23">
        <v>906</v>
      </c>
      <c r="E105" s="23">
        <v>1246</v>
      </c>
      <c r="F105" s="9"/>
      <c r="G105" s="9">
        <f ca="1">G72</f>
        <v>1176.3526246579986</v>
      </c>
      <c r="H105" s="9">
        <f t="shared" ref="H105:K105" ca="1" si="112">H72</f>
        <v>1242.8546213952477</v>
      </c>
      <c r="I105" s="9">
        <f t="shared" ca="1" si="112"/>
        <v>1334.37311270796</v>
      </c>
      <c r="J105" s="9">
        <f t="shared" ca="1" si="112"/>
        <v>1403.6567890083861</v>
      </c>
      <c r="K105" s="9">
        <f t="shared" ca="1" si="112"/>
        <v>1497.5907434471835</v>
      </c>
    </row>
    <row r="106" spans="1:11" x14ac:dyDescent="0.25">
      <c r="B106" s="3" t="s">
        <v>42</v>
      </c>
      <c r="C106" s="9">
        <f>-C71</f>
        <v>151</v>
      </c>
      <c r="D106" s="23">
        <v>150</v>
      </c>
      <c r="E106" s="23">
        <v>174</v>
      </c>
      <c r="F106" s="9"/>
      <c r="G106" s="9">
        <f ca="1">-G71</f>
        <v>172.55177385633661</v>
      </c>
      <c r="H106" s="9">
        <f t="shared" ref="H106:K106" ca="1" si="113">-H71</f>
        <v>182.30653383346231</v>
      </c>
      <c r="I106" s="9">
        <f t="shared" ca="1" si="113"/>
        <v>195.73080618653788</v>
      </c>
      <c r="J106" s="9">
        <f t="shared" ca="1" si="113"/>
        <v>205.89359325763607</v>
      </c>
      <c r="K106" s="9">
        <f t="shared" ca="1" si="113"/>
        <v>219.67217471697282</v>
      </c>
    </row>
    <row r="107" spans="1:11" x14ac:dyDescent="0.25">
      <c r="B107" s="3" t="s">
        <v>43</v>
      </c>
      <c r="C107" s="23">
        <v>180</v>
      </c>
      <c r="D107" s="23">
        <v>191</v>
      </c>
      <c r="E107" s="23">
        <v>203</v>
      </c>
      <c r="F107" s="9"/>
      <c r="G107" s="9">
        <f ca="1">G33*G56</f>
        <v>217.03360260120607</v>
      </c>
      <c r="H107" s="9">
        <f ca="1">H33*H56</f>
        <v>230.94568001055515</v>
      </c>
      <c r="I107" s="9">
        <f ca="1">I33*I56</f>
        <v>244.70166330275376</v>
      </c>
      <c r="J107" s="9">
        <f ca="1">J33*J56</f>
        <v>257.96150137867033</v>
      </c>
      <c r="K107" s="9">
        <f ca="1">K33*K56</f>
        <v>270.19085888449325</v>
      </c>
    </row>
    <row r="108" spans="1:11" x14ac:dyDescent="0.25">
      <c r="B108" s="3" t="s">
        <v>44</v>
      </c>
      <c r="C108" s="23">
        <v>54</v>
      </c>
      <c r="D108" s="23">
        <v>156</v>
      </c>
      <c r="E108" s="23">
        <v>-33</v>
      </c>
      <c r="F108" s="9"/>
      <c r="G108" s="9">
        <f ca="1">G34*G56</f>
        <v>71.031107918261227</v>
      </c>
      <c r="H108" s="9">
        <f ca="1">H34*H56</f>
        <v>75.584275077571832</v>
      </c>
      <c r="I108" s="9">
        <f ca="1">I34*I56</f>
        <v>80.086355502165617</v>
      </c>
      <c r="J108" s="9">
        <f ca="1">J34*J56</f>
        <v>84.426056719215168</v>
      </c>
      <c r="K108" s="9">
        <f ca="1">K34*K56</f>
        <v>88.428500591297293</v>
      </c>
    </row>
    <row r="109" spans="1:11" x14ac:dyDescent="0.25">
      <c r="B109" s="3" t="s">
        <v>45</v>
      </c>
      <c r="C109" s="23">
        <v>-32</v>
      </c>
      <c r="D109" s="23">
        <v>77</v>
      </c>
      <c r="E109" s="23">
        <v>160</v>
      </c>
      <c r="F109" s="9"/>
      <c r="G109" s="9">
        <f ca="1">E78-G78+E79-G79+E81-G81+SUM(G86:G88)-SUM(E86:E88)+SUM(G90:G91)-SUM(E90:E91)</f>
        <v>383.09065907221202</v>
      </c>
      <c r="H109" s="9">
        <f t="shared" ref="H109:K109" ca="1" si="114">G78-H78+G79-H79+G81-H81+SUM(H86:H88)-SUM(G86:G88)+SUM(H90:H91)-SUM(G90:G91)</f>
        <v>206.61854861916663</v>
      </c>
      <c r="I109" s="9">
        <f t="shared" ca="1" si="114"/>
        <v>199.63982701208533</v>
      </c>
      <c r="J109" s="9">
        <f t="shared" ca="1" si="114"/>
        <v>191.21787924731234</v>
      </c>
      <c r="K109" s="9">
        <f t="shared" ca="1" si="114"/>
        <v>167.59707318052278</v>
      </c>
    </row>
    <row r="110" spans="1:11" s="1" customFormat="1" x14ac:dyDescent="0.25">
      <c r="B110" s="4" t="s">
        <v>46</v>
      </c>
      <c r="C110" s="5">
        <f>SUM(C105:C109)</f>
        <v>1469</v>
      </c>
      <c r="D110" s="5">
        <f t="shared" ref="D110:E110" si="115">SUM(D105:D109)</f>
        <v>1480</v>
      </c>
      <c r="E110" s="5">
        <f t="shared" si="115"/>
        <v>1750</v>
      </c>
      <c r="F110" s="5"/>
      <c r="G110" s="5">
        <f t="shared" ref="G110" ca="1" si="116">SUM(G105:G109)</f>
        <v>2020.0597681060144</v>
      </c>
      <c r="H110" s="5">
        <f t="shared" ref="H110:K110" ca="1" si="117">SUM(H105:H109)</f>
        <v>1938.3096589360036</v>
      </c>
      <c r="I110" s="5">
        <f t="shared" ca="1" si="117"/>
        <v>2054.5317647115025</v>
      </c>
      <c r="J110" s="5">
        <f t="shared" ca="1" si="117"/>
        <v>2143.1558196112201</v>
      </c>
      <c r="K110" s="5">
        <f t="shared" ca="1" si="117"/>
        <v>2243.4793508204698</v>
      </c>
    </row>
    <row r="111" spans="1:11" x14ac:dyDescent="0.25">
      <c r="B111"/>
      <c r="C111" s="9"/>
      <c r="D111" s="9"/>
      <c r="E111" s="9"/>
      <c r="F111" s="9"/>
      <c r="G111" s="9"/>
      <c r="H111" s="9"/>
      <c r="I111" s="9"/>
      <c r="J111" s="9"/>
      <c r="K111" s="9"/>
    </row>
    <row r="112" spans="1:11" s="1" customFormat="1" x14ac:dyDescent="0.25">
      <c r="B112" s="14" t="s">
        <v>47</v>
      </c>
      <c r="C112" s="9"/>
      <c r="D112" s="9"/>
      <c r="E112" s="9"/>
      <c r="F112" s="9"/>
      <c r="G112" s="9"/>
      <c r="H112" s="9"/>
      <c r="I112" s="9"/>
      <c r="J112" s="9"/>
      <c r="K112" s="9"/>
    </row>
    <row r="113" spans="2:11" x14ac:dyDescent="0.25">
      <c r="B113" s="3" t="s">
        <v>48</v>
      </c>
      <c r="C113" s="23">
        <v>-145</v>
      </c>
      <c r="D113" s="23">
        <v>-183</v>
      </c>
      <c r="E113" s="23">
        <v>-156</v>
      </c>
      <c r="F113" s="9"/>
      <c r="G113" s="9">
        <f ca="1">-G32*G56</f>
        <v>-183.72712655311824</v>
      </c>
      <c r="H113" s="9">
        <f ca="1">-H32*H56</f>
        <v>-195.50422455162905</v>
      </c>
      <c r="I113" s="9">
        <f ca="1">-I32*I56</f>
        <v>-207.14918299537885</v>
      </c>
      <c r="J113" s="9">
        <f ca="1">-J32*J56</f>
        <v>-218.37413580936422</v>
      </c>
      <c r="K113" s="9">
        <f ca="1">-K32*K56</f>
        <v>-228.72674797267149</v>
      </c>
    </row>
    <row r="114" spans="2:11" x14ac:dyDescent="0.25">
      <c r="B114" s="3" t="s">
        <v>49</v>
      </c>
      <c r="C114" s="23">
        <v>-58</v>
      </c>
      <c r="D114" s="23">
        <v>-170</v>
      </c>
      <c r="E114" s="23">
        <v>67</v>
      </c>
      <c r="F114" s="9"/>
      <c r="G114" s="9">
        <f>-G36</f>
        <v>-75</v>
      </c>
      <c r="H114" s="9">
        <f>-H36</f>
        <v>-75</v>
      </c>
      <c r="I114" s="9">
        <f>-I36</f>
        <v>-75</v>
      </c>
      <c r="J114" s="9">
        <f>-J36</f>
        <v>-75</v>
      </c>
      <c r="K114" s="9">
        <f>-K36</f>
        <v>-75</v>
      </c>
    </row>
    <row r="115" spans="2:11" x14ac:dyDescent="0.25">
      <c r="B115" s="4" t="s">
        <v>50</v>
      </c>
      <c r="C115" s="5">
        <f>SUM(C113:C114)</f>
        <v>-203</v>
      </c>
      <c r="D115" s="5">
        <f t="shared" ref="D115:G115" si="118">SUM(D113:D114)</f>
        <v>-353</v>
      </c>
      <c r="E115" s="5">
        <f t="shared" si="118"/>
        <v>-89</v>
      </c>
      <c r="F115" s="5"/>
      <c r="G115" s="5">
        <f t="shared" ca="1" si="118"/>
        <v>-258.72712655311824</v>
      </c>
      <c r="H115" s="5">
        <f t="shared" ref="H115:K115" ca="1" si="119">SUM(H113:H114)</f>
        <v>-270.50422455162902</v>
      </c>
      <c r="I115" s="5">
        <f t="shared" ca="1" si="119"/>
        <v>-282.14918299537885</v>
      </c>
      <c r="J115" s="5">
        <f t="shared" ca="1" si="119"/>
        <v>-293.37413580936425</v>
      </c>
      <c r="K115" s="5">
        <f t="shared" ca="1" si="119"/>
        <v>-303.72674797267149</v>
      </c>
    </row>
    <row r="116" spans="2:11" x14ac:dyDescent="0.25">
      <c r="B116"/>
      <c r="C116" s="9"/>
      <c r="D116" s="9"/>
      <c r="E116" s="9"/>
      <c r="F116" s="9"/>
      <c r="G116" s="9"/>
      <c r="H116" s="9"/>
      <c r="I116" s="9"/>
      <c r="J116" s="9"/>
      <c r="K116" s="9"/>
    </row>
    <row r="117" spans="2:11" x14ac:dyDescent="0.25">
      <c r="B117" s="14" t="s">
        <v>51</v>
      </c>
      <c r="C117" s="9"/>
      <c r="D117" s="9"/>
      <c r="E117" s="9"/>
      <c r="F117" s="9"/>
      <c r="G117" s="9"/>
      <c r="H117" s="9"/>
      <c r="I117" s="9"/>
      <c r="J117" s="9"/>
      <c r="K117" s="9"/>
    </row>
    <row r="118" spans="2:11" x14ac:dyDescent="0.25">
      <c r="B118" s="3" t="s">
        <v>52</v>
      </c>
      <c r="C118" s="23">
        <v>6</v>
      </c>
      <c r="D118" s="23">
        <v>5947</v>
      </c>
      <c r="E118" s="23">
        <v>1375</v>
      </c>
      <c r="F118" s="9"/>
      <c r="G118" s="9">
        <f ca="1">G44</f>
        <v>-248.19335797340139</v>
      </c>
      <c r="H118" s="9">
        <f t="shared" ref="H118:K118" ca="1" si="120">H44</f>
        <v>-153.32128914771783</v>
      </c>
      <c r="I118" s="9">
        <f t="shared" ca="1" si="120"/>
        <v>-156.87131811510352</v>
      </c>
      <c r="J118" s="9">
        <f t="shared" ca="1" si="120"/>
        <v>-162.82256046702338</v>
      </c>
      <c r="K118" s="9">
        <f t="shared" ca="1" si="120"/>
        <v>-168.64443279135693</v>
      </c>
    </row>
    <row r="119" spans="2:11" x14ac:dyDescent="0.25">
      <c r="B119" s="3" t="s">
        <v>53</v>
      </c>
      <c r="C119" s="23">
        <v>0</v>
      </c>
      <c r="D119" s="23">
        <v>-260</v>
      </c>
      <c r="E119" s="23">
        <v>-393</v>
      </c>
      <c r="F119" s="9"/>
      <c r="G119" s="9">
        <f ca="1">-G72*G45</f>
        <v>-411.72341863029948</v>
      </c>
      <c r="H119" s="9">
        <f ca="1">-H72*H45</f>
        <v>-466.07048302321789</v>
      </c>
      <c r="I119" s="9">
        <f ca="1">-I72*I45</f>
        <v>-533.74924508318406</v>
      </c>
      <c r="J119" s="9">
        <f ca="1">-J72*J45</f>
        <v>-561.46271560335447</v>
      </c>
      <c r="K119" s="9">
        <f ca="1">-K72*K45</f>
        <v>-599.03629737887343</v>
      </c>
    </row>
    <row r="120" spans="2:11" x14ac:dyDescent="0.25">
      <c r="B120" s="3" t="s">
        <v>54</v>
      </c>
      <c r="C120" s="23">
        <v>0</v>
      </c>
      <c r="D120" s="23">
        <v>0</v>
      </c>
      <c r="E120" s="23">
        <v>-725</v>
      </c>
      <c r="F120" s="9"/>
      <c r="G120" s="9">
        <f ca="1">G46</f>
        <v>-1406.4290285159414</v>
      </c>
      <c r="H120" s="9">
        <f t="shared" ref="H120:K120" ca="1" si="121">H46</f>
        <v>-868.82063850373436</v>
      </c>
      <c r="I120" s="9">
        <f t="shared" ca="1" si="121"/>
        <v>-888.93746931891997</v>
      </c>
      <c r="J120" s="9">
        <f t="shared" ca="1" si="121"/>
        <v>-922.66117597979917</v>
      </c>
      <c r="K120" s="9">
        <f t="shared" ca="1" si="121"/>
        <v>-955.6517858176893</v>
      </c>
    </row>
    <row r="121" spans="2:11" x14ac:dyDescent="0.25">
      <c r="B121" s="3" t="s">
        <v>55</v>
      </c>
      <c r="C121" s="23">
        <v>-163</v>
      </c>
      <c r="D121" s="23">
        <v>-149</v>
      </c>
      <c r="E121" s="23">
        <v>-155</v>
      </c>
      <c r="F121" s="9"/>
      <c r="G121" s="9">
        <f ca="1">-G106*G47</f>
        <v>-170.45861326550568</v>
      </c>
      <c r="H121" s="9">
        <f ca="1">-H106*H47</f>
        <v>-180.09504192269875</v>
      </c>
      <c r="I121" s="9">
        <f ca="1">-I106*I47</f>
        <v>-193.3564694830373</v>
      </c>
      <c r="J121" s="9">
        <f ca="1">-J106*J47</f>
        <v>-203.39597561117668</v>
      </c>
      <c r="K121" s="9">
        <f ca="1">-K106*K47</f>
        <v>-217.00741428743052</v>
      </c>
    </row>
    <row r="122" spans="2:11" x14ac:dyDescent="0.25">
      <c r="B122" s="8" t="s">
        <v>57</v>
      </c>
      <c r="C122" s="23">
        <v>-976</v>
      </c>
      <c r="D122" s="23">
        <v>-6382</v>
      </c>
      <c r="E122" s="23">
        <v>-44</v>
      </c>
      <c r="F122" s="9"/>
      <c r="G122" s="29">
        <f ca="1">MAX(G118,0)*G49</f>
        <v>0</v>
      </c>
      <c r="H122" s="29">
        <f ca="1">MAX(H118,0)*H49</f>
        <v>0</v>
      </c>
      <c r="I122" s="29">
        <f ca="1">MAX(I118,0)*I49</f>
        <v>0</v>
      </c>
      <c r="J122" s="29">
        <f ca="1">MAX(J118,0)*J49</f>
        <v>0</v>
      </c>
      <c r="K122" s="29">
        <f ca="1">MAX(K118,0)*K49</f>
        <v>0</v>
      </c>
    </row>
    <row r="123" spans="2:11" x14ac:dyDescent="0.25">
      <c r="B123" s="4" t="s">
        <v>56</v>
      </c>
      <c r="C123" s="5">
        <f>SUM(C118:C122)</f>
        <v>-1133</v>
      </c>
      <c r="D123" s="5">
        <f t="shared" ref="D123:G123" si="122">SUM(D118:D122)</f>
        <v>-844</v>
      </c>
      <c r="E123" s="5">
        <f t="shared" si="122"/>
        <v>58</v>
      </c>
      <c r="F123" s="5"/>
      <c r="G123" s="5">
        <f t="shared" ca="1" si="122"/>
        <v>-2236.804418385148</v>
      </c>
      <c r="H123" s="5">
        <f t="shared" ref="H123:K123" ca="1" si="123">SUM(H118:H122)</f>
        <v>-1668.3074525973689</v>
      </c>
      <c r="I123" s="5">
        <f t="shared" ca="1" si="123"/>
        <v>-1772.9145020002447</v>
      </c>
      <c r="J123" s="5">
        <f t="shared" ca="1" si="123"/>
        <v>-1850.3424276613537</v>
      </c>
      <c r="K123" s="5">
        <f t="shared" ca="1" si="123"/>
        <v>-1940.3399302753501</v>
      </c>
    </row>
    <row r="124" spans="2:11" x14ac:dyDescent="0.25">
      <c r="B124"/>
    </row>
    <row r="125" spans="2:11" x14ac:dyDescent="0.25">
      <c r="B125" t="s">
        <v>58</v>
      </c>
      <c r="C125" s="23">
        <v>-20</v>
      </c>
      <c r="D125" s="23">
        <v>59</v>
      </c>
      <c r="E125" s="23">
        <v>-43</v>
      </c>
      <c r="F125" s="9"/>
      <c r="G125" s="9">
        <f ca="1">G50*G56</f>
        <v>0.4717768322516428</v>
      </c>
      <c r="H125" s="9">
        <f ca="1">H50*H56</f>
        <v>0.50201821299434024</v>
      </c>
      <c r="I125" s="9">
        <f ca="1">I50*I56</f>
        <v>0.531920284122122</v>
      </c>
      <c r="J125" s="9">
        <f ca="1">J50*J56</f>
        <v>0.56074385949777628</v>
      </c>
      <c r="K125" s="9">
        <f ca="1">K50*K56</f>
        <v>0.58732742755092848</v>
      </c>
    </row>
    <row r="126" spans="2:11" s="1" customFormat="1" x14ac:dyDescent="0.25"/>
    <row r="127" spans="2:11" s="1" customFormat="1" x14ac:dyDescent="0.25">
      <c r="B127" s="1" t="s">
        <v>59</v>
      </c>
      <c r="C127" s="6">
        <f>SUM(C123+C115+C110+C125)</f>
        <v>113</v>
      </c>
      <c r="D127" s="6">
        <f t="shared" ref="D127:E127" si="124">SUM(D123+D115+D110+D125)</f>
        <v>342</v>
      </c>
      <c r="E127" s="6">
        <f t="shared" si="124"/>
        <v>1676</v>
      </c>
      <c r="F127" s="6"/>
      <c r="G127" s="6">
        <f ca="1">SUM(G123+G115+G110+G125)</f>
        <v>-475</v>
      </c>
      <c r="H127" s="29">
        <f ca="1">SUM(H123+H115+H110+H125)</f>
        <v>9.6145313932538556E-14</v>
      </c>
      <c r="I127" s="29">
        <f t="shared" ref="I127:K127" ca="1" si="125">SUM(I123+I115+I110+I125)</f>
        <v>1.0793588245405772E-12</v>
      </c>
      <c r="J127" s="29">
        <f t="shared" ca="1" si="125"/>
        <v>-1.8496315590255108E-13</v>
      </c>
      <c r="K127" s="29">
        <f t="shared" ca="1" si="125"/>
        <v>-8.9850349382913919E-13</v>
      </c>
    </row>
    <row r="128" spans="2:11"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s="1" customFormat="1" x14ac:dyDescent="0.25"/>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ht="14.4" x14ac:dyDescent="0.3">
      <c r="B155" s="13"/>
    </row>
    <row r="156" spans="2:2" x14ac:dyDescent="0.25">
      <c r="B156"/>
    </row>
    <row r="157" spans="2:2" x14ac:dyDescent="0.25">
      <c r="B157"/>
    </row>
  </sheetData>
  <mergeCells count="1">
    <mergeCell ref="B1:K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Otis Financial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 s sabu</dc:creator>
  <cp:lastModifiedBy>subi s sabu</cp:lastModifiedBy>
  <dcterms:created xsi:type="dcterms:W3CDTF">2025-04-09T05:56:58Z</dcterms:created>
  <dcterms:modified xsi:type="dcterms:W3CDTF">2025-04-12T06:07:12Z</dcterms:modified>
</cp:coreProperties>
</file>