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subis\Downloads\"/>
    </mc:Choice>
  </mc:AlternateContent>
  <xr:revisionPtr revIDLastSave="0" documentId="13_ncr:1_{3B0319CD-F9F3-421A-AE1D-E9D82AE3B4B3}" xr6:coauthVersionLast="47" xr6:coauthVersionMax="47" xr10:uidLastSave="{00000000-0000-0000-0000-000000000000}"/>
  <bookViews>
    <workbookView xWindow="-108" yWindow="-108" windowWidth="23256" windowHeight="12456" tabRatio="927" firstSheet="1" activeTab="6" xr2:uid="{00000000-000D-0000-FFFF-FFFF00000000}"/>
  </bookViews>
  <sheets>
    <sheet name="Sequence" sheetId="59" state="hidden" r:id="rId1"/>
    <sheet name="Index" sheetId="20" r:id="rId2"/>
    <sheet name="Assumptions" sheetId="61" state="hidden" r:id="rId3"/>
    <sheet name="Apex Solutions IS" sheetId="31" r:id="rId4"/>
    <sheet name="Apex Solutions BS" sheetId="32" r:id="rId5"/>
    <sheet name="Apex Solutions CF" sheetId="57" r:id="rId6"/>
    <sheet name="Supporting Sheets &lt;&lt;&lt;" sheetId="62" r:id="rId7"/>
    <sheet name="Depreciation Capex" sheetId="54" r:id="rId8"/>
    <sheet name="Working Capital" sheetId="56" r:id="rId9"/>
    <sheet name="Debt Schedule" sheetId="58" r:id="rId10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localSheetId="5" hidden="1">#REF!</definedName>
    <definedName name="IQRCOMPSE5" localSheetId="9" hidden="1">#REF!</definedName>
    <definedName name="IQRCOMPSE5" localSheetId="7" hidden="1">#REF!</definedName>
    <definedName name="IQRCOMPSE5" localSheetId="8" hidden="1">#REF!</definedName>
    <definedName name="IQRCOMPSE5" hidden="1">#REF!</definedName>
    <definedName name="tax_rate">#REF!</definedName>
  </definedNames>
  <calcPr calcId="191029" iterate="1" iterateDelta="0"/>
</workbook>
</file>

<file path=xl/calcChain.xml><?xml version="1.0" encoding="utf-8"?>
<calcChain xmlns="http://schemas.openxmlformats.org/spreadsheetml/2006/main">
  <c r="F13" i="58" l="1"/>
  <c r="H6" i="31"/>
  <c r="G6" i="31"/>
  <c r="F6" i="31"/>
  <c r="E35" i="31"/>
  <c r="G31" i="32"/>
  <c r="H31" i="32" s="1"/>
  <c r="I31" i="32" s="1"/>
  <c r="J31" i="32" s="1"/>
  <c r="F31" i="32"/>
  <c r="G30" i="32"/>
  <c r="H30" i="32" s="1"/>
  <c r="I30" i="32" s="1"/>
  <c r="J30" i="32" s="1"/>
  <c r="F30" i="32"/>
  <c r="E61" i="61"/>
  <c r="D61" i="61"/>
  <c r="C61" i="61"/>
  <c r="E49" i="61"/>
  <c r="D49" i="61"/>
  <c r="C49" i="61"/>
  <c r="H35" i="31"/>
  <c r="I35" i="31" s="1"/>
  <c r="J35" i="31" s="1"/>
  <c r="G37" i="31"/>
  <c r="H37" i="31" s="1"/>
  <c r="I37" i="31" s="1"/>
  <c r="J37" i="31" s="1"/>
  <c r="G36" i="31"/>
  <c r="G35" i="31"/>
  <c r="H9" i="58"/>
  <c r="I9" i="58" s="1"/>
  <c r="J9" i="58" s="1"/>
  <c r="G9" i="58"/>
  <c r="G8" i="58"/>
  <c r="H8" i="58" s="1"/>
  <c r="J21" i="56"/>
  <c r="I21" i="56"/>
  <c r="H21" i="56"/>
  <c r="J20" i="56"/>
  <c r="I20" i="56"/>
  <c r="H20" i="56"/>
  <c r="J19" i="56"/>
  <c r="J15" i="56" s="1"/>
  <c r="I19" i="56"/>
  <c r="I15" i="56" s="1"/>
  <c r="H19" i="56"/>
  <c r="H15" i="56" s="1"/>
  <c r="G21" i="56"/>
  <c r="G20" i="56"/>
  <c r="G19" i="56"/>
  <c r="G15" i="56" s="1"/>
  <c r="G17" i="56"/>
  <c r="H14" i="58"/>
  <c r="I14" i="58" s="1"/>
  <c r="G14" i="58"/>
  <c r="G19" i="58"/>
  <c r="H19" i="58" s="1"/>
  <c r="I19" i="58" s="1"/>
  <c r="J19" i="58" s="1"/>
  <c r="H62" i="31"/>
  <c r="I62" i="31" s="1"/>
  <c r="J62" i="31" s="1"/>
  <c r="G62" i="31"/>
  <c r="G60" i="31"/>
  <c r="H60" i="31" s="1"/>
  <c r="I60" i="31" s="1"/>
  <c r="H56" i="31"/>
  <c r="I56" i="31" s="1"/>
  <c r="G56" i="31"/>
  <c r="H49" i="31"/>
  <c r="I49" i="31" s="1"/>
  <c r="J49" i="31" s="1"/>
  <c r="G49" i="31"/>
  <c r="G42" i="31"/>
  <c r="H42" i="31" s="1"/>
  <c r="I42" i="31" s="1"/>
  <c r="G21" i="31"/>
  <c r="H21" i="31" s="1"/>
  <c r="F21" i="31"/>
  <c r="J16" i="32"/>
  <c r="I16" i="32"/>
  <c r="I18" i="32" s="1"/>
  <c r="H16" i="32"/>
  <c r="H18" i="32" s="1"/>
  <c r="G16" i="32"/>
  <c r="G18" i="32" s="1"/>
  <c r="F16" i="32"/>
  <c r="E27" i="57"/>
  <c r="F26" i="57" s="1"/>
  <c r="F22" i="57"/>
  <c r="F23" i="57" s="1"/>
  <c r="E10" i="58"/>
  <c r="F7" i="58" s="1"/>
  <c r="F10" i="58" s="1"/>
  <c r="J18" i="57"/>
  <c r="I18" i="57"/>
  <c r="H18" i="57"/>
  <c r="G18" i="57"/>
  <c r="F18" i="57"/>
  <c r="J17" i="57"/>
  <c r="I17" i="57"/>
  <c r="H17" i="57"/>
  <c r="G17" i="57"/>
  <c r="F17" i="57"/>
  <c r="F19" i="57" s="1"/>
  <c r="C10" i="54"/>
  <c r="D10" i="54"/>
  <c r="E10" i="54"/>
  <c r="G9" i="57"/>
  <c r="F9" i="57"/>
  <c r="J18" i="32"/>
  <c r="F18" i="32"/>
  <c r="F15" i="56"/>
  <c r="D15" i="56"/>
  <c r="J17" i="56"/>
  <c r="I17" i="56"/>
  <c r="H17" i="56"/>
  <c r="J16" i="56"/>
  <c r="I16" i="56"/>
  <c r="H16" i="56"/>
  <c r="G16" i="56"/>
  <c r="F17" i="56"/>
  <c r="F16" i="56"/>
  <c r="G22" i="56"/>
  <c r="F22" i="56"/>
  <c r="D11" i="56"/>
  <c r="C11" i="56"/>
  <c r="C15" i="56" s="1"/>
  <c r="E9" i="56"/>
  <c r="E7" i="56"/>
  <c r="D7" i="56"/>
  <c r="C7" i="56"/>
  <c r="J8" i="54"/>
  <c r="I8" i="54"/>
  <c r="H8" i="54"/>
  <c r="G8" i="54"/>
  <c r="F8" i="54"/>
  <c r="E13" i="54"/>
  <c r="F10" i="54" s="1"/>
  <c r="D8" i="54"/>
  <c r="E7" i="54"/>
  <c r="D7" i="54"/>
  <c r="C7" i="54"/>
  <c r="C8" i="54" s="1"/>
  <c r="D5" i="54"/>
  <c r="C5" i="54"/>
  <c r="C60" i="31"/>
  <c r="E14" i="31"/>
  <c r="E12" i="56" s="1"/>
  <c r="H40" i="31"/>
  <c r="H41" i="31" s="1"/>
  <c r="H11" i="31" s="1"/>
  <c r="C56" i="31"/>
  <c r="E55" i="31"/>
  <c r="E56" i="31" s="1"/>
  <c r="D55" i="31"/>
  <c r="D56" i="31" s="1"/>
  <c r="C55" i="31"/>
  <c r="C57" i="31" s="1"/>
  <c r="C58" i="31" s="1"/>
  <c r="C49" i="31"/>
  <c r="E54" i="31"/>
  <c r="E57" i="31" s="1"/>
  <c r="E58" i="31" s="1"/>
  <c r="D54" i="31"/>
  <c r="D57" i="31" s="1"/>
  <c r="D58" i="31" s="1"/>
  <c r="C54" i="31"/>
  <c r="F40" i="31"/>
  <c r="F41" i="31" s="1"/>
  <c r="E48" i="31"/>
  <c r="E49" i="31" s="1"/>
  <c r="D48" i="31"/>
  <c r="C48" i="31"/>
  <c r="E47" i="31"/>
  <c r="E50" i="31" s="1"/>
  <c r="E51" i="31" s="1"/>
  <c r="D47" i="31"/>
  <c r="D50" i="31" s="1"/>
  <c r="D51" i="31" s="1"/>
  <c r="C47" i="31"/>
  <c r="C50" i="31" s="1"/>
  <c r="C51" i="31" s="1"/>
  <c r="E43" i="31"/>
  <c r="E44" i="31" s="1"/>
  <c r="E41" i="31"/>
  <c r="D41" i="31"/>
  <c r="E40" i="31"/>
  <c r="E42" i="31" s="1"/>
  <c r="D40" i="31"/>
  <c r="D43" i="31" s="1"/>
  <c r="D44" i="31" s="1"/>
  <c r="C41" i="31"/>
  <c r="C42" i="31" s="1"/>
  <c r="C40" i="31"/>
  <c r="C43" i="31" s="1"/>
  <c r="C44" i="31" s="1"/>
  <c r="G8" i="31"/>
  <c r="F8" i="31"/>
  <c r="F54" i="31" s="1"/>
  <c r="F7" i="31"/>
  <c r="F47" i="31" s="1"/>
  <c r="D37" i="31"/>
  <c r="E37" i="31"/>
  <c r="E36" i="31"/>
  <c r="D36" i="31"/>
  <c r="D35" i="31"/>
  <c r="C42" i="32"/>
  <c r="C9" i="31"/>
  <c r="C14" i="31"/>
  <c r="C12" i="56" s="1"/>
  <c r="E26" i="31"/>
  <c r="D26" i="31"/>
  <c r="C26" i="31"/>
  <c r="E24" i="32"/>
  <c r="E25" i="32" s="1"/>
  <c r="D24" i="32"/>
  <c r="D9" i="56" s="1"/>
  <c r="C24" i="32"/>
  <c r="C9" i="56" s="1"/>
  <c r="E9" i="32"/>
  <c r="E8" i="56" s="1"/>
  <c r="D9" i="32"/>
  <c r="D8" i="56" s="1"/>
  <c r="C9" i="32"/>
  <c r="C8" i="56" s="1"/>
  <c r="E28" i="32"/>
  <c r="D28" i="32"/>
  <c r="C28" i="32"/>
  <c r="C45" i="32" s="1"/>
  <c r="C33" i="32"/>
  <c r="C25" i="32"/>
  <c r="C18" i="32"/>
  <c r="D33" i="32"/>
  <c r="D18" i="32"/>
  <c r="D10" i="32"/>
  <c r="D20" i="32" s="1"/>
  <c r="C35" i="32"/>
  <c r="E33" i="32"/>
  <c r="E45" i="32" s="1"/>
  <c r="E10" i="32"/>
  <c r="E41" i="32" s="1"/>
  <c r="E18" i="32"/>
  <c r="D14" i="31"/>
  <c r="D12" i="56" s="1"/>
  <c r="D9" i="31"/>
  <c r="D60" i="31" s="1"/>
  <c r="E9" i="31"/>
  <c r="E60" i="31" s="1"/>
  <c r="F55" i="31" l="1"/>
  <c r="F13" i="31" s="1"/>
  <c r="E42" i="32"/>
  <c r="E40" i="32"/>
  <c r="C17" i="56"/>
  <c r="C16" i="56"/>
  <c r="E17" i="56"/>
  <c r="E16" i="56"/>
  <c r="I8" i="58"/>
  <c r="H22" i="57"/>
  <c r="H23" i="57" s="1"/>
  <c r="D17" i="56"/>
  <c r="D16" i="56"/>
  <c r="F11" i="31"/>
  <c r="F43" i="31"/>
  <c r="F44" i="31" s="1"/>
  <c r="G7" i="58"/>
  <c r="G10" i="58" s="1"/>
  <c r="G27" i="32" s="1"/>
  <c r="G28" i="32" s="1"/>
  <c r="F27" i="32"/>
  <c r="F28" i="32" s="1"/>
  <c r="D45" i="32"/>
  <c r="H8" i="31"/>
  <c r="H54" i="31" s="1"/>
  <c r="D49" i="31"/>
  <c r="F9" i="31"/>
  <c r="E5" i="54"/>
  <c r="E8" i="54" s="1"/>
  <c r="E11" i="56"/>
  <c r="E15" i="56" s="1"/>
  <c r="F15" i="58"/>
  <c r="F24" i="31" s="1"/>
  <c r="G22" i="57"/>
  <c r="G23" i="57" s="1"/>
  <c r="G7" i="31"/>
  <c r="G47" i="31" s="1"/>
  <c r="H36" i="31"/>
  <c r="I36" i="31" s="1"/>
  <c r="J36" i="31" s="1"/>
  <c r="D42" i="31"/>
  <c r="E20" i="32"/>
  <c r="C10" i="32"/>
  <c r="D25" i="32"/>
  <c r="D42" i="32" s="1"/>
  <c r="I8" i="31"/>
  <c r="J8" i="31" s="1"/>
  <c r="J54" i="31" s="1"/>
  <c r="G54" i="31"/>
  <c r="G55" i="31" s="1"/>
  <c r="G13" i="31" s="1"/>
  <c r="H7" i="31"/>
  <c r="G40" i="31"/>
  <c r="G41" i="31" s="1"/>
  <c r="G11" i="31" s="1"/>
  <c r="H7" i="58"/>
  <c r="H10" i="58" s="1"/>
  <c r="I7" i="58" s="1"/>
  <c r="I10" i="58" s="1"/>
  <c r="G13" i="58"/>
  <c r="G15" i="58" s="1"/>
  <c r="G24" i="31" s="1"/>
  <c r="J8" i="58"/>
  <c r="J22" i="57" s="1"/>
  <c r="J23" i="57" s="1"/>
  <c r="I22" i="57"/>
  <c r="I23" i="57" s="1"/>
  <c r="H13" i="58"/>
  <c r="H15" i="58" s="1"/>
  <c r="H24" i="31" s="1"/>
  <c r="J22" i="56"/>
  <c r="J14" i="58"/>
  <c r="J60" i="31"/>
  <c r="J56" i="31"/>
  <c r="J55" i="31" s="1"/>
  <c r="G57" i="31"/>
  <c r="G58" i="31" s="1"/>
  <c r="J42" i="31"/>
  <c r="H43" i="31"/>
  <c r="H44" i="31" s="1"/>
  <c r="I21" i="31"/>
  <c r="H9" i="57"/>
  <c r="E35" i="32"/>
  <c r="E37" i="32" s="1"/>
  <c r="I22" i="56"/>
  <c r="H22" i="56"/>
  <c r="I6" i="31"/>
  <c r="I40" i="31" s="1"/>
  <c r="I41" i="31" s="1"/>
  <c r="H9" i="31"/>
  <c r="C16" i="31"/>
  <c r="E16" i="31"/>
  <c r="E65" i="31" s="1"/>
  <c r="D16" i="31"/>
  <c r="J7" i="58" l="1"/>
  <c r="J10" i="58" s="1"/>
  <c r="J27" i="32" s="1"/>
  <c r="J28" i="32" s="1"/>
  <c r="I27" i="32"/>
  <c r="I28" i="32" s="1"/>
  <c r="J13" i="58"/>
  <c r="J15" i="58" s="1"/>
  <c r="J24" i="31" s="1"/>
  <c r="H55" i="31"/>
  <c r="H13" i="31" s="1"/>
  <c r="D18" i="31"/>
  <c r="D65" i="31"/>
  <c r="I54" i="31"/>
  <c r="I55" i="31" s="1"/>
  <c r="I13" i="31" s="1"/>
  <c r="C18" i="31"/>
  <c r="C65" i="31"/>
  <c r="H27" i="32"/>
  <c r="H28" i="32" s="1"/>
  <c r="D41" i="32"/>
  <c r="F11" i="56"/>
  <c r="F7" i="56" s="1"/>
  <c r="F5" i="54"/>
  <c r="F7" i="54" s="1"/>
  <c r="F17" i="31"/>
  <c r="C20" i="32"/>
  <c r="C37" i="32" s="1"/>
  <c r="C40" i="32"/>
  <c r="C41" i="32"/>
  <c r="G9" i="31"/>
  <c r="G17" i="31" s="1"/>
  <c r="I13" i="58"/>
  <c r="I15" i="58" s="1"/>
  <c r="I24" i="31" s="1"/>
  <c r="D40" i="32"/>
  <c r="D35" i="32"/>
  <c r="D37" i="32" s="1"/>
  <c r="F57" i="31"/>
  <c r="F58" i="31" s="1"/>
  <c r="G43" i="31"/>
  <c r="G44" i="31" s="1"/>
  <c r="I7" i="31"/>
  <c r="H47" i="31"/>
  <c r="H11" i="56"/>
  <c r="H7" i="56" s="1"/>
  <c r="H5" i="54"/>
  <c r="H7" i="54" s="1"/>
  <c r="H17" i="31"/>
  <c r="G5" i="54"/>
  <c r="G7" i="54" s="1"/>
  <c r="G11" i="56"/>
  <c r="G7" i="56" s="1"/>
  <c r="J57" i="31"/>
  <c r="J58" i="31" s="1"/>
  <c r="J13" i="31"/>
  <c r="I11" i="31"/>
  <c r="I43" i="31"/>
  <c r="I44" i="31" s="1"/>
  <c r="J21" i="31"/>
  <c r="I9" i="57"/>
  <c r="E18" i="31"/>
  <c r="E22" i="31" s="1"/>
  <c r="J6" i="31"/>
  <c r="I9" i="31"/>
  <c r="I57" i="31" l="1"/>
  <c r="I58" i="31" s="1"/>
  <c r="F20" i="31"/>
  <c r="F8" i="57"/>
  <c r="F12" i="54"/>
  <c r="F13" i="54" s="1"/>
  <c r="D22" i="31"/>
  <c r="D66" i="31"/>
  <c r="F11" i="57"/>
  <c r="F8" i="32"/>
  <c r="C22" i="31"/>
  <c r="C66" i="31"/>
  <c r="H57" i="31"/>
  <c r="H58" i="31" s="1"/>
  <c r="H48" i="31"/>
  <c r="H12" i="31" s="1"/>
  <c r="H14" i="31" s="1"/>
  <c r="J7" i="31"/>
  <c r="J47" i="31" s="1"/>
  <c r="I47" i="31"/>
  <c r="H8" i="57"/>
  <c r="H20" i="31"/>
  <c r="H12" i="54"/>
  <c r="I5" i="54"/>
  <c r="I7" i="54" s="1"/>
  <c r="I11" i="56"/>
  <c r="I7" i="56" s="1"/>
  <c r="I17" i="31"/>
  <c r="J9" i="31"/>
  <c r="J40" i="31"/>
  <c r="G8" i="32"/>
  <c r="G11" i="57"/>
  <c r="G8" i="57"/>
  <c r="G12" i="54"/>
  <c r="G20" i="31"/>
  <c r="H8" i="32"/>
  <c r="H11" i="57"/>
  <c r="J9" i="57"/>
  <c r="G19" i="57"/>
  <c r="E66" i="31"/>
  <c r="F13" i="32" l="1"/>
  <c r="G10" i="54"/>
  <c r="G13" i="54"/>
  <c r="H10" i="54" s="1"/>
  <c r="H50" i="31"/>
  <c r="H51" i="31" s="1"/>
  <c r="C67" i="31"/>
  <c r="C28" i="31"/>
  <c r="D28" i="31"/>
  <c r="D67" i="31"/>
  <c r="J48" i="31"/>
  <c r="J12" i="31" s="1"/>
  <c r="I48" i="31"/>
  <c r="I12" i="31" s="1"/>
  <c r="I14" i="31" s="1"/>
  <c r="I50" i="31"/>
  <c r="I51" i="31" s="1"/>
  <c r="H12" i="56"/>
  <c r="H16" i="31"/>
  <c r="J41" i="31"/>
  <c r="J11" i="31" s="1"/>
  <c r="J43" i="31"/>
  <c r="J44" i="31" s="1"/>
  <c r="I20" i="31"/>
  <c r="I8" i="57"/>
  <c r="I12" i="54"/>
  <c r="J5" i="54"/>
  <c r="J7" i="54" s="1"/>
  <c r="J11" i="56"/>
  <c r="J7" i="56" s="1"/>
  <c r="J17" i="31"/>
  <c r="I8" i="32"/>
  <c r="I11" i="57"/>
  <c r="H13" i="54"/>
  <c r="I10" i="54" s="1"/>
  <c r="H19" i="57"/>
  <c r="G13" i="32"/>
  <c r="E28" i="31"/>
  <c r="E62" i="31" s="1"/>
  <c r="E67" i="31"/>
  <c r="J14" i="31" l="1"/>
  <c r="J12" i="56" s="1"/>
  <c r="J9" i="56" s="1"/>
  <c r="D30" i="31"/>
  <c r="D68" i="31"/>
  <c r="D62" i="31"/>
  <c r="J50" i="31"/>
  <c r="J51" i="31" s="1"/>
  <c r="C62" i="31"/>
  <c r="C30" i="31"/>
  <c r="C68" i="31"/>
  <c r="H13" i="32"/>
  <c r="I16" i="31"/>
  <c r="I12" i="56"/>
  <c r="H65" i="31"/>
  <c r="H18" i="31"/>
  <c r="J8" i="56"/>
  <c r="H8" i="56"/>
  <c r="H9" i="32" s="1"/>
  <c r="H9" i="56"/>
  <c r="H24" i="32" s="1"/>
  <c r="H25" i="32" s="1"/>
  <c r="J11" i="57"/>
  <c r="J8" i="32"/>
  <c r="J20" i="31"/>
  <c r="J8" i="57"/>
  <c r="J12" i="54"/>
  <c r="J16" i="31"/>
  <c r="J24" i="32"/>
  <c r="J25" i="32" s="1"/>
  <c r="J9" i="32"/>
  <c r="I13" i="54"/>
  <c r="J10" i="54" s="1"/>
  <c r="I19" i="57"/>
  <c r="E30" i="31"/>
  <c r="E68" i="31"/>
  <c r="C47" i="32" l="1"/>
  <c r="C69" i="31"/>
  <c r="D47" i="32"/>
  <c r="D69" i="31"/>
  <c r="I8" i="56"/>
  <c r="I9" i="56"/>
  <c r="I65" i="31"/>
  <c r="I18" i="31"/>
  <c r="H66" i="31"/>
  <c r="H22" i="31"/>
  <c r="H67" i="31" s="1"/>
  <c r="J18" i="31"/>
  <c r="J65" i="31"/>
  <c r="I13" i="32"/>
  <c r="J13" i="54"/>
  <c r="J13" i="32" s="1"/>
  <c r="J19" i="57"/>
  <c r="E69" i="31"/>
  <c r="E47" i="32"/>
  <c r="E21" i="56"/>
  <c r="D19" i="56"/>
  <c r="D22" i="56" s="1"/>
  <c r="E20" i="56"/>
  <c r="C20" i="56"/>
  <c r="C21" i="56"/>
  <c r="E19" i="56"/>
  <c r="E22" i="56"/>
  <c r="D21" i="56"/>
  <c r="D20" i="56"/>
  <c r="C19" i="56"/>
  <c r="C22" i="56"/>
  <c r="F48" i="31"/>
  <c r="F50" i="31" s="1"/>
  <c r="F51" i="31" s="1"/>
  <c r="G48" i="31"/>
  <c r="G12" i="31" s="1"/>
  <c r="G14" i="31" s="1"/>
  <c r="F12" i="31" l="1"/>
  <c r="F14" i="31" s="1"/>
  <c r="I13" i="57"/>
  <c r="J13" i="57"/>
  <c r="I24" i="32"/>
  <c r="I25" i="32" s="1"/>
  <c r="I66" i="31"/>
  <c r="I22" i="31"/>
  <c r="I67" i="31" s="1"/>
  <c r="I9" i="32"/>
  <c r="I12" i="57"/>
  <c r="J12" i="57"/>
  <c r="J22" i="31"/>
  <c r="J67" i="31" s="1"/>
  <c r="J66" i="31"/>
  <c r="F16" i="31"/>
  <c r="F12" i="56"/>
  <c r="G16" i="31"/>
  <c r="G12" i="56"/>
  <c r="G50" i="31"/>
  <c r="G51" i="31" s="1"/>
  <c r="F9" i="56" l="1"/>
  <c r="F8" i="56"/>
  <c r="G8" i="56"/>
  <c r="G9" i="56"/>
  <c r="G18" i="31"/>
  <c r="G65" i="31"/>
  <c r="F18" i="31"/>
  <c r="F65" i="31"/>
  <c r="F22" i="31" l="1"/>
  <c r="F66" i="31"/>
  <c r="H12" i="57"/>
  <c r="G9" i="32"/>
  <c r="G12" i="57"/>
  <c r="H13" i="57"/>
  <c r="G24" i="32"/>
  <c r="G25" i="32" s="1"/>
  <c r="G13" i="57"/>
  <c r="F9" i="32"/>
  <c r="F12" i="57"/>
  <c r="G22" i="31"/>
  <c r="G66" i="31"/>
  <c r="F24" i="32"/>
  <c r="F25" i="32" s="1"/>
  <c r="F13" i="57"/>
  <c r="G67" i="31" l="1"/>
  <c r="F67" i="31"/>
  <c r="F7" i="32" l="1"/>
  <c r="G7" i="32"/>
  <c r="H7" i="32"/>
  <c r="I7" i="32"/>
  <c r="J7" i="32"/>
  <c r="F10" i="32"/>
  <c r="G10" i="32"/>
  <c r="H10" i="32"/>
  <c r="I10" i="32"/>
  <c r="J10" i="32"/>
  <c r="F20" i="32"/>
  <c r="G20" i="32"/>
  <c r="H20" i="32"/>
  <c r="I20" i="32"/>
  <c r="J20" i="32"/>
  <c r="F32" i="32"/>
  <c r="G32" i="32"/>
  <c r="H32" i="32"/>
  <c r="I32" i="32"/>
  <c r="J32" i="32"/>
  <c r="F33" i="32"/>
  <c r="G33" i="32"/>
  <c r="H33" i="32"/>
  <c r="I33" i="32"/>
  <c r="J33" i="32"/>
  <c r="F35" i="32"/>
  <c r="G35" i="32"/>
  <c r="H35" i="32"/>
  <c r="I35" i="32"/>
  <c r="J35" i="32"/>
  <c r="F37" i="32"/>
  <c r="G37" i="32"/>
  <c r="H37" i="32"/>
  <c r="I37" i="32"/>
  <c r="J37" i="32"/>
  <c r="F40" i="32"/>
  <c r="G40" i="32"/>
  <c r="H40" i="32"/>
  <c r="I40" i="32"/>
  <c r="J40" i="32"/>
  <c r="F41" i="32"/>
  <c r="G41" i="32"/>
  <c r="H41" i="32"/>
  <c r="I41" i="32"/>
  <c r="J41" i="32"/>
  <c r="F42" i="32"/>
  <c r="G42" i="32"/>
  <c r="H42" i="32"/>
  <c r="I42" i="32"/>
  <c r="J42" i="32"/>
  <c r="F45" i="32"/>
  <c r="G45" i="32"/>
  <c r="H45" i="32"/>
  <c r="I45" i="32"/>
  <c r="J45" i="32"/>
  <c r="F47" i="32"/>
  <c r="G47" i="32"/>
  <c r="H47" i="32"/>
  <c r="I47" i="32"/>
  <c r="J47" i="32"/>
  <c r="F7" i="57"/>
  <c r="G7" i="57"/>
  <c r="H7" i="57"/>
  <c r="I7" i="57"/>
  <c r="J7" i="57"/>
  <c r="F14" i="57"/>
  <c r="G14" i="57"/>
  <c r="H14" i="57"/>
  <c r="I14" i="57"/>
  <c r="J14" i="57"/>
  <c r="F25" i="57"/>
  <c r="G25" i="57"/>
  <c r="H25" i="57"/>
  <c r="I25" i="57"/>
  <c r="J25" i="57"/>
  <c r="G26" i="57"/>
  <c r="H26" i="57"/>
  <c r="I26" i="57"/>
  <c r="J26" i="57"/>
  <c r="F27" i="57"/>
  <c r="G27" i="57"/>
  <c r="H27" i="57"/>
  <c r="I27" i="57"/>
  <c r="J27" i="57"/>
  <c r="F25" i="31"/>
  <c r="G25" i="31"/>
  <c r="H25" i="31"/>
  <c r="I25" i="31"/>
  <c r="J25" i="31"/>
  <c r="F26" i="31"/>
  <c r="G26" i="31"/>
  <c r="H26" i="31"/>
  <c r="I26" i="31"/>
  <c r="J26" i="31"/>
  <c r="F28" i="31"/>
  <c r="G28" i="31"/>
  <c r="H28" i="31"/>
  <c r="I28" i="31"/>
  <c r="J28" i="31"/>
  <c r="F29" i="31"/>
  <c r="G29" i="31"/>
  <c r="H29" i="31"/>
  <c r="I29" i="31"/>
  <c r="J29" i="31"/>
  <c r="F30" i="31"/>
  <c r="G30" i="31"/>
  <c r="H30" i="31"/>
  <c r="I30" i="31"/>
  <c r="J30" i="31"/>
  <c r="F68" i="31"/>
  <c r="G68" i="31"/>
  <c r="H68" i="31"/>
  <c r="I68" i="31"/>
  <c r="J68" i="31"/>
  <c r="F69" i="31"/>
  <c r="G69" i="31"/>
  <c r="H69" i="31"/>
  <c r="I69" i="31"/>
  <c r="J69" i="31"/>
  <c r="F18" i="58"/>
  <c r="G18" i="58"/>
  <c r="H18" i="58"/>
  <c r="I18" i="58"/>
  <c r="J18" i="58"/>
  <c r="F20" i="58"/>
  <c r="G20" i="58"/>
  <c r="H20" i="58"/>
  <c r="I20" i="58"/>
  <c r="J20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55" authorId="0" shapeId="0" xr:uid="{9A51E219-69CF-477E-BDB7-D61265C909F8}">
      <text>
        <r>
          <rPr>
            <b/>
            <sz val="9"/>
            <color indexed="81"/>
            <rFont val="Tahoma"/>
            <family val="2"/>
          </rPr>
          <t>When the company acquires another company for a premium over the fair valuation, the premium is called Goodwill.</t>
        </r>
      </text>
    </comment>
    <comment ref="B67" authorId="0" shapeId="0" xr:uid="{3FE3642E-0233-4904-A23E-37BE399BE275}">
      <text>
        <r>
          <rPr>
            <b/>
            <sz val="9"/>
            <color indexed="81"/>
            <rFont val="Tahoma"/>
            <family val="2"/>
          </rPr>
          <t>Retained Earning from Previous Year + Net Income this year (from IS) - Dividend paid (if)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6" authorId="0" shapeId="0" xr:uid="{758C57CA-A235-42D5-B4C8-34A011F8CD83}">
      <text>
        <r>
          <rPr>
            <b/>
            <sz val="9"/>
            <color indexed="81"/>
            <rFont val="Tahoma"/>
            <family val="2"/>
          </rPr>
          <t>When the company acquires another company for a premium over the fair valuation, the premium is called Goodwill.</t>
        </r>
      </text>
    </comment>
    <comment ref="B32" authorId="0" shapeId="0" xr:uid="{04342D6B-1122-4D14-B4F6-84CD17A40410}">
      <text>
        <r>
          <rPr>
            <b/>
            <sz val="9"/>
            <color indexed="81"/>
            <rFont val="Tahoma"/>
            <family val="2"/>
          </rPr>
          <t>Retained Earning from Previous Year + Net Income this year (from IS) - Dividend paid (if)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1" authorId="0" shapeId="0" xr:uid="{56C9A42D-C146-4528-A7CD-DE4EB60B472D}">
      <text>
        <r>
          <rPr>
            <sz val="9"/>
            <color indexed="81"/>
            <rFont val="Tahoma"/>
            <family val="2"/>
          </rPr>
          <t xml:space="preserve">Think of Receivables &amp; Inventory as "Assets" and positive change in Assets mean cash was paid, hence, cash outflow shown with a -ve sign in front.
</t>
        </r>
      </text>
    </comment>
    <comment ref="B13" authorId="0" shapeId="0" xr:uid="{72291357-9A10-4749-963F-516A583EBC03}">
      <text>
        <r>
          <rPr>
            <b/>
            <sz val="9"/>
            <color indexed="81"/>
            <rFont val="Tahoma"/>
            <family val="2"/>
          </rPr>
          <t xml:space="preserve">A/P is a "liability" and increase in this means cash not paid, hence in a way, cash inflow.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13" authorId="0" shapeId="0" xr:uid="{3777D74C-8F98-44BB-888F-B41076231F4B}">
      <text>
        <r>
          <rPr>
            <sz val="9"/>
            <color indexed="81"/>
            <rFont val="Tahoma"/>
            <family val="2"/>
          </rPr>
          <t>Net PPE = Beginning PPE + Additional PPE - Depreciation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F7" authorId="0" shapeId="0" xr:uid="{B9A8DD7B-50BE-4B07-81D1-BC30AB23572B}">
      <text>
        <r>
          <rPr>
            <b/>
            <sz val="9"/>
            <color indexed="81"/>
            <rFont val="Tahoma"/>
            <family val="2"/>
          </rPr>
          <t>Back calculated using Receivables Turnover formula.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subi s sabu</author>
  </authors>
  <commentList>
    <comment ref="B8" authorId="0" shapeId="0" xr:uid="{61DEF9B8-FDE3-43D6-AB9A-41B2E8AB2FC8}">
      <text>
        <r>
          <rPr>
            <b/>
            <sz val="9"/>
            <color indexed="81"/>
            <rFont val="Tahoma"/>
            <family val="2"/>
          </rPr>
          <t>subi s sabu:</t>
        </r>
        <r>
          <rPr>
            <sz val="9"/>
            <color indexed="81"/>
            <rFont val="Tahoma"/>
            <family val="2"/>
          </rPr>
          <t xml:space="preserve">
Issuance &amp; Repayment information in Company report.
</t>
        </r>
      </text>
    </comment>
    <comment ref="F9" authorId="0" shapeId="0" xr:uid="{A4BF17A1-2ABD-47A2-9EF5-16E5A7CD261D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G9" authorId="0" shapeId="0" xr:uid="{36040D12-8806-46B6-8A2B-34FA7D0B0A66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H9" authorId="0" shapeId="0" xr:uid="{F1DFFA53-A512-40AF-B2E6-C66C8C57422F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I9" authorId="0" shapeId="0" xr:uid="{CE132772-D1A4-4D7E-8B79-71746318AB33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J9" authorId="0" shapeId="0" xr:uid="{30AC8A08-B1EC-42C5-995F-B21E139A7865}">
      <text>
        <r>
          <rPr>
            <b/>
            <sz val="9"/>
            <color indexed="81"/>
            <rFont val="Tahoma"/>
            <family val="2"/>
          </rPr>
          <t>negative sign as repayment means cash outflow.</t>
        </r>
      </text>
    </comment>
    <comment ref="B13" authorId="0" shapeId="0" xr:uid="{CEC1355F-1448-4D6D-9186-B6E25449A722}">
      <text>
        <r>
          <rPr>
            <sz val="9"/>
            <color indexed="81"/>
            <rFont val="Tahoma"/>
            <family val="2"/>
          </rPr>
          <t xml:space="preserve">Average of previous year's Ending Balance and current year's Ending Balance.
</t>
        </r>
      </text>
    </comment>
    <comment ref="B15" authorId="0" shapeId="0" xr:uid="{52B449DF-0C8E-425C-9879-D53F76C5BD8B}">
      <text>
        <r>
          <rPr>
            <b/>
            <sz val="9"/>
            <color indexed="81"/>
            <rFont val="Tahoma"/>
            <family val="2"/>
          </rPr>
          <t>Average outstanding multipied by Interest rate.</t>
        </r>
      </text>
    </comment>
    <comment ref="B18" authorId="0" shapeId="0" xr:uid="{466F0A64-52EA-418D-B48A-6B223138CE80}">
      <text>
        <r>
          <rPr>
            <sz val="9"/>
            <color indexed="81"/>
            <rFont val="Tahoma"/>
            <family val="2"/>
          </rPr>
          <t>average of cash previous year and current year.</t>
        </r>
      </text>
    </comment>
    <comment ref="B20" authorId="0" shapeId="0" xr:uid="{D83834D1-0034-44C7-9BEC-BE0931318DC7}">
      <text>
        <r>
          <rPr>
            <b/>
            <sz val="9"/>
            <color indexed="81"/>
            <rFont val="Tahoma"/>
            <family val="2"/>
          </rPr>
          <t>Cash * Effective Cash Interest Rate</t>
        </r>
      </text>
    </comment>
  </commentList>
</comments>
</file>

<file path=xl/sharedStrings.xml><?xml version="1.0" encoding="utf-8"?>
<sst xmlns="http://schemas.openxmlformats.org/spreadsheetml/2006/main" count="300" uniqueCount="178">
  <si>
    <t>Historicals</t>
  </si>
  <si>
    <t>Forecasts</t>
  </si>
  <si>
    <t>EBIT</t>
  </si>
  <si>
    <t>Assets</t>
  </si>
  <si>
    <t>Current liabilities</t>
  </si>
  <si>
    <t>Other assets</t>
  </si>
  <si>
    <t>(All Data is in Millions $, Except Per Share Information)</t>
  </si>
  <si>
    <t>Goodwill</t>
  </si>
  <si>
    <t>Total revenues</t>
  </si>
  <si>
    <t>Net income</t>
  </si>
  <si>
    <t>Revenues</t>
  </si>
  <si>
    <t>Current assets</t>
  </si>
  <si>
    <t>Cash and equivalents</t>
  </si>
  <si>
    <t>Total current assets</t>
  </si>
  <si>
    <t>Total other assets</t>
  </si>
  <si>
    <t>Total assets</t>
  </si>
  <si>
    <t>Accounts payable</t>
  </si>
  <si>
    <t>Total current liabilities</t>
  </si>
  <si>
    <t>Shareholders' equity (deficit)</t>
  </si>
  <si>
    <t>Total liabilities and shareholders' equity (deficit)</t>
  </si>
  <si>
    <t>Check</t>
  </si>
  <si>
    <t>Liabilities and Shareholders Equity</t>
  </si>
  <si>
    <t>Interest Expense</t>
  </si>
  <si>
    <t>EBITDA</t>
  </si>
  <si>
    <t>Margin (%)</t>
  </si>
  <si>
    <t>Operating Costs</t>
  </si>
  <si>
    <t>Total Operating Costs</t>
  </si>
  <si>
    <t>Margin ($ million)</t>
  </si>
  <si>
    <t>Accounts Receivables</t>
  </si>
  <si>
    <t>Inventory</t>
  </si>
  <si>
    <t>SG&amp;A Expense</t>
  </si>
  <si>
    <t>Gross Margin</t>
  </si>
  <si>
    <t>EBT</t>
  </si>
  <si>
    <t>Intangible Assets</t>
  </si>
  <si>
    <t>Net Income</t>
  </si>
  <si>
    <t>Interest Rate</t>
  </si>
  <si>
    <t>Depreciation</t>
  </si>
  <si>
    <t>Amortization</t>
  </si>
  <si>
    <t>Interest Income</t>
  </si>
  <si>
    <t>Net Interest Expense</t>
  </si>
  <si>
    <t>Effective Tax Rate</t>
  </si>
  <si>
    <t>Net PPE</t>
  </si>
  <si>
    <t xml:space="preserve"> </t>
  </si>
  <si>
    <t>Additions to Intangibles</t>
  </si>
  <si>
    <t>Working Capital</t>
  </si>
  <si>
    <t>Working Capital Balances</t>
  </si>
  <si>
    <t>Accounts Payable</t>
  </si>
  <si>
    <t xml:space="preserve">Turnover Ratios </t>
  </si>
  <si>
    <t>Cash Collection Cycle</t>
  </si>
  <si>
    <t>Total Revenues</t>
  </si>
  <si>
    <t>Operating Activities</t>
  </si>
  <si>
    <t>Add Depreciation</t>
  </si>
  <si>
    <t>Add Amortization</t>
  </si>
  <si>
    <t>Change in Working Capital</t>
  </si>
  <si>
    <t>Change in Receivable</t>
  </si>
  <si>
    <t>Change in Accounts Payable</t>
  </si>
  <si>
    <t>Cash Flow from Operating Activities</t>
  </si>
  <si>
    <t>Investment Activities</t>
  </si>
  <si>
    <t>Capital Expenditures</t>
  </si>
  <si>
    <t>Cash Flow from Investing Activities</t>
  </si>
  <si>
    <t>Financing Activities</t>
  </si>
  <si>
    <t>Cash Flow from Financing Activities</t>
  </si>
  <si>
    <t>Net Change in Cash</t>
  </si>
  <si>
    <t>Beginning Cash Balance</t>
  </si>
  <si>
    <t>Ending Cash Balance</t>
  </si>
  <si>
    <t>Beginning Balance</t>
  </si>
  <si>
    <t>Ending Balance</t>
  </si>
  <si>
    <t>Issuance</t>
  </si>
  <si>
    <t>(Repayment/ Amortization)</t>
  </si>
  <si>
    <t>Effective Cash Interest Rate:</t>
  </si>
  <si>
    <t xml:space="preserve">Interest Income </t>
  </si>
  <si>
    <t>Term Loan</t>
  </si>
  <si>
    <t>Cash &amp; Cash Equivalents</t>
  </si>
  <si>
    <t>Dep Capex</t>
  </si>
  <si>
    <t>Cost of Sales</t>
  </si>
  <si>
    <t>Cost of Sales (%)</t>
  </si>
  <si>
    <t>Treasury Stock</t>
  </si>
  <si>
    <t>Retained Earnings</t>
  </si>
  <si>
    <t xml:space="preserve">Tax </t>
  </si>
  <si>
    <t>Drivers</t>
  </si>
  <si>
    <t>Total Debt</t>
  </si>
  <si>
    <t>IT Services</t>
  </si>
  <si>
    <t>Hardware</t>
  </si>
  <si>
    <t>Hardware Revenue</t>
  </si>
  <si>
    <t>Hardware Cost of Sales</t>
  </si>
  <si>
    <t>IT Services Revenues</t>
  </si>
  <si>
    <t>IT Services Cost of Sales</t>
  </si>
  <si>
    <t>Fixed Assets</t>
  </si>
  <si>
    <t>Revenue</t>
  </si>
  <si>
    <t>Apex Solutions BS</t>
  </si>
  <si>
    <t>Apex Solutions CF</t>
  </si>
  <si>
    <t>Apex Solutions - Balance Sheet</t>
  </si>
  <si>
    <t>Apex Solutions - Cash Flow</t>
  </si>
  <si>
    <t>Apex Solutions - Depreciation Capex</t>
  </si>
  <si>
    <t>Apex Solutions -  Working Capital</t>
  </si>
  <si>
    <t>Apex Solutions - Debt and Interest</t>
  </si>
  <si>
    <t>Interest Income Calculation</t>
  </si>
  <si>
    <t xml:space="preserve">Software </t>
  </si>
  <si>
    <t xml:space="preserve">Hardware </t>
  </si>
  <si>
    <t>Software Cost of Sales</t>
  </si>
  <si>
    <t>Software Revenue</t>
  </si>
  <si>
    <t>Apex Solutions IS</t>
  </si>
  <si>
    <t>Interest Expense Calculation</t>
  </si>
  <si>
    <t>Change in Inventory</t>
  </si>
  <si>
    <t xml:space="preserve">Common Stock </t>
  </si>
  <si>
    <t>Capital Expenditure</t>
  </si>
  <si>
    <t>Liquidity Ratio</t>
  </si>
  <si>
    <t>Current Ratio (Current Assets / Current Liablities)</t>
  </si>
  <si>
    <t>Leverage Ratio</t>
  </si>
  <si>
    <t>Debt to Equity Ratio</t>
  </si>
  <si>
    <t>ROE (Net Income / Shareholders Equity)</t>
  </si>
  <si>
    <t>Inventory turnover (COGS / Inventory)</t>
  </si>
  <si>
    <t>Payables turnover (COGS / Payables)</t>
  </si>
  <si>
    <t>Receivables collection period (365/receivables turnover)</t>
  </si>
  <si>
    <t>Inventory processing period (365/inventory turnover)</t>
  </si>
  <si>
    <t>Payment period (365/payables turnover)</t>
  </si>
  <si>
    <t>Receivables turnover = (Sales / Accounts Receivables)</t>
  </si>
  <si>
    <t>Apex Solutions - Income Sheet</t>
  </si>
  <si>
    <t>Financial Modelling - Apex Solutions</t>
  </si>
  <si>
    <t>Gross Margin (Gross Margin/Sales)</t>
  </si>
  <si>
    <t>EBITDA Margin (EBITDA/Sales)</t>
  </si>
  <si>
    <t>EBIT Margin (EBIT/Sales)</t>
  </si>
  <si>
    <t>EBT Margin (EBT/Sales)</t>
  </si>
  <si>
    <t>Net Income Margin (Net Income/Sales)</t>
  </si>
  <si>
    <t>Quick Ratio (Current Assets - Inventory)/ Current Liabilities</t>
  </si>
  <si>
    <t>Cash Ratio (Cash/Current Liabilities)</t>
  </si>
  <si>
    <t>Revenues (% Y-O-Y growth)</t>
  </si>
  <si>
    <t>-</t>
  </si>
  <si>
    <t>Check 'Drivers' Assumption for Forecast of Revenue in IS Sheet</t>
  </si>
  <si>
    <t>Based on Drivers, calculate the Revenues forecasting in the top rows in IS Sheet</t>
  </si>
  <si>
    <t xml:space="preserve">Back calculations for individual drivers and Margins </t>
  </si>
  <si>
    <t>IS Sheet</t>
  </si>
  <si>
    <t>Link individual driver forecasts for each driver to top total revenue and cost rows</t>
  </si>
  <si>
    <t>SG&amp;A Expense (% of Total Revenue)</t>
  </si>
  <si>
    <t xml:space="preserve">Basically after finding the driver assumptions % for future, back calculate the forecasted numbers in the top rows. </t>
  </si>
  <si>
    <t>Dep &amp; Amort &amp; Interest parts not calculated now.</t>
  </si>
  <si>
    <t>Beginning PPE</t>
  </si>
  <si>
    <t>Depreciation as a % of Revenue</t>
  </si>
  <si>
    <t>Assume depreciation % and calculate Net PPE using formula</t>
  </si>
  <si>
    <t>Also, we calculated Net PPE which is to be linked to Balance Sheet</t>
  </si>
  <si>
    <t xml:space="preserve">Also, link Dep to Cash Flow statement under CFO </t>
  </si>
  <si>
    <t>After everything's done in this sheet, 
link back depreciation amt to IS Sheet</t>
  </si>
  <si>
    <t>Working Capital Sheet</t>
  </si>
  <si>
    <t>Link all the known values and Calculate all the turnover figures first.</t>
  </si>
  <si>
    <t>Calculate A/R, A/P, Inventory Projections based on turnovers</t>
  </si>
  <si>
    <t>Now Link A/R,A/P, Inventory numbers to B/S; no linkage to IS; and link changes in A/R,A/P &amp; Inventory to Cash Flow Statement</t>
  </si>
  <si>
    <t>Cash Flow Sheet</t>
  </si>
  <si>
    <t>then we calculate the change in A/R,A/P, Inventory</t>
  </si>
  <si>
    <t>Also link CapEx to Cash Flow statement under CFI</t>
  </si>
  <si>
    <t>sum CFO.CFI, CFF individually</t>
  </si>
  <si>
    <t>Lastly, only Debt row will be empty.</t>
  </si>
  <si>
    <t>Link previous years ending balance as this year's beginning balance</t>
  </si>
  <si>
    <t>Average Outstanding</t>
  </si>
  <si>
    <t>Link Ending and beginning values for "Ending Balance'.</t>
  </si>
  <si>
    <t>Debt Schedule</t>
  </si>
  <si>
    <t>Now link Ending balance of Term Loan in BS</t>
  </si>
  <si>
    <t>Link Interest Expense and Interest Income in IS</t>
  </si>
  <si>
    <t>Link Issuance and Repayment in CFS</t>
  </si>
  <si>
    <t>now, we reach CFS Sheet and firstly link net income projections from  IS Sheet if not done before.</t>
  </si>
  <si>
    <t>Proceeds from / (repayment of) Term Loan</t>
  </si>
  <si>
    <t>Balancing the Balance Sheet</t>
  </si>
  <si>
    <t>Now Equity section (Common Stock, Treasury Stock, Retained Earnings) and Goodwill should remain, rest all should be populated.</t>
  </si>
  <si>
    <t>Common Stock and Treasury Stock forecasts remain constant</t>
  </si>
  <si>
    <t>Depreciation Capex</t>
  </si>
  <si>
    <t>Days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</si>
  <si>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</si>
  <si>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</si>
  <si>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</si>
  <si>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</si>
  <si>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</si>
  <si>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</si>
  <si>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</si>
  <si>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</si>
  <si>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Apex Solutions - Assumptions/Drivers</t>
  </si>
  <si>
    <t>Revenues (% growth)</t>
  </si>
  <si>
    <t>SUPPORTING SHEETS &lt;&lt;&lt;</t>
  </si>
  <si>
    <r>
      <rPr>
        <b/>
        <sz val="11"/>
        <color theme="1"/>
        <rFont val="Times New Roman"/>
        <family val="1"/>
      </rPr>
      <t xml:space="preserve">Project Issuance and repayment and Interest rates, Effective cash interest rate </t>
    </r>
    <r>
      <rPr>
        <sz val="11"/>
        <color theme="1"/>
        <rFont val="Times New Roman"/>
        <family val="1"/>
      </rPr>
      <t>numbers based on company annual report</t>
    </r>
  </si>
  <si>
    <t>IMPORTANT LINK: Since no dividends have been recorded, the entire "net income" from the Income Statement flows into the Balance Sheet as Retained Earnings. 
NOTE: so, Retained Earnings in Year 1 Estimate: Retained Earning from previous year +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</si>
</sst>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(* #,##0.0_);_(* \(#,##0.0\);_(* &quot;-&quot;??_);_(@_)"/>
    <numFmt numFmtId="167" formatCode="0.0%"/>
    <numFmt numFmtId="168" formatCode="&quot;FY&quot;\ 0"/>
    <numFmt numFmtId="169" formatCode="#,##0.0;\(#,##0.0\);\-"/>
    <numFmt numFmtId="170" formatCode="#,##0.00;\(#,##0.00\);\-"/>
    <numFmt numFmtId="171" formatCode="#,##0.0"/>
    <numFmt numFmtId="172" formatCode="0.0"/>
    <numFmt numFmtId="173" formatCode="#,##0.0;[Red]\-#,##0.0"/>
    <numFmt numFmtId="174" formatCode="0&quot; Days&quot;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0"/>
      <name val="Arial"/>
      <family val="2"/>
    </font>
    <font>
      <sz val="9"/>
      <name val="Geneva"/>
    </font>
    <font>
      <u/>
      <sz val="12.65"/>
      <color theme="10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BA1A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rgb="FF0000FF"/>
      <name val="Arial"/>
      <family val="2"/>
    </font>
    <font>
      <sz val="11"/>
      <color theme="4"/>
      <name val="Arial"/>
      <family val="2"/>
    </font>
    <font>
      <sz val="11"/>
      <color rgb="FF009600"/>
      <name val="Arial"/>
      <family val="2"/>
    </font>
    <font>
      <sz val="7"/>
      <color indexed="10"/>
      <name val="Arial"/>
      <family val="2"/>
    </font>
    <font>
      <b/>
      <sz val="11"/>
      <color rgb="FF00B050"/>
      <name val="Arial"/>
      <family val="2"/>
    </font>
    <font>
      <b/>
      <sz val="11"/>
      <color rgb="FF009600"/>
      <name val="Arial"/>
      <family val="2"/>
    </font>
    <font>
      <b/>
      <u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FFFF"/>
      <name val="Arial"/>
      <family val="2"/>
    </font>
    <font>
      <sz val="11"/>
      <color rgb="FFFFFFFF"/>
      <name val="Arial"/>
      <family val="2"/>
    </font>
    <font>
      <b/>
      <sz val="28"/>
      <color rgb="FF004F8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04C55"/>
        <bgColor indexed="64"/>
      </patternFill>
    </fill>
    <fill>
      <patternFill patternType="solid">
        <fgColor rgb="FF0C4E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C4E5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9" fontId="10" fillId="0" borderId="1">
      <alignment vertical="center"/>
    </xf>
    <xf numFmtId="169" fontId="1" fillId="2" borderId="2"/>
    <xf numFmtId="169" fontId="6" fillId="3" borderId="2"/>
    <xf numFmtId="167" fontId="6" fillId="3" borderId="2"/>
    <xf numFmtId="165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26" fillId="0" borderId="0"/>
  </cellStyleXfs>
  <cellXfs count="15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0" fillId="4" borderId="0" xfId="0" applyFont="1" applyFill="1"/>
    <xf numFmtId="0" fontId="21" fillId="4" borderId="0" xfId="12" applyFont="1" applyFill="1" applyAlignment="1" applyProtection="1"/>
    <xf numFmtId="0" fontId="22" fillId="0" borderId="0" xfId="12" applyFont="1" applyFill="1" applyAlignment="1" applyProtection="1"/>
    <xf numFmtId="0" fontId="20" fillId="4" borderId="0" xfId="0" applyFont="1" applyFill="1" applyAlignment="1">
      <alignment horizontal="left"/>
    </xf>
    <xf numFmtId="0" fontId="12" fillId="4" borderId="0" xfId="0" applyFont="1" applyFill="1"/>
    <xf numFmtId="0" fontId="11" fillId="4" borderId="0" xfId="0" applyFont="1" applyFill="1"/>
    <xf numFmtId="0" fontId="9" fillId="0" borderId="0" xfId="12" applyAlignment="1" applyProtection="1"/>
    <xf numFmtId="168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11" fillId="5" borderId="0" xfId="0" applyNumberFormat="1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169" fontId="23" fillId="0" borderId="0" xfId="13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 indent="2"/>
    </xf>
    <xf numFmtId="169" fontId="25" fillId="0" borderId="0" xfId="13" applyFont="1" applyBorder="1">
      <alignment vertical="center"/>
    </xf>
    <xf numFmtId="0" fontId="13" fillId="0" borderId="0" xfId="0" applyFont="1" applyAlignment="1">
      <alignment horizontal="left" vertical="center" wrapText="1" indent="2"/>
    </xf>
    <xf numFmtId="169" fontId="17" fillId="0" borderId="0" xfId="13" applyFont="1" applyBorder="1">
      <alignment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6" xfId="0" applyFont="1" applyBorder="1"/>
    <xf numFmtId="169" fontId="16" fillId="0" borderId="0" xfId="13" applyFont="1" applyBorder="1">
      <alignment vertical="center"/>
    </xf>
    <xf numFmtId="168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13" fillId="0" borderId="5" xfId="0" applyFont="1" applyBorder="1" applyAlignment="1">
      <alignment horizontal="left" inden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6" xfId="0" applyFont="1" applyBorder="1"/>
    <xf numFmtId="169" fontId="17" fillId="0" borderId="6" xfId="13" applyFont="1" applyBorder="1">
      <alignment vertical="center"/>
    </xf>
    <xf numFmtId="0" fontId="17" fillId="0" borderId="0" xfId="0" applyFont="1"/>
    <xf numFmtId="0" fontId="13" fillId="0" borderId="7" xfId="0" applyFont="1" applyBorder="1"/>
    <xf numFmtId="168" fontId="21" fillId="5" borderId="0" xfId="0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vertical="center"/>
    </xf>
    <xf numFmtId="0" fontId="2" fillId="6" borderId="0" xfId="0" applyFont="1" applyFill="1"/>
    <xf numFmtId="169" fontId="25" fillId="6" borderId="0" xfId="13" applyFont="1" applyFill="1" applyBorder="1">
      <alignment vertical="center"/>
    </xf>
    <xf numFmtId="0" fontId="17" fillId="6" borderId="0" xfId="0" applyFont="1" applyFill="1"/>
    <xf numFmtId="169" fontId="17" fillId="6" borderId="0" xfId="13" applyFont="1" applyFill="1" applyBorder="1">
      <alignment vertical="center"/>
    </xf>
    <xf numFmtId="0" fontId="13" fillId="7" borderId="4" xfId="0" applyFont="1" applyFill="1" applyBorder="1" applyAlignment="1">
      <alignment horizontal="left" vertical="center" wrapText="1" indent="2"/>
    </xf>
    <xf numFmtId="0" fontId="17" fillId="0" borderId="6" xfId="0" applyFont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20" fillId="5" borderId="0" xfId="0" applyFont="1" applyFill="1" applyAlignment="1">
      <alignment vertical="center" wrapText="1"/>
    </xf>
    <xf numFmtId="0" fontId="13" fillId="7" borderId="4" xfId="0" applyFont="1" applyFill="1" applyBorder="1"/>
    <xf numFmtId="169" fontId="28" fillId="7" borderId="4" xfId="13" applyFont="1" applyFill="1" applyBorder="1">
      <alignment vertical="center"/>
    </xf>
    <xf numFmtId="0" fontId="13" fillId="0" borderId="3" xfId="0" applyFont="1" applyBorder="1" applyAlignment="1">
      <alignment horizontal="left" vertical="center" indent="2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9" fontId="24" fillId="0" borderId="0" xfId="13" applyFont="1" applyBorder="1" applyAlignment="1">
      <alignment horizontal="right" vertical="center"/>
    </xf>
    <xf numFmtId="169" fontId="16" fillId="0" borderId="0" xfId="13" applyFont="1" applyBorder="1" applyAlignment="1">
      <alignment horizontal="right" vertical="center"/>
    </xf>
    <xf numFmtId="170" fontId="18" fillId="0" borderId="0" xfId="13" applyNumberFormat="1" applyFont="1" applyBorder="1" applyAlignment="1">
      <alignment horizontal="right" vertical="center"/>
    </xf>
    <xf numFmtId="166" fontId="13" fillId="0" borderId="0" xfId="1" applyNumberFormat="1" applyFont="1" applyFill="1" applyBorder="1" applyAlignment="1">
      <alignment horizontal="right" vertical="center" wrapText="1"/>
    </xf>
    <xf numFmtId="169" fontId="23" fillId="0" borderId="0" xfId="13" applyFont="1" applyBorder="1" applyAlignment="1">
      <alignment horizontal="right" vertical="center"/>
    </xf>
    <xf numFmtId="169" fontId="25" fillId="0" borderId="0" xfId="13" applyFont="1" applyBorder="1" applyAlignment="1">
      <alignment horizontal="right" vertical="center"/>
    </xf>
    <xf numFmtId="171" fontId="13" fillId="0" borderId="0" xfId="0" applyNumberFormat="1" applyFont="1" applyAlignment="1">
      <alignment horizontal="right" vertical="center" wrapText="1"/>
    </xf>
    <xf numFmtId="167" fontId="16" fillId="0" borderId="0" xfId="2" applyNumberFormat="1" applyFont="1" applyFill="1" applyBorder="1" applyAlignment="1">
      <alignment horizontal="right" vertical="center"/>
    </xf>
    <xf numFmtId="170" fontId="2" fillId="0" borderId="0" xfId="0" applyNumberFormat="1" applyFont="1" applyAlignment="1">
      <alignment horizontal="right" vertical="center"/>
    </xf>
    <xf numFmtId="169" fontId="17" fillId="0" borderId="5" xfId="13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2" fontId="24" fillId="0" borderId="0" xfId="13" applyNumberFormat="1" applyFont="1" applyBorder="1" applyAlignment="1">
      <alignment horizontal="right" vertical="center"/>
    </xf>
    <xf numFmtId="169" fontId="13" fillId="0" borderId="3" xfId="0" applyNumberFormat="1" applyFont="1" applyBorder="1" applyAlignment="1">
      <alignment horizontal="right" vertical="center"/>
    </xf>
    <xf numFmtId="169" fontId="13" fillId="0" borderId="0" xfId="0" applyNumberFormat="1" applyFont="1" applyAlignment="1">
      <alignment horizontal="right" vertical="center"/>
    </xf>
    <xf numFmtId="166" fontId="25" fillId="0" borderId="0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6" fontId="13" fillId="7" borderId="4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9" fontId="17" fillId="0" borderId="3" xfId="13" applyFont="1" applyBorder="1" applyAlignment="1">
      <alignment horizontal="right" vertical="center"/>
    </xf>
    <xf numFmtId="169" fontId="17" fillId="0" borderId="0" xfId="13" applyFont="1" applyBorder="1" applyAlignment="1">
      <alignment horizontal="right" vertical="center"/>
    </xf>
    <xf numFmtId="166" fontId="17" fillId="0" borderId="6" xfId="1" applyNumberFormat="1" applyFont="1" applyFill="1" applyBorder="1" applyAlignment="1">
      <alignment horizontal="right" vertical="center" wrapText="1"/>
    </xf>
    <xf numFmtId="169" fontId="17" fillId="0" borderId="6" xfId="13" applyFont="1" applyBorder="1" applyAlignment="1">
      <alignment horizontal="right" vertical="center"/>
    </xf>
    <xf numFmtId="169" fontId="17" fillId="7" borderId="4" xfId="13" applyFont="1" applyFill="1" applyBorder="1">
      <alignment vertical="center"/>
    </xf>
    <xf numFmtId="169" fontId="14" fillId="0" borderId="0" xfId="13" applyFont="1" applyBorder="1" applyAlignment="1">
      <alignment horizontal="right" vertical="center"/>
    </xf>
    <xf numFmtId="169" fontId="27" fillId="0" borderId="0" xfId="13" applyFont="1" applyBorder="1" applyAlignment="1">
      <alignment horizontal="right" vertical="center"/>
    </xf>
    <xf numFmtId="169" fontId="28" fillId="0" borderId="6" xfId="13" applyFont="1" applyBorder="1" applyAlignment="1">
      <alignment horizontal="right" vertical="center"/>
    </xf>
    <xf numFmtId="167" fontId="24" fillId="0" borderId="0" xfId="2" applyNumberFormat="1" applyFont="1" applyFill="1" applyBorder="1" applyAlignment="1">
      <alignment horizontal="right" vertical="center"/>
    </xf>
    <xf numFmtId="0" fontId="29" fillId="0" borderId="0" xfId="0" applyFont="1"/>
    <xf numFmtId="0" fontId="2" fillId="0" borderId="0" xfId="0" applyFont="1" applyAlignment="1">
      <alignment horizontal="left"/>
    </xf>
    <xf numFmtId="0" fontId="17" fillId="7" borderId="4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left" vertical="center" indent="2"/>
    </xf>
    <xf numFmtId="0" fontId="25" fillId="0" borderId="0" xfId="0" applyFont="1" applyAlignment="1">
      <alignment vertical="center"/>
    </xf>
    <xf numFmtId="165" fontId="2" fillId="0" borderId="0" xfId="1" applyFont="1" applyAlignment="1">
      <alignment horizontal="right"/>
    </xf>
    <xf numFmtId="165" fontId="2" fillId="0" borderId="0" xfId="0" applyNumberFormat="1" applyFont="1" applyAlignment="1">
      <alignment horizontal="right"/>
    </xf>
    <xf numFmtId="172" fontId="25" fillId="0" borderId="0" xfId="13" applyNumberFormat="1" applyFont="1" applyBorder="1" applyAlignment="1">
      <alignment horizontal="right" vertical="center"/>
    </xf>
    <xf numFmtId="169" fontId="2" fillId="0" borderId="0" xfId="0" applyNumberFormat="1" applyFont="1"/>
    <xf numFmtId="0" fontId="19" fillId="4" borderId="0" xfId="0" applyFont="1" applyFill="1"/>
    <xf numFmtId="10" fontId="2" fillId="0" borderId="0" xfId="2" applyNumberFormat="1" applyFont="1" applyAlignment="1">
      <alignment horizontal="right" vertical="center"/>
    </xf>
    <xf numFmtId="10" fontId="2" fillId="0" borderId="0" xfId="2" applyNumberFormat="1" applyFont="1" applyAlignment="1">
      <alignment horizontal="right"/>
    </xf>
    <xf numFmtId="165" fontId="15" fillId="7" borderId="4" xfId="1" applyFont="1" applyFill="1" applyBorder="1" applyAlignment="1">
      <alignment vertical="center" wrapText="1"/>
    </xf>
    <xf numFmtId="173" fontId="23" fillId="0" borderId="0" xfId="0" applyNumberFormat="1" applyFont="1"/>
    <xf numFmtId="174" fontId="2" fillId="0" borderId="0" xfId="0" applyNumberFormat="1" applyFont="1" applyAlignment="1">
      <alignment horizontal="right"/>
    </xf>
    <xf numFmtId="174" fontId="13" fillId="0" borderId="6" xfId="0" applyNumberFormat="1" applyFont="1" applyBorder="1" applyAlignment="1">
      <alignment horizontal="right"/>
    </xf>
    <xf numFmtId="0" fontId="13" fillId="6" borderId="0" xfId="0" applyFont="1" applyFill="1"/>
    <xf numFmtId="169" fontId="28" fillId="6" borderId="0" xfId="13" applyFont="1" applyFill="1" applyBorder="1">
      <alignment vertical="center"/>
    </xf>
    <xf numFmtId="169" fontId="28" fillId="0" borderId="0" xfId="13" applyFont="1" applyBorder="1">
      <alignment vertical="center"/>
    </xf>
    <xf numFmtId="166" fontId="16" fillId="0" borderId="0" xfId="1" applyNumberFormat="1" applyFont="1" applyBorder="1" applyAlignment="1">
      <alignment vertical="center"/>
    </xf>
    <xf numFmtId="166" fontId="13" fillId="7" borderId="4" xfId="1" applyNumberFormat="1" applyFont="1" applyFill="1" applyBorder="1" applyAlignment="1">
      <alignment vertical="center" wrapText="1"/>
    </xf>
    <xf numFmtId="170" fontId="2" fillId="0" borderId="0" xfId="0" applyNumberFormat="1" applyFont="1" applyAlignment="1">
      <alignment horizontal="right"/>
    </xf>
    <xf numFmtId="172" fontId="16" fillId="0" borderId="0" xfId="13" applyNumberFormat="1" applyFont="1" applyBorder="1" applyAlignment="1">
      <alignment horizontal="right" vertical="center"/>
    </xf>
    <xf numFmtId="172" fontId="13" fillId="0" borderId="3" xfId="1" applyNumberFormat="1" applyFont="1" applyFill="1" applyBorder="1" applyAlignment="1">
      <alignment horizontal="right" vertical="center" wrapText="1"/>
    </xf>
    <xf numFmtId="172" fontId="18" fillId="0" borderId="0" xfId="13" applyNumberFormat="1" applyFont="1" applyBorder="1" applyAlignment="1">
      <alignment horizontal="right" vertical="center"/>
    </xf>
    <xf numFmtId="172" fontId="13" fillId="0" borderId="0" xfId="1" applyNumberFormat="1" applyFont="1" applyFill="1" applyBorder="1" applyAlignment="1">
      <alignment horizontal="right" vertical="center" wrapText="1"/>
    </xf>
    <xf numFmtId="172" fontId="23" fillId="0" borderId="0" xfId="13" applyNumberFormat="1" applyFont="1" applyBorder="1" applyAlignment="1">
      <alignment horizontal="right" vertical="center"/>
    </xf>
    <xf numFmtId="172" fontId="13" fillId="0" borderId="3" xfId="0" applyNumberFormat="1" applyFont="1" applyBorder="1" applyAlignment="1">
      <alignment horizontal="right" vertical="center" wrapText="1"/>
    </xf>
    <xf numFmtId="172" fontId="13" fillId="7" borderId="4" xfId="0" applyNumberFormat="1" applyFont="1" applyFill="1" applyBorder="1" applyAlignment="1">
      <alignment horizontal="right" vertical="center" wrapText="1"/>
    </xf>
    <xf numFmtId="10" fontId="23" fillId="0" borderId="0" xfId="2" applyNumberFormat="1" applyFont="1" applyFill="1" applyBorder="1" applyAlignment="1">
      <alignment horizontal="right" vertical="center"/>
    </xf>
    <xf numFmtId="10" fontId="16" fillId="0" borderId="0" xfId="2" applyNumberFormat="1" applyFont="1" applyFill="1" applyBorder="1" applyAlignment="1">
      <alignment horizontal="right" vertical="center"/>
    </xf>
    <xf numFmtId="10" fontId="13" fillId="0" borderId="0" xfId="2" applyNumberFormat="1" applyFont="1" applyFill="1" applyBorder="1" applyAlignment="1">
      <alignment horizontal="right"/>
    </xf>
    <xf numFmtId="10" fontId="2" fillId="0" borderId="0" xfId="2" applyNumberFormat="1" applyFont="1" applyAlignment="1">
      <alignment vertical="center" wrapText="1"/>
    </xf>
    <xf numFmtId="0" fontId="2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" fillId="6" borderId="6" xfId="0" applyFont="1" applyFill="1" applyBorder="1"/>
    <xf numFmtId="168" fontId="32" fillId="9" borderId="0" xfId="0" applyNumberFormat="1" applyFont="1" applyFill="1" applyAlignment="1">
      <alignment horizontal="center" vertical="center"/>
    </xf>
    <xf numFmtId="168" fontId="33" fillId="9" borderId="0" xfId="0" applyNumberFormat="1" applyFont="1" applyFill="1" applyAlignment="1">
      <alignment horizontal="center" vertical="center"/>
    </xf>
    <xf numFmtId="174" fontId="16" fillId="0" borderId="0" xfId="0" applyNumberFormat="1" applyFont="1" applyAlignment="1">
      <alignment horizontal="right"/>
    </xf>
    <xf numFmtId="174" fontId="24" fillId="0" borderId="0" xfId="0" applyNumberFormat="1" applyFont="1" applyAlignment="1">
      <alignment horizontal="right"/>
    </xf>
    <xf numFmtId="169" fontId="2" fillId="0" borderId="0" xfId="13" applyFont="1" applyBorder="1" applyAlignment="1">
      <alignment horizontal="right" vertical="center"/>
    </xf>
    <xf numFmtId="169" fontId="2" fillId="8" borderId="0" xfId="13" applyFont="1" applyFill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168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 indent="2"/>
    </xf>
    <xf numFmtId="172" fontId="17" fillId="0" borderId="0" xfId="1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/>
    <xf numFmtId="170" fontId="16" fillId="0" borderId="0" xfId="0" applyNumberFormat="1" applyFont="1" applyAlignment="1">
      <alignment horizontal="right" vertical="center"/>
    </xf>
    <xf numFmtId="10" fontId="17" fillId="0" borderId="0" xfId="2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 wrapText="1" indent="2"/>
    </xf>
    <xf numFmtId="169" fontId="17" fillId="0" borderId="0" xfId="0" applyNumberFormat="1" applyFont="1" applyAlignment="1">
      <alignment horizontal="right" vertical="center"/>
    </xf>
    <xf numFmtId="170" fontId="16" fillId="0" borderId="0" xfId="13" applyNumberFormat="1" applyFont="1" applyBorder="1" applyAlignment="1">
      <alignment horizontal="right" vertical="center"/>
    </xf>
    <xf numFmtId="0" fontId="16" fillId="0" borderId="0" xfId="0" applyFont="1" applyAlignment="1">
      <alignment horizontal="right" vertical="center" wrapText="1"/>
    </xf>
    <xf numFmtId="0" fontId="34" fillId="0" borderId="0" xfId="0" applyFont="1"/>
    <xf numFmtId="0" fontId="7" fillId="5" borderId="0" xfId="0" applyFont="1" applyFill="1" applyAlignment="1">
      <alignment horizontal="center"/>
    </xf>
    <xf numFmtId="0" fontId="35" fillId="10" borderId="0" xfId="0" applyFont="1" applyFill="1"/>
    <xf numFmtId="0" fontId="36" fillId="0" borderId="0" xfId="0" applyFont="1"/>
    <xf numFmtId="0" fontId="36" fillId="0" borderId="0" xfId="0" applyFont="1" applyAlignment="1">
      <alignment wrapText="1"/>
    </xf>
    <xf numFmtId="0" fontId="35" fillId="11" borderId="0" xfId="0" applyFont="1" applyFill="1" applyAlignment="1">
      <alignment wrapText="1"/>
    </xf>
  </cellXfs>
  <cellStyles count="23">
    <cellStyle name="Assume #" xfId="15" xr:uid="{00000000-0005-0000-0000-000000000000}"/>
    <cellStyle name="Assume %" xfId="16" xr:uid="{00000000-0005-0000-0000-000001000000}"/>
    <cellStyle name="Comma" xfId="1" builtinId="3"/>
    <cellStyle name="Comma 2" xfId="5" xr:uid="{00000000-0005-0000-0000-000003000000}"/>
    <cellStyle name="Comma 2 2" xfId="18" xr:uid="{00000000-0005-0000-0000-000004000000}"/>
    <cellStyle name="Comma 3" xfId="6" xr:uid="{00000000-0005-0000-0000-000005000000}"/>
    <cellStyle name="Comma 4" xfId="11" xr:uid="{00000000-0005-0000-0000-000006000000}"/>
    <cellStyle name="Comma 5" xfId="17" xr:uid="{00000000-0005-0000-0000-000007000000}"/>
    <cellStyle name="Currency 2" xfId="4" xr:uid="{00000000-0005-0000-0000-000009000000}"/>
    <cellStyle name="Currency 3" xfId="9" xr:uid="{00000000-0005-0000-0000-00000A000000}"/>
    <cellStyle name="Estimates" xfId="14" xr:uid="{00000000-0005-0000-0000-00000B000000}"/>
    <cellStyle name="GivenData" xfId="13" xr:uid="{00000000-0005-0000-0000-00000C000000}"/>
    <cellStyle name="Hyperlink" xfId="12" builtinId="8"/>
    <cellStyle name="Normal" xfId="0" builtinId="0"/>
    <cellStyle name="Normal 2" xfId="3" xr:uid="{00000000-0005-0000-0000-00000F000000}"/>
    <cellStyle name="Normal 2 2" xfId="19" xr:uid="{00000000-0005-0000-0000-000010000000}"/>
    <cellStyle name="Normal 2 2 2" xfId="21" xr:uid="{00000000-0005-0000-0000-000011000000}"/>
    <cellStyle name="Normal 3" xfId="8" xr:uid="{00000000-0005-0000-0000-000012000000}"/>
    <cellStyle name="Percent" xfId="2" builtinId="5"/>
    <cellStyle name="Percent 2" xfId="7" xr:uid="{00000000-0005-0000-0000-000014000000}"/>
    <cellStyle name="Percent 2 2" xfId="20" xr:uid="{00000000-0005-0000-0000-000015000000}"/>
    <cellStyle name="Percent 3" xfId="10" xr:uid="{00000000-0005-0000-0000-000016000000}"/>
    <cellStyle name="TTS" xfId="22" xr:uid="{82A15F4E-C660-4D98-AD6B-331E774FB60D}"/>
  </cellStyles>
  <dxfs count="0"/>
  <tableStyles count="0" defaultTableStyle="TableStyleMedium2" defaultPivotStyle="PivotStyleLight16"/>
  <colors>
    <mruColors>
      <color rgb="FF0C4E54"/>
      <color rgb="FF009600"/>
      <color rgb="FF00AF00"/>
      <color rgb="FF0BA1A1"/>
      <color rgb="FF00C800"/>
      <color rgb="FF006400"/>
      <color rgb="FF00B000"/>
      <color rgb="FF50FB47"/>
      <color rgb="FF38783E"/>
      <color rgb="FF209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</xdr:colOff>
      <xdr:row>0</xdr:row>
      <xdr:rowOff>167640</xdr:rowOff>
    </xdr:from>
    <xdr:to>
      <xdr:col>7</xdr:col>
      <xdr:colOff>450343</xdr:colOff>
      <xdr:row>12</xdr:row>
      <xdr:rowOff>6638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E9838-7886-4300-B224-97DA7D3E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7640"/>
          <a:ext cx="3086863" cy="194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0096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1DAA-4172-42B8-9818-0F6A089715C8}">
  <dimension ref="B2:B39"/>
  <sheetViews>
    <sheetView showGridLines="0" workbookViewId="0">
      <selection activeCell="B10" sqref="B10"/>
    </sheetView>
  </sheetViews>
  <sheetFormatPr defaultRowHeight="13.8"/>
  <cols>
    <col min="1" max="1" width="1.88671875" style="147" customWidth="1"/>
    <col min="2" max="2" width="109.33203125" style="147" bestFit="1" customWidth="1"/>
    <col min="3" max="16384" width="8.88671875" style="147"/>
  </cols>
  <sheetData>
    <row r="2" spans="2:2">
      <c r="B2" s="146" t="s">
        <v>131</v>
      </c>
    </row>
    <row r="3" spans="2:2">
      <c r="B3" s="147" t="s">
        <v>128</v>
      </c>
    </row>
    <row r="4" spans="2:2">
      <c r="B4" s="147" t="s">
        <v>129</v>
      </c>
    </row>
    <row r="5" spans="2:2">
      <c r="B5" s="147" t="s">
        <v>130</v>
      </c>
    </row>
    <row r="6" spans="2:2">
      <c r="B6" s="147" t="s">
        <v>132</v>
      </c>
    </row>
    <row r="7" spans="2:2">
      <c r="B7" s="147" t="s">
        <v>134</v>
      </c>
    </row>
    <row r="8" spans="2:2">
      <c r="B8" s="147" t="s">
        <v>135</v>
      </c>
    </row>
    <row r="11" spans="2:2">
      <c r="B11" s="146" t="s">
        <v>73</v>
      </c>
    </row>
    <row r="12" spans="2:2">
      <c r="B12" s="147" t="s">
        <v>138</v>
      </c>
    </row>
    <row r="13" spans="2:2" ht="27.6">
      <c r="B13" s="148" t="s">
        <v>141</v>
      </c>
    </row>
    <row r="14" spans="2:2">
      <c r="B14" s="147" t="s">
        <v>139</v>
      </c>
    </row>
    <row r="15" spans="2:2">
      <c r="B15" s="147" t="s">
        <v>140</v>
      </c>
    </row>
    <row r="16" spans="2:2">
      <c r="B16" s="147" t="s">
        <v>148</v>
      </c>
    </row>
    <row r="17" spans="2:2">
      <c r="B17" s="146" t="s">
        <v>142</v>
      </c>
    </row>
    <row r="18" spans="2:2">
      <c r="B18" s="147" t="s">
        <v>143</v>
      </c>
    </row>
    <row r="19" spans="2:2">
      <c r="B19" s="147" t="s">
        <v>144</v>
      </c>
    </row>
    <row r="20" spans="2:2">
      <c r="B20" s="147" t="s">
        <v>145</v>
      </c>
    </row>
    <row r="22" spans="2:2">
      <c r="B22" s="146" t="s">
        <v>146</v>
      </c>
    </row>
    <row r="23" spans="2:2">
      <c r="B23" s="147" t="s">
        <v>158</v>
      </c>
    </row>
    <row r="24" spans="2:2">
      <c r="B24" s="147" t="s">
        <v>147</v>
      </c>
    </row>
    <row r="25" spans="2:2">
      <c r="B25" s="147" t="s">
        <v>149</v>
      </c>
    </row>
    <row r="26" spans="2:2">
      <c r="B26" s="147" t="s">
        <v>151</v>
      </c>
    </row>
    <row r="27" spans="2:2">
      <c r="B27" s="147" t="s">
        <v>150</v>
      </c>
    </row>
    <row r="29" spans="2:2">
      <c r="B29" s="146" t="s">
        <v>154</v>
      </c>
    </row>
    <row r="30" spans="2:2">
      <c r="B30" s="147" t="s">
        <v>153</v>
      </c>
    </row>
    <row r="31" spans="2:2">
      <c r="B31" s="147" t="s">
        <v>176</v>
      </c>
    </row>
    <row r="32" spans="2:2">
      <c r="B32" s="147" t="s">
        <v>155</v>
      </c>
    </row>
    <row r="33" spans="2:2">
      <c r="B33" s="147" t="s">
        <v>156</v>
      </c>
    </row>
    <row r="34" spans="2:2">
      <c r="B34" s="147" t="s">
        <v>157</v>
      </c>
    </row>
    <row r="36" spans="2:2">
      <c r="B36" s="147" t="s">
        <v>160</v>
      </c>
    </row>
    <row r="37" spans="2:2">
      <c r="B37" s="147" t="s">
        <v>161</v>
      </c>
    </row>
    <row r="38" spans="2:2">
      <c r="B38" s="147" t="s">
        <v>162</v>
      </c>
    </row>
    <row r="39" spans="2:2" ht="41.4">
      <c r="B39" s="149" t="s">
        <v>177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C15-ACE4-4D72-8F81-E4F96873E31E}">
  <sheetPr>
    <tabColor theme="8" tint="0.39997558519241921"/>
  </sheetPr>
  <dimension ref="A1:J1048493"/>
  <sheetViews>
    <sheetView showGridLines="0" zoomScale="107" zoomScaleNormal="107" workbookViewId="0">
      <pane ySplit="4" topLeftCell="A5" activePane="bottomLeft" state="frozen"/>
      <selection pane="bottomLeft" activeCell="I23" sqref="I23"/>
    </sheetView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9.5546875" style="2" bestFit="1" customWidth="1"/>
    <col min="4" max="4" width="14.5546875" style="2" customWidth="1"/>
    <col min="5" max="9" width="12.5546875" style="2" customWidth="1"/>
    <col min="10" max="10" width="10.6640625" style="2" bestFit="1" customWidth="1"/>
    <col min="11" max="16384" width="8.77734375" style="2"/>
  </cols>
  <sheetData>
    <row r="1" spans="1:10" ht="36.75" customHeight="1">
      <c r="A1" s="45" t="s">
        <v>95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0" ht="14.4">
      <c r="A2" s="12" t="s">
        <v>6</v>
      </c>
      <c r="B2" s="16"/>
      <c r="C2" s="122" t="s">
        <v>165</v>
      </c>
      <c r="D2" s="122" t="s">
        <v>166</v>
      </c>
      <c r="E2" s="122" t="s">
        <v>167</v>
      </c>
      <c r="F2" s="123" t="s">
        <v>168</v>
      </c>
      <c r="G2" s="123" t="s">
        <v>169</v>
      </c>
      <c r="H2" s="123" t="s">
        <v>170</v>
      </c>
      <c r="I2" s="123" t="s">
        <v>171</v>
      </c>
      <c r="J2" s="123" t="s">
        <v>172</v>
      </c>
    </row>
    <row r="3" spans="1:10" ht="14.4">
      <c r="A3" s="13"/>
      <c r="B3" s="30"/>
      <c r="C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E4" s="29"/>
      <c r="F4" s="29"/>
      <c r="G4" s="29"/>
      <c r="H4" s="29"/>
      <c r="I4" s="29"/>
      <c r="J4" s="29"/>
    </row>
    <row r="5" spans="1:10" ht="14.4">
      <c r="A5" s="13"/>
      <c r="B5" s="30"/>
      <c r="C5" s="30"/>
      <c r="E5" s="29"/>
      <c r="F5" s="29"/>
      <c r="G5" s="29"/>
      <c r="H5" s="29"/>
      <c r="I5" s="29"/>
      <c r="J5" s="29"/>
    </row>
    <row r="6" spans="1:10">
      <c r="B6" s="26" t="s">
        <v>71</v>
      </c>
      <c r="C6" s="60"/>
      <c r="D6" s="60"/>
      <c r="E6" s="60"/>
      <c r="F6" s="60"/>
      <c r="G6" s="60"/>
      <c r="H6" s="60"/>
      <c r="I6" s="60"/>
      <c r="J6" s="60"/>
    </row>
    <row r="7" spans="1:10">
      <c r="B7" s="2" t="s">
        <v>65</v>
      </c>
      <c r="C7" s="46"/>
      <c r="D7" s="46"/>
      <c r="E7" s="46"/>
      <c r="F7" s="60">
        <f>E10</f>
        <v>25200</v>
      </c>
      <c r="G7" s="60">
        <f t="shared" ref="G7:J7" si="0">F10</f>
        <v>24200</v>
      </c>
      <c r="H7" s="60">
        <f t="shared" si="0"/>
        <v>23200</v>
      </c>
      <c r="I7" s="60">
        <f>H10</f>
        <v>22200</v>
      </c>
      <c r="J7" s="60">
        <f t="shared" si="0"/>
        <v>21200</v>
      </c>
    </row>
    <row r="8" spans="1:10">
      <c r="B8" s="2" t="s">
        <v>67</v>
      </c>
      <c r="C8" s="46"/>
      <c r="D8" s="46"/>
      <c r="E8" s="46"/>
      <c r="F8" s="59">
        <v>1000</v>
      </c>
      <c r="G8" s="60">
        <f>F8</f>
        <v>1000</v>
      </c>
      <c r="H8" s="60">
        <f t="shared" ref="H8:J8" si="1">G8</f>
        <v>1000</v>
      </c>
      <c r="I8" s="60">
        <f t="shared" si="1"/>
        <v>1000</v>
      </c>
      <c r="J8" s="60">
        <f t="shared" si="1"/>
        <v>1000</v>
      </c>
    </row>
    <row r="9" spans="1:10" ht="18" customHeight="1">
      <c r="B9" s="2" t="s">
        <v>68</v>
      </c>
      <c r="C9" s="46"/>
      <c r="D9" s="46"/>
      <c r="E9" s="46"/>
      <c r="F9" s="59">
        <v>-2000</v>
      </c>
      <c r="G9" s="60">
        <f>F9</f>
        <v>-2000</v>
      </c>
      <c r="H9" s="60">
        <f t="shared" ref="H9:J9" si="2">G9</f>
        <v>-2000</v>
      </c>
      <c r="I9" s="60">
        <f t="shared" si="2"/>
        <v>-2000</v>
      </c>
      <c r="J9" s="60">
        <f t="shared" si="2"/>
        <v>-2000</v>
      </c>
    </row>
    <row r="10" spans="1:10">
      <c r="B10" s="27" t="s">
        <v>66</v>
      </c>
      <c r="C10" s="40"/>
      <c r="D10" s="40"/>
      <c r="E10" s="84">
        <f>'Apex Solutions BS'!E28</f>
        <v>25200</v>
      </c>
      <c r="F10" s="80">
        <f>SUM(F7:F9)</f>
        <v>24200</v>
      </c>
      <c r="G10" s="80">
        <f t="shared" ref="G10:J10" si="3">SUM(G7:G9)</f>
        <v>23200</v>
      </c>
      <c r="H10" s="80">
        <f t="shared" si="3"/>
        <v>22200</v>
      </c>
      <c r="I10" s="80">
        <f t="shared" si="3"/>
        <v>21200</v>
      </c>
      <c r="J10" s="80">
        <f t="shared" si="3"/>
        <v>20200</v>
      </c>
    </row>
    <row r="11" spans="1:10">
      <c r="E11" s="60"/>
      <c r="F11" s="60"/>
      <c r="G11" s="60"/>
      <c r="H11" s="60"/>
      <c r="I11" s="60"/>
      <c r="J11" s="60"/>
    </row>
    <row r="12" spans="1:10">
      <c r="B12" s="31" t="s">
        <v>102</v>
      </c>
      <c r="E12" s="60"/>
      <c r="F12" s="60"/>
      <c r="G12" s="60"/>
      <c r="H12" s="60"/>
      <c r="I12" s="60"/>
      <c r="J12" s="60"/>
    </row>
    <row r="13" spans="1:10">
      <c r="B13" s="2" t="s">
        <v>152</v>
      </c>
      <c r="C13" s="46"/>
      <c r="D13" s="46"/>
      <c r="E13" s="46"/>
      <c r="F13" s="60">
        <f>AVERAGE(E10:F10)</f>
        <v>24700</v>
      </c>
      <c r="G13" s="60">
        <f t="shared" ref="G13:J13" si="4">AVERAGE(F10:G10)</f>
        <v>23700</v>
      </c>
      <c r="H13" s="60">
        <f t="shared" si="4"/>
        <v>22700</v>
      </c>
      <c r="I13" s="60">
        <f t="shared" si="4"/>
        <v>21700</v>
      </c>
      <c r="J13" s="60">
        <f t="shared" si="4"/>
        <v>20700</v>
      </c>
    </row>
    <row r="14" spans="1:10">
      <c r="B14" s="2" t="s">
        <v>35</v>
      </c>
      <c r="C14" s="46"/>
      <c r="D14" s="46"/>
      <c r="E14" s="46"/>
      <c r="F14" s="85">
        <v>0.09</v>
      </c>
      <c r="G14" s="66">
        <f>F14</f>
        <v>0.09</v>
      </c>
      <c r="H14" s="66">
        <f t="shared" ref="H14:J14" si="5">G14</f>
        <v>0.09</v>
      </c>
      <c r="I14" s="66">
        <f t="shared" si="5"/>
        <v>0.09</v>
      </c>
      <c r="J14" s="66">
        <f t="shared" si="5"/>
        <v>0.09</v>
      </c>
    </row>
    <row r="15" spans="1:10">
      <c r="B15" s="27" t="s">
        <v>22</v>
      </c>
      <c r="C15" s="121"/>
      <c r="D15" s="121"/>
      <c r="E15" s="121"/>
      <c r="F15" s="80">
        <f>F14*F13</f>
        <v>2223</v>
      </c>
      <c r="G15" s="80">
        <f t="shared" ref="G15:J15" si="6">G14*G13</f>
        <v>2133</v>
      </c>
      <c r="H15" s="80">
        <f t="shared" si="6"/>
        <v>2043</v>
      </c>
      <c r="I15" s="80">
        <f t="shared" si="6"/>
        <v>1953</v>
      </c>
      <c r="J15" s="80">
        <f t="shared" si="6"/>
        <v>1863</v>
      </c>
    </row>
    <row r="16" spans="1:10">
      <c r="E16" s="60"/>
      <c r="F16" s="60"/>
      <c r="G16" s="60"/>
      <c r="H16" s="60"/>
      <c r="I16" s="60"/>
      <c r="J16" s="60"/>
    </row>
    <row r="17" spans="2:10">
      <c r="B17" s="31" t="s">
        <v>96</v>
      </c>
      <c r="E17" s="60"/>
      <c r="F17" s="60"/>
      <c r="G17" s="60"/>
      <c r="H17" s="60"/>
      <c r="I17" s="60"/>
      <c r="J17" s="60"/>
    </row>
    <row r="18" spans="2:10">
      <c r="B18" s="2" t="s">
        <v>72</v>
      </c>
      <c r="C18" s="46"/>
      <c r="D18" s="46"/>
      <c r="E18" s="46"/>
      <c r="F18" s="60">
        <f ca="1">AVERAGE('Apex Solutions BS'!E7:F7)</f>
        <v>1300.9540933545613</v>
      </c>
      <c r="G18" s="60">
        <f ca="1">AVERAGE('Apex Solutions BS'!F7:G7)</f>
        <v>1531.5121528106738</v>
      </c>
      <c r="H18" s="60">
        <f ca="1">AVERAGE('Apex Solutions BS'!G7:H7)</f>
        <v>2860.4742583230973</v>
      </c>
      <c r="I18" s="60">
        <f ca="1">AVERAGE('Apex Solutions BS'!H7:I7)</f>
        <v>6309.4176580919902</v>
      </c>
      <c r="J18" s="60">
        <f ca="1">AVERAGE('Apex Solutions BS'!I7:J7)</f>
        <v>12494.555628261032</v>
      </c>
    </row>
    <row r="19" spans="2:10">
      <c r="B19" s="2" t="s">
        <v>69</v>
      </c>
      <c r="C19" s="46"/>
      <c r="D19" s="46"/>
      <c r="E19" s="46"/>
      <c r="F19" s="85">
        <v>0.03</v>
      </c>
      <c r="G19" s="66">
        <f>F19</f>
        <v>0.03</v>
      </c>
      <c r="H19" s="66">
        <f t="shared" ref="H19:J19" si="7">G19</f>
        <v>0.03</v>
      </c>
      <c r="I19" s="66">
        <f t="shared" si="7"/>
        <v>0.03</v>
      </c>
      <c r="J19" s="66">
        <f t="shared" si="7"/>
        <v>0.03</v>
      </c>
    </row>
    <row r="20" spans="2:10">
      <c r="B20" s="27" t="s">
        <v>70</v>
      </c>
      <c r="C20" s="121"/>
      <c r="D20" s="121"/>
      <c r="E20" s="121"/>
      <c r="F20" s="80">
        <f ca="1">F19*F18</f>
        <v>39.028622800636839</v>
      </c>
      <c r="G20" s="80">
        <f t="shared" ref="G20:J20" ca="1" si="8">G19*G18</f>
        <v>45.94536458432021</v>
      </c>
      <c r="H20" s="80">
        <f t="shared" ca="1" si="8"/>
        <v>85.814227749692918</v>
      </c>
      <c r="I20" s="80">
        <f t="shared" ca="1" si="8"/>
        <v>189.28252974275969</v>
      </c>
      <c r="J20" s="80">
        <f t="shared" ca="1" si="8"/>
        <v>374.83666884783094</v>
      </c>
    </row>
    <row r="21" spans="2:10">
      <c r="E21" s="28"/>
      <c r="F21" s="28"/>
      <c r="G21" s="28"/>
      <c r="H21" s="28"/>
      <c r="I21" s="28"/>
      <c r="J21" s="28"/>
    </row>
    <row r="22" spans="2:10">
      <c r="E22" s="28"/>
      <c r="F22" s="28"/>
      <c r="G22" s="28"/>
      <c r="H22" s="28"/>
      <c r="I22" s="28"/>
      <c r="J22" s="28"/>
    </row>
    <row r="2335" spans="6:6">
      <c r="F2335" s="2" t="s">
        <v>42</v>
      </c>
    </row>
    <row r="2336" spans="6:6">
      <c r="F2336" s="2" t="s">
        <v>42</v>
      </c>
    </row>
    <row r="1048493" spans="6:6">
      <c r="F104849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11"/>
  <sheetViews>
    <sheetView showGridLines="0" zoomScale="137" zoomScaleNormal="131" workbookViewId="0">
      <selection activeCell="E17" sqref="E17"/>
    </sheetView>
  </sheetViews>
  <sheetFormatPr defaultColWidth="9.109375" defaultRowHeight="13.8"/>
  <cols>
    <col min="1" max="1" width="3.6640625" style="1" customWidth="1"/>
    <col min="2" max="2" width="23.109375" style="1" customWidth="1"/>
    <col min="3" max="3" width="15.88671875" style="1" customWidth="1"/>
    <col min="4" max="4" width="9.109375" style="1"/>
    <col min="5" max="5" width="18.5546875" style="1" customWidth="1"/>
    <col min="6" max="6" width="26.109375" style="1" customWidth="1"/>
    <col min="7" max="7" width="11.33203125" style="1" customWidth="1"/>
    <col min="8" max="8" width="34.33203125" style="1" customWidth="1"/>
    <col min="9" max="16384" width="9.109375" style="1"/>
  </cols>
  <sheetData>
    <row r="1" spans="1:8" ht="21">
      <c r="A1" s="95" t="s">
        <v>118</v>
      </c>
      <c r="B1" s="3"/>
      <c r="C1" s="3"/>
      <c r="D1" s="3"/>
      <c r="E1" s="3"/>
      <c r="F1" s="3"/>
      <c r="G1" s="3"/>
      <c r="H1" s="3"/>
    </row>
    <row r="2" spans="1:8">
      <c r="A2" s="4"/>
      <c r="B2" s="3"/>
      <c r="C2" s="3"/>
      <c r="D2" s="3"/>
      <c r="E2" s="3"/>
      <c r="F2" s="3"/>
      <c r="G2" s="3"/>
      <c r="H2" s="3"/>
    </row>
    <row r="3" spans="1:8">
      <c r="A3" s="2"/>
      <c r="B3" s="2"/>
      <c r="C3" s="2"/>
      <c r="D3" s="2"/>
      <c r="E3" s="2"/>
      <c r="F3" s="2"/>
      <c r="G3" s="2"/>
      <c r="H3" s="2"/>
    </row>
    <row r="4" spans="1:8" ht="16.8">
      <c r="A4" s="2"/>
      <c r="B4" s="10" t="s">
        <v>101</v>
      </c>
      <c r="C4" s="2"/>
      <c r="D4" s="2"/>
      <c r="E4" s="2"/>
      <c r="F4" s="2"/>
      <c r="G4" s="2"/>
      <c r="H4" s="2"/>
    </row>
    <row r="5" spans="1:8" ht="16.8">
      <c r="A5" s="2"/>
      <c r="B5" s="10" t="s">
        <v>89</v>
      </c>
      <c r="C5" s="2"/>
      <c r="D5" s="2"/>
      <c r="E5" s="2"/>
      <c r="F5" s="2"/>
      <c r="G5" s="2"/>
      <c r="H5" s="2"/>
    </row>
    <row r="6" spans="1:8" ht="16.8">
      <c r="A6" s="2"/>
      <c r="B6" s="10" t="s">
        <v>90</v>
      </c>
      <c r="C6" s="2"/>
      <c r="D6" s="2"/>
      <c r="E6" s="2"/>
      <c r="F6" s="2"/>
      <c r="G6" s="2"/>
      <c r="H6" s="2"/>
    </row>
    <row r="7" spans="1:8" ht="16.8">
      <c r="A7" s="2"/>
      <c r="B7" s="10" t="s">
        <v>163</v>
      </c>
      <c r="C7" s="2"/>
      <c r="D7" s="2"/>
      <c r="E7" s="2"/>
      <c r="F7" s="2"/>
      <c r="G7" s="2"/>
      <c r="H7" s="2"/>
    </row>
    <row r="8" spans="1:8" ht="16.8">
      <c r="A8" s="2"/>
      <c r="B8" s="10" t="s">
        <v>44</v>
      </c>
      <c r="C8" s="2"/>
      <c r="D8" s="2"/>
      <c r="E8" s="2"/>
      <c r="F8" s="2"/>
      <c r="G8" s="2"/>
      <c r="H8" s="2"/>
    </row>
    <row r="9" spans="1:8" ht="16.8">
      <c r="A9" s="2"/>
      <c r="B9" s="10" t="s">
        <v>154</v>
      </c>
      <c r="C9" s="2"/>
      <c r="D9" s="2"/>
      <c r="E9" s="2"/>
      <c r="F9" s="2"/>
      <c r="G9" s="2"/>
      <c r="H9" s="2"/>
    </row>
    <row r="10" spans="1:8">
      <c r="A10" s="2"/>
      <c r="B10" s="6"/>
      <c r="C10" s="6"/>
      <c r="D10" s="2"/>
      <c r="E10" s="2"/>
      <c r="F10" s="2"/>
      <c r="G10" s="2"/>
      <c r="H10" s="2"/>
    </row>
    <row r="11" spans="1:8" ht="14.4">
      <c r="A11" s="7"/>
      <c r="B11" s="8"/>
      <c r="C11" s="5"/>
      <c r="D11" s="9"/>
      <c r="E11" s="9"/>
      <c r="F11" s="9"/>
      <c r="G11" s="9"/>
      <c r="H11" s="9"/>
    </row>
  </sheetData>
  <hyperlinks>
    <hyperlink ref="B4" location="'Apex Solutions IS'!A1" display="Delta Foods IS" xr:uid="{6F55AAF6-2B2F-4977-BAA0-FEA40CB2F532}"/>
    <hyperlink ref="B5" location="'Apex Solutions BS'!A1" display="Apex Solutions BS" xr:uid="{AB152761-A898-4C98-949C-AFB01BB81E14}"/>
    <hyperlink ref="B6" location="'Apex Solutions CF'!A1" display="Apex Solutions CF" xr:uid="{9F79AC2F-C51C-4A4C-9FAE-7D6ECD0B3245}"/>
    <hyperlink ref="B7" location="'Depreciation Capex'!A1" display="Dep Capex" xr:uid="{4BEAD6BF-8840-4B83-BEDE-1D4708E45CF3}"/>
    <hyperlink ref="B8" location="'Working Capital'!A1" display="Working Capital" xr:uid="{9900BBA3-9684-42A1-9C24-997B1C8F141F}"/>
    <hyperlink ref="B9" location="'Debt Schedule'!A1" display="Debt Schedule" xr:uid="{74982737-398F-4847-AEBA-BDC7CC4EF9B4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3298-417E-49A4-A479-7ECC4F2A9A5D}">
  <dimension ref="A1:N384"/>
  <sheetViews>
    <sheetView showGridLines="0" zoomScale="98" zoomScaleNormal="98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defaultColWidth="8.77734375" defaultRowHeight="13.8" zeroHeight="1"/>
  <cols>
    <col min="1" max="1" width="3.6640625" style="14" customWidth="1"/>
    <col min="2" max="2" width="53.6640625" style="24" customWidth="1"/>
    <col min="3" max="3" width="14.109375" style="14" bestFit="1" customWidth="1"/>
    <col min="4" max="5" width="11.6640625" style="14" bestFit="1" customWidth="1"/>
    <col min="6" max="8" width="13.21875" style="14" bestFit="1" customWidth="1"/>
    <col min="9" max="9" width="14.5546875" style="14" customWidth="1"/>
    <col min="10" max="10" width="13.21875" style="14" bestFit="1" customWidth="1"/>
    <col min="11" max="16384" width="8.77734375" style="14"/>
  </cols>
  <sheetData>
    <row r="1" spans="1:14" ht="33.75" customHeight="1">
      <c r="A1" s="45" t="s">
        <v>173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4" ht="14.4" customHeight="1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4">
      <c r="B3" s="128"/>
      <c r="C3" s="129"/>
      <c r="D3" s="129"/>
      <c r="E3" s="129"/>
      <c r="F3" s="129"/>
      <c r="G3" s="129"/>
      <c r="H3" s="129"/>
      <c r="I3" s="129"/>
      <c r="J3" s="129"/>
    </row>
    <row r="4" spans="1:14">
      <c r="B4" s="128"/>
      <c r="C4" s="129"/>
      <c r="D4" s="129"/>
      <c r="E4" s="129"/>
      <c r="F4" s="129"/>
      <c r="G4" s="129"/>
      <c r="H4" s="129"/>
      <c r="I4" s="129"/>
      <c r="J4" s="129"/>
    </row>
    <row r="5" spans="1:14">
      <c r="B5" s="38" t="s">
        <v>10</v>
      </c>
      <c r="C5" s="128"/>
      <c r="D5" s="128"/>
      <c r="E5" s="128"/>
      <c r="F5" s="130"/>
      <c r="G5" s="130"/>
      <c r="H5" s="130"/>
      <c r="I5" s="130"/>
      <c r="J5" s="130"/>
      <c r="K5" s="17"/>
      <c r="L5" s="17"/>
      <c r="M5" s="17"/>
    </row>
    <row r="6" spans="1:14">
      <c r="B6" s="131" t="s">
        <v>97</v>
      </c>
      <c r="C6" s="108">
        <v>12000</v>
      </c>
      <c r="D6" s="108">
        <v>15000</v>
      </c>
      <c r="E6" s="108">
        <v>18500</v>
      </c>
      <c r="F6" s="108"/>
      <c r="G6" s="108"/>
      <c r="H6" s="108"/>
      <c r="I6" s="108"/>
      <c r="J6" s="108"/>
      <c r="L6" s="89"/>
      <c r="M6" s="17"/>
    </row>
    <row r="7" spans="1:14">
      <c r="B7" s="131" t="s">
        <v>98</v>
      </c>
      <c r="C7" s="108">
        <v>8500</v>
      </c>
      <c r="D7" s="108">
        <v>10200</v>
      </c>
      <c r="E7" s="108">
        <v>12300</v>
      </c>
      <c r="F7" s="108"/>
      <c r="G7" s="108"/>
      <c r="H7" s="108"/>
      <c r="I7" s="108"/>
      <c r="J7" s="108"/>
      <c r="K7" s="90"/>
      <c r="L7" s="89"/>
      <c r="M7" s="17"/>
    </row>
    <row r="8" spans="1:14">
      <c r="B8" s="131" t="s">
        <v>81</v>
      </c>
      <c r="C8" s="108">
        <v>5000</v>
      </c>
      <c r="D8" s="108">
        <v>6500</v>
      </c>
      <c r="E8" s="108">
        <v>8000</v>
      </c>
      <c r="F8" s="108"/>
      <c r="G8" s="108"/>
      <c r="H8" s="108"/>
      <c r="I8" s="108"/>
      <c r="J8" s="108"/>
      <c r="L8" s="32"/>
      <c r="M8" s="17"/>
    </row>
    <row r="9" spans="1:14">
      <c r="B9" s="131"/>
      <c r="C9" s="108"/>
      <c r="D9" s="108"/>
      <c r="E9" s="108"/>
      <c r="F9" s="108"/>
      <c r="G9" s="108"/>
      <c r="H9" s="108"/>
      <c r="I9" s="108"/>
      <c r="J9" s="108"/>
      <c r="L9" s="32"/>
      <c r="M9" s="17"/>
    </row>
    <row r="10" spans="1:14">
      <c r="B10" s="38" t="s">
        <v>74</v>
      </c>
      <c r="C10" s="108"/>
      <c r="D10" s="108"/>
      <c r="E10" s="108"/>
      <c r="F10" s="108"/>
      <c r="G10" s="108"/>
      <c r="H10" s="108"/>
      <c r="I10" s="108"/>
      <c r="J10" s="108"/>
      <c r="M10" s="17"/>
    </row>
    <row r="11" spans="1:14">
      <c r="B11" s="131" t="s">
        <v>97</v>
      </c>
      <c r="C11" s="108">
        <v>6000</v>
      </c>
      <c r="D11" s="108">
        <v>7500</v>
      </c>
      <c r="E11" s="108">
        <v>9200</v>
      </c>
      <c r="F11" s="108"/>
      <c r="G11" s="108"/>
      <c r="H11" s="108"/>
      <c r="I11" s="108"/>
      <c r="J11" s="108"/>
      <c r="M11" s="17"/>
    </row>
    <row r="12" spans="1:14">
      <c r="B12" s="131" t="s">
        <v>98</v>
      </c>
      <c r="C12" s="108">
        <v>4000</v>
      </c>
      <c r="D12" s="108">
        <v>4800</v>
      </c>
      <c r="E12" s="108">
        <v>5900</v>
      </c>
      <c r="F12" s="108"/>
      <c r="G12" s="108"/>
      <c r="H12" s="108"/>
      <c r="I12" s="108"/>
      <c r="J12" s="108"/>
      <c r="M12" s="17"/>
    </row>
    <row r="13" spans="1:14" ht="14.4">
      <c r="B13" s="131" t="s">
        <v>81</v>
      </c>
      <c r="C13" s="108">
        <v>2500</v>
      </c>
      <c r="D13" s="108">
        <v>3250</v>
      </c>
      <c r="E13" s="108">
        <v>4000</v>
      </c>
      <c r="F13" s="108"/>
      <c r="G13" s="108"/>
      <c r="H13" s="108"/>
      <c r="I13" s="108"/>
      <c r="J13" s="108"/>
      <c r="N13" s="57"/>
    </row>
    <row r="14" spans="1:14" ht="14.4">
      <c r="B14" s="38"/>
      <c r="C14" s="132"/>
      <c r="D14" s="132"/>
      <c r="E14" s="132"/>
      <c r="F14" s="132"/>
      <c r="G14" s="132"/>
      <c r="H14" s="132"/>
      <c r="I14" s="132"/>
      <c r="J14" s="132"/>
      <c r="N14" s="58"/>
    </row>
    <row r="15" spans="1:14" ht="14.4">
      <c r="B15" s="131" t="s">
        <v>30</v>
      </c>
      <c r="C15" s="108">
        <v>4000</v>
      </c>
      <c r="D15" s="108">
        <v>5000</v>
      </c>
      <c r="E15" s="108">
        <v>6000</v>
      </c>
      <c r="F15" s="108"/>
      <c r="G15" s="108"/>
      <c r="H15" s="108"/>
      <c r="I15" s="108"/>
      <c r="J15" s="108"/>
      <c r="N15" s="58"/>
    </row>
    <row r="16" spans="1:14" ht="14.4">
      <c r="B16" s="131"/>
      <c r="C16" s="108"/>
      <c r="D16" s="108"/>
      <c r="E16" s="108"/>
      <c r="F16" s="108"/>
      <c r="G16" s="108"/>
      <c r="H16" s="108"/>
      <c r="I16" s="108"/>
      <c r="J16" s="108"/>
      <c r="N16" s="58"/>
    </row>
    <row r="17" spans="2:14" ht="14.4">
      <c r="B17" s="131" t="s">
        <v>36</v>
      </c>
      <c r="C17" s="108">
        <v>1200</v>
      </c>
      <c r="D17" s="108">
        <v>1400</v>
      </c>
      <c r="E17" s="108">
        <v>1700</v>
      </c>
      <c r="F17" s="108"/>
      <c r="G17" s="108"/>
      <c r="H17" s="108"/>
      <c r="I17" s="108"/>
      <c r="J17" s="108"/>
      <c r="N17" s="58"/>
    </row>
    <row r="18" spans="2:14" ht="14.4">
      <c r="B18" s="131" t="s">
        <v>37</v>
      </c>
      <c r="C18" s="60">
        <v>0</v>
      </c>
      <c r="D18" s="60">
        <v>0</v>
      </c>
      <c r="E18" s="60">
        <v>0</v>
      </c>
      <c r="F18" s="60"/>
      <c r="G18" s="60"/>
      <c r="H18" s="60"/>
      <c r="I18" s="60"/>
      <c r="J18" s="60"/>
      <c r="N18" s="58"/>
    </row>
    <row r="19" spans="2:14">
      <c r="B19" s="130"/>
      <c r="C19" s="108"/>
      <c r="D19" s="108"/>
      <c r="E19" s="108"/>
      <c r="F19" s="108"/>
      <c r="G19" s="108"/>
      <c r="H19" s="108"/>
      <c r="I19" s="108"/>
      <c r="J19" s="108"/>
    </row>
    <row r="20" spans="2:14">
      <c r="B20" s="133" t="s">
        <v>22</v>
      </c>
      <c r="C20" s="108">
        <v>2200</v>
      </c>
      <c r="D20" s="108">
        <v>2050</v>
      </c>
      <c r="E20" s="108">
        <v>1800</v>
      </c>
      <c r="F20" s="108"/>
      <c r="G20" s="108"/>
      <c r="H20" s="108"/>
      <c r="I20" s="108"/>
      <c r="J20" s="108"/>
    </row>
    <row r="21" spans="2:14">
      <c r="B21" s="131" t="s">
        <v>38</v>
      </c>
      <c r="C21" s="108">
        <v>100</v>
      </c>
      <c r="D21" s="108">
        <v>150</v>
      </c>
      <c r="E21" s="108">
        <v>200</v>
      </c>
      <c r="F21" s="108"/>
      <c r="G21" s="108"/>
      <c r="H21" s="108"/>
      <c r="I21" s="108"/>
      <c r="J21" s="108"/>
    </row>
    <row r="22" spans="2:14">
      <c r="B22" s="131"/>
      <c r="C22" s="108"/>
      <c r="D22" s="108"/>
      <c r="E22" s="108"/>
      <c r="F22" s="108"/>
      <c r="G22" s="108"/>
      <c r="H22" s="108"/>
      <c r="I22" s="108"/>
      <c r="J22" s="108"/>
    </row>
    <row r="23" spans="2:14">
      <c r="B23" s="131" t="s">
        <v>78</v>
      </c>
      <c r="C23" s="108">
        <v>1325</v>
      </c>
      <c r="D23" s="108">
        <v>1837.5</v>
      </c>
      <c r="E23" s="108">
        <v>2450</v>
      </c>
      <c r="F23" s="108"/>
      <c r="G23" s="108"/>
      <c r="H23" s="108"/>
      <c r="I23" s="108"/>
      <c r="J23" s="108"/>
    </row>
    <row r="24" spans="2:14">
      <c r="B24" s="131"/>
      <c r="C24" s="108"/>
      <c r="D24" s="108"/>
      <c r="E24" s="108"/>
      <c r="F24" s="108"/>
      <c r="G24" s="108"/>
      <c r="H24" s="108"/>
      <c r="I24" s="108"/>
      <c r="J24" s="108"/>
    </row>
    <row r="25" spans="2:14">
      <c r="B25" s="38" t="s">
        <v>174</v>
      </c>
      <c r="C25" s="60"/>
      <c r="D25" s="60"/>
      <c r="E25" s="60"/>
      <c r="F25" s="60"/>
      <c r="G25" s="60"/>
      <c r="H25" s="60"/>
      <c r="I25" s="60"/>
      <c r="J25" s="60"/>
    </row>
    <row r="26" spans="2:14">
      <c r="B26" s="131" t="s">
        <v>97</v>
      </c>
      <c r="C26" s="116" t="s">
        <v>127</v>
      </c>
      <c r="D26" s="116"/>
      <c r="E26" s="116"/>
      <c r="F26" s="116">
        <v>0.2</v>
      </c>
      <c r="G26" s="116">
        <v>0.2</v>
      </c>
      <c r="H26" s="116">
        <v>0.2</v>
      </c>
      <c r="I26" s="116">
        <v>0.2</v>
      </c>
      <c r="J26" s="116">
        <v>0.2</v>
      </c>
    </row>
    <row r="27" spans="2:14">
      <c r="B27" s="131" t="s">
        <v>98</v>
      </c>
      <c r="C27" s="116" t="s">
        <v>127</v>
      </c>
      <c r="D27" s="116"/>
      <c r="E27" s="116"/>
      <c r="F27" s="116">
        <v>0.18</v>
      </c>
      <c r="G27" s="116">
        <v>0.18</v>
      </c>
      <c r="H27" s="116">
        <v>0.18</v>
      </c>
      <c r="I27" s="116">
        <v>0.18</v>
      </c>
      <c r="J27" s="116">
        <v>0.18</v>
      </c>
    </row>
    <row r="28" spans="2:14">
      <c r="B28" s="131" t="s">
        <v>81</v>
      </c>
      <c r="C28" s="116" t="s">
        <v>127</v>
      </c>
      <c r="D28" s="116"/>
      <c r="E28" s="116"/>
      <c r="F28" s="116">
        <v>0.16</v>
      </c>
      <c r="G28" s="116">
        <v>0.16</v>
      </c>
      <c r="H28" s="116">
        <v>0.16</v>
      </c>
      <c r="I28" s="116">
        <v>0.16</v>
      </c>
      <c r="J28" s="116">
        <v>0.16</v>
      </c>
    </row>
    <row r="29" spans="2:14">
      <c r="B29" s="38"/>
      <c r="C29" s="60"/>
      <c r="D29" s="60"/>
      <c r="E29" s="60"/>
      <c r="F29" s="60"/>
      <c r="G29" s="60"/>
      <c r="H29" s="60"/>
      <c r="I29" s="60"/>
      <c r="J29" s="60"/>
    </row>
    <row r="30" spans="2:14" s="2" customFormat="1">
      <c r="B30" s="38" t="s">
        <v>97</v>
      </c>
      <c r="C30" s="134"/>
      <c r="D30" s="134"/>
      <c r="E30" s="134"/>
      <c r="F30" s="134"/>
      <c r="G30" s="134"/>
      <c r="H30" s="134"/>
      <c r="I30" s="134"/>
      <c r="J30" s="134"/>
    </row>
    <row r="31" spans="2:14" s="2" customFormat="1">
      <c r="B31" s="135" t="s">
        <v>75</v>
      </c>
      <c r="C31" s="116"/>
      <c r="D31" s="116"/>
      <c r="E31" s="116"/>
      <c r="F31" s="116">
        <v>0.5</v>
      </c>
      <c r="G31" s="116">
        <v>0.5</v>
      </c>
      <c r="H31" s="116">
        <v>0.5</v>
      </c>
      <c r="I31" s="116">
        <v>0.5</v>
      </c>
      <c r="J31" s="116">
        <v>0.5</v>
      </c>
    </row>
    <row r="32" spans="2:14" s="2" customFormat="1">
      <c r="B32" s="136"/>
      <c r="C32" s="134"/>
      <c r="D32" s="134"/>
      <c r="E32" s="134"/>
      <c r="F32" s="134"/>
      <c r="G32" s="134"/>
      <c r="H32" s="134"/>
      <c r="I32" s="134"/>
      <c r="J32" s="134"/>
    </row>
    <row r="33" spans="2:10">
      <c r="B33" s="38" t="s">
        <v>82</v>
      </c>
      <c r="C33" s="134"/>
      <c r="D33" s="134"/>
      <c r="E33" s="134"/>
      <c r="F33" s="134"/>
      <c r="G33" s="134"/>
      <c r="H33" s="134"/>
      <c r="I33" s="134"/>
      <c r="J33" s="134"/>
    </row>
    <row r="34" spans="2:10">
      <c r="B34" s="135" t="s">
        <v>75</v>
      </c>
      <c r="C34" s="116"/>
      <c r="D34" s="116"/>
      <c r="E34" s="116"/>
      <c r="F34" s="116">
        <v>0.48</v>
      </c>
      <c r="G34" s="116">
        <v>0.48</v>
      </c>
      <c r="H34" s="116">
        <v>0.48</v>
      </c>
      <c r="I34" s="116">
        <v>0.48</v>
      </c>
      <c r="J34" s="116">
        <v>0.48</v>
      </c>
    </row>
    <row r="35" spans="2:10">
      <c r="B35" s="128"/>
      <c r="C35" s="137"/>
      <c r="D35" s="137"/>
      <c r="E35" s="137"/>
      <c r="F35" s="137"/>
      <c r="G35" s="137"/>
      <c r="H35" s="137"/>
      <c r="I35" s="137"/>
      <c r="J35" s="137"/>
    </row>
    <row r="36" spans="2:10">
      <c r="B36" s="38" t="s">
        <v>81</v>
      </c>
      <c r="C36" s="134"/>
      <c r="D36" s="134"/>
      <c r="E36" s="134"/>
      <c r="F36" s="134"/>
      <c r="G36" s="134"/>
      <c r="H36" s="134"/>
      <c r="I36" s="134"/>
      <c r="J36" s="134"/>
    </row>
    <row r="37" spans="2:10">
      <c r="B37" s="135" t="s">
        <v>75</v>
      </c>
      <c r="C37" s="116"/>
      <c r="D37" s="116"/>
      <c r="E37" s="116"/>
      <c r="F37" s="116">
        <v>0.5</v>
      </c>
      <c r="G37" s="116">
        <v>0.5</v>
      </c>
      <c r="H37" s="116">
        <v>0.5</v>
      </c>
      <c r="I37" s="116">
        <v>0.5</v>
      </c>
      <c r="J37" s="116">
        <v>0.5</v>
      </c>
    </row>
    <row r="38" spans="2:10">
      <c r="B38" s="42" t="s">
        <v>24</v>
      </c>
      <c r="C38" s="138"/>
      <c r="D38" s="138"/>
      <c r="E38" s="138"/>
      <c r="F38" s="138"/>
      <c r="G38" s="138"/>
      <c r="H38" s="138"/>
      <c r="I38" s="138"/>
      <c r="J38" s="138"/>
    </row>
    <row r="39" spans="2:10">
      <c r="B39" s="38"/>
      <c r="C39" s="60"/>
      <c r="D39" s="60"/>
      <c r="E39" s="60"/>
      <c r="F39" s="60"/>
      <c r="G39" s="60"/>
      <c r="H39" s="60"/>
      <c r="I39" s="60"/>
      <c r="J39" s="60"/>
    </row>
    <row r="40" spans="2:10">
      <c r="B40" s="131" t="s">
        <v>133</v>
      </c>
      <c r="C40" s="116"/>
      <c r="D40" s="116"/>
      <c r="E40" s="116"/>
      <c r="F40" s="116">
        <v>0.15</v>
      </c>
      <c r="G40" s="116">
        <v>0.15</v>
      </c>
      <c r="H40" s="116">
        <v>0.15</v>
      </c>
      <c r="I40" s="116">
        <v>0.15</v>
      </c>
      <c r="J40" s="116">
        <v>0.15</v>
      </c>
    </row>
    <row r="41" spans="2:10">
      <c r="B41" s="128"/>
      <c r="C41" s="60"/>
      <c r="D41" s="60"/>
      <c r="E41" s="60"/>
      <c r="F41" s="60"/>
      <c r="G41" s="60"/>
      <c r="H41" s="60"/>
      <c r="I41" s="60"/>
      <c r="J41" s="60"/>
    </row>
    <row r="42" spans="2:10">
      <c r="B42" s="131" t="s">
        <v>40</v>
      </c>
      <c r="C42" s="116"/>
      <c r="D42" s="116"/>
      <c r="E42" s="116"/>
      <c r="F42" s="116">
        <v>0.23400000000000001</v>
      </c>
      <c r="G42" s="116">
        <v>0.23400000000000001</v>
      </c>
      <c r="H42" s="116">
        <v>0.23400000000000001</v>
      </c>
      <c r="I42" s="116">
        <v>0.23400000000000001</v>
      </c>
      <c r="J42" s="116">
        <v>0.23400000000000001</v>
      </c>
    </row>
    <row r="43" spans="2:10">
      <c r="B43" s="38"/>
      <c r="C43" s="60"/>
      <c r="D43" s="60"/>
      <c r="E43" s="60"/>
      <c r="F43" s="60"/>
      <c r="G43" s="60"/>
      <c r="H43" s="60"/>
      <c r="I43" s="60"/>
      <c r="J43" s="60"/>
    </row>
    <row r="44" spans="2:10">
      <c r="B44" s="128"/>
      <c r="C44" s="139"/>
      <c r="D44" s="139"/>
      <c r="E44" s="139"/>
      <c r="F44" s="139"/>
      <c r="G44" s="139"/>
      <c r="H44" s="139"/>
      <c r="I44" s="139"/>
      <c r="J44" s="139"/>
    </row>
    <row r="45" spans="2:10">
      <c r="B45" s="38" t="s">
        <v>3</v>
      </c>
      <c r="C45" s="128"/>
      <c r="D45" s="128"/>
      <c r="E45" s="128"/>
      <c r="F45" s="139"/>
      <c r="G45" s="139"/>
      <c r="H45" s="139"/>
      <c r="I45" s="139"/>
      <c r="J45" s="139"/>
    </row>
    <row r="46" spans="2:10">
      <c r="B46" s="38" t="s">
        <v>11</v>
      </c>
      <c r="C46" s="128"/>
      <c r="D46" s="128"/>
      <c r="E46" s="128"/>
      <c r="F46" s="139"/>
      <c r="G46" s="139"/>
      <c r="H46" s="139"/>
      <c r="I46" s="139"/>
      <c r="J46" s="139"/>
    </row>
    <row r="47" spans="2:10">
      <c r="B47" s="131" t="s">
        <v>12</v>
      </c>
      <c r="C47" s="60">
        <v>1200</v>
      </c>
      <c r="D47" s="60">
        <v>1300</v>
      </c>
      <c r="E47" s="60">
        <v>1400</v>
      </c>
      <c r="F47" s="139"/>
      <c r="G47" s="139"/>
      <c r="H47" s="139"/>
      <c r="I47" s="139"/>
      <c r="J47" s="139"/>
    </row>
    <row r="48" spans="2:10">
      <c r="B48" s="131" t="s">
        <v>28</v>
      </c>
      <c r="C48" s="60">
        <v>1440</v>
      </c>
      <c r="D48" s="60">
        <v>1700</v>
      </c>
      <c r="E48" s="60">
        <v>1960</v>
      </c>
      <c r="F48" s="139"/>
      <c r="G48" s="139"/>
      <c r="H48" s="139"/>
      <c r="I48" s="139"/>
      <c r="J48" s="139"/>
    </row>
    <row r="49" spans="2:10">
      <c r="B49" s="131" t="s">
        <v>29</v>
      </c>
      <c r="C49" s="60">
        <f>2800+300</f>
        <v>3100</v>
      </c>
      <c r="D49" s="60">
        <f>3200+360</f>
        <v>3560</v>
      </c>
      <c r="E49" s="60">
        <f>3600+400</f>
        <v>4000</v>
      </c>
      <c r="F49" s="139"/>
      <c r="G49" s="139"/>
      <c r="H49" s="139"/>
      <c r="I49" s="139"/>
      <c r="J49" s="139"/>
    </row>
    <row r="50" spans="2:10">
      <c r="B50" s="140"/>
      <c r="C50" s="141"/>
      <c r="D50" s="141"/>
      <c r="E50" s="141"/>
      <c r="F50" s="139"/>
      <c r="G50" s="139"/>
      <c r="H50" s="139"/>
      <c r="I50" s="139"/>
      <c r="J50" s="139"/>
    </row>
    <row r="51" spans="2:10">
      <c r="B51" s="38" t="s">
        <v>87</v>
      </c>
      <c r="C51" s="142"/>
      <c r="D51" s="142"/>
      <c r="E51" s="142"/>
      <c r="F51" s="139"/>
      <c r="G51" s="139"/>
      <c r="H51" s="139"/>
      <c r="I51" s="139"/>
      <c r="J51" s="139"/>
    </row>
    <row r="52" spans="2:10">
      <c r="B52" s="140" t="s">
        <v>41</v>
      </c>
      <c r="C52" s="60">
        <v>24800</v>
      </c>
      <c r="D52" s="60">
        <v>28100</v>
      </c>
      <c r="E52" s="60">
        <v>31400</v>
      </c>
      <c r="F52" s="139"/>
      <c r="G52" s="139"/>
      <c r="H52" s="139"/>
      <c r="I52" s="139"/>
      <c r="J52" s="139"/>
    </row>
    <row r="53" spans="2:10">
      <c r="B53" s="140"/>
      <c r="C53" s="74"/>
      <c r="D53" s="74"/>
      <c r="E53" s="74"/>
      <c r="F53" s="139"/>
      <c r="G53" s="139"/>
      <c r="H53" s="139"/>
      <c r="I53" s="139"/>
      <c r="J53" s="139"/>
    </row>
    <row r="54" spans="2:10">
      <c r="B54" s="38" t="s">
        <v>5</v>
      </c>
      <c r="C54" s="142"/>
      <c r="D54" s="142"/>
      <c r="E54" s="142"/>
      <c r="F54" s="139"/>
      <c r="G54" s="139"/>
      <c r="H54" s="139"/>
      <c r="I54" s="139"/>
      <c r="J54" s="139"/>
    </row>
    <row r="55" spans="2:10">
      <c r="B55" s="131" t="s">
        <v>7</v>
      </c>
      <c r="C55" s="60">
        <v>1800</v>
      </c>
      <c r="D55" s="60">
        <v>2100</v>
      </c>
      <c r="E55" s="60">
        <v>2400</v>
      </c>
      <c r="F55" s="139"/>
      <c r="G55" s="139"/>
      <c r="H55" s="139"/>
      <c r="I55" s="139"/>
      <c r="J55" s="139"/>
    </row>
    <row r="56" spans="2:10">
      <c r="B56" s="131" t="s">
        <v>33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</row>
    <row r="57" spans="2:10">
      <c r="B57" s="140"/>
      <c r="C57" s="74"/>
      <c r="D57" s="74"/>
      <c r="E57" s="74"/>
      <c r="F57" s="139"/>
      <c r="G57" s="139"/>
      <c r="H57" s="139"/>
      <c r="I57" s="139"/>
      <c r="J57" s="139"/>
    </row>
    <row r="58" spans="2:10">
      <c r="B58" s="131"/>
      <c r="C58" s="143"/>
      <c r="D58" s="143"/>
      <c r="E58" s="143"/>
      <c r="F58" s="139"/>
      <c r="G58" s="139"/>
      <c r="H58" s="139"/>
      <c r="I58" s="139"/>
      <c r="J58" s="139"/>
    </row>
    <row r="59" spans="2:10">
      <c r="B59" s="38" t="s">
        <v>21</v>
      </c>
      <c r="C59" s="142"/>
      <c r="D59" s="142"/>
      <c r="E59" s="142"/>
      <c r="F59" s="139"/>
      <c r="G59" s="139"/>
      <c r="H59" s="139"/>
      <c r="I59" s="139"/>
      <c r="J59" s="139"/>
    </row>
    <row r="60" spans="2:10">
      <c r="B60" s="38" t="s">
        <v>4</v>
      </c>
      <c r="C60" s="142"/>
      <c r="D60" s="142"/>
      <c r="E60" s="142"/>
      <c r="F60" s="139"/>
      <c r="G60" s="139"/>
      <c r="H60" s="139"/>
      <c r="I60" s="139"/>
      <c r="J60" s="139"/>
    </row>
    <row r="61" spans="2:10">
      <c r="B61" s="131" t="s">
        <v>16</v>
      </c>
      <c r="C61" s="60">
        <f>1800+400</f>
        <v>2200</v>
      </c>
      <c r="D61" s="60">
        <f>2000+480</f>
        <v>2480</v>
      </c>
      <c r="E61" s="60">
        <f>2200+560</f>
        <v>2760</v>
      </c>
      <c r="F61" s="139"/>
      <c r="G61" s="139"/>
      <c r="H61" s="139"/>
      <c r="I61" s="139"/>
      <c r="J61" s="139"/>
    </row>
    <row r="62" spans="2:10">
      <c r="B62" s="140"/>
      <c r="C62" s="78"/>
      <c r="D62" s="78"/>
      <c r="E62" s="78"/>
      <c r="F62" s="139"/>
      <c r="G62" s="139"/>
      <c r="H62" s="139"/>
      <c r="I62" s="139"/>
      <c r="J62" s="139"/>
    </row>
    <row r="63" spans="2:10">
      <c r="B63" s="133" t="s">
        <v>71</v>
      </c>
      <c r="C63" s="60">
        <v>21000</v>
      </c>
      <c r="D63" s="60">
        <v>23100</v>
      </c>
      <c r="E63" s="60">
        <v>25200</v>
      </c>
      <c r="F63" s="139"/>
      <c r="G63" s="139"/>
      <c r="H63" s="139"/>
      <c r="I63" s="139"/>
      <c r="J63" s="139"/>
    </row>
    <row r="64" spans="2:10">
      <c r="B64" s="136"/>
      <c r="C64" s="60">
        <v>0</v>
      </c>
      <c r="D64" s="60">
        <v>0</v>
      </c>
      <c r="E64" s="60"/>
      <c r="F64" s="139"/>
      <c r="G64" s="139"/>
      <c r="H64" s="139"/>
      <c r="I64" s="139"/>
      <c r="J64" s="139"/>
    </row>
    <row r="65" spans="2:10">
      <c r="B65" s="131" t="s">
        <v>104</v>
      </c>
      <c r="C65" s="60">
        <v>2000</v>
      </c>
      <c r="D65" s="60">
        <v>2200</v>
      </c>
      <c r="E65" s="60">
        <v>2400</v>
      </c>
      <c r="F65" s="130"/>
      <c r="G65" s="130"/>
      <c r="H65" s="130"/>
      <c r="I65" s="130"/>
      <c r="J65" s="130"/>
    </row>
    <row r="66" spans="2:10">
      <c r="B66" s="131" t="s">
        <v>76</v>
      </c>
      <c r="C66" s="60">
        <v>-1000</v>
      </c>
      <c r="D66" s="60">
        <v>-1100</v>
      </c>
      <c r="E66" s="60">
        <v>-1200</v>
      </c>
      <c r="F66" s="130"/>
      <c r="G66" s="130"/>
      <c r="H66" s="130"/>
      <c r="I66" s="130"/>
      <c r="J66" s="130"/>
    </row>
    <row r="67" spans="2:10">
      <c r="B67" s="131" t="s">
        <v>77</v>
      </c>
      <c r="C67" s="60">
        <v>8140</v>
      </c>
      <c r="D67" s="60">
        <v>10080</v>
      </c>
      <c r="E67" s="60">
        <v>12000</v>
      </c>
      <c r="F67" s="130"/>
      <c r="G67" s="130"/>
      <c r="H67" s="130"/>
      <c r="I67" s="130"/>
      <c r="J67" s="130"/>
    </row>
    <row r="68" spans="2:10"/>
    <row r="69" spans="2:10"/>
    <row r="70" spans="2:10"/>
    <row r="71" spans="2:10"/>
    <row r="72" spans="2:10"/>
    <row r="73" spans="2:10"/>
    <row r="74" spans="2:10"/>
    <row r="75" spans="2:10"/>
    <row r="76" spans="2:10"/>
    <row r="77" spans="2:10"/>
    <row r="78" spans="2:10"/>
    <row r="79" spans="2:10"/>
    <row r="80" spans="2:1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</sheetData>
  <mergeCells count="2">
    <mergeCell ref="C1:E1"/>
    <mergeCell ref="F1:J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4E54"/>
  </sheetPr>
  <dimension ref="A1:N382"/>
  <sheetViews>
    <sheetView showGridLines="0" zoomScale="98" zoomScaleNormal="98" workbookViewId="0">
      <pane xSplit="2" ySplit="2" topLeftCell="C3" activePane="bottomRight" state="frozen"/>
      <selection activeCell="E17" sqref="E17"/>
      <selection pane="topRight" activeCell="E17" sqref="E17"/>
      <selection pane="bottomLeft" activeCell="E17" sqref="E17"/>
      <selection pane="bottomRight" activeCell="E17" sqref="E17"/>
    </sheetView>
  </sheetViews>
  <sheetFormatPr defaultColWidth="8.77734375" defaultRowHeight="13.8" zeroHeight="1"/>
  <cols>
    <col min="1" max="1" width="3.6640625" style="14" customWidth="1"/>
    <col min="2" max="2" width="53.6640625" style="24" customWidth="1"/>
    <col min="3" max="3" width="14.109375" style="14" bestFit="1" customWidth="1"/>
    <col min="4" max="5" width="11.6640625" style="14" bestFit="1" customWidth="1"/>
    <col min="6" max="8" width="13.21875" style="14" bestFit="1" customWidth="1"/>
    <col min="9" max="9" width="14.5546875" style="14" customWidth="1"/>
    <col min="10" max="10" width="13.21875" style="14" bestFit="1" customWidth="1"/>
    <col min="11" max="16384" width="8.77734375" style="14"/>
  </cols>
  <sheetData>
    <row r="1" spans="1:14" ht="33.75" customHeight="1">
      <c r="A1" s="45" t="s">
        <v>117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4" ht="14.4" customHeight="1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4">
      <c r="B3" s="30"/>
      <c r="C3" s="29"/>
      <c r="D3" s="29"/>
      <c r="E3" s="29"/>
      <c r="F3" s="29"/>
      <c r="G3" s="29"/>
      <c r="H3" s="29"/>
      <c r="I3" s="29"/>
      <c r="J3" s="29"/>
    </row>
    <row r="4" spans="1:14">
      <c r="B4" s="30"/>
      <c r="C4" s="29"/>
      <c r="D4" s="29"/>
      <c r="E4" s="29"/>
      <c r="F4" s="29"/>
      <c r="G4" s="29"/>
      <c r="H4" s="29"/>
      <c r="I4" s="29"/>
      <c r="J4" s="29"/>
    </row>
    <row r="5" spans="1:14">
      <c r="B5" s="31" t="s">
        <v>10</v>
      </c>
      <c r="C5" s="24"/>
      <c r="D5" s="24"/>
      <c r="E5" s="24"/>
      <c r="K5" s="17"/>
      <c r="L5" s="17"/>
      <c r="M5" s="17"/>
    </row>
    <row r="6" spans="1:14">
      <c r="B6" s="23" t="s">
        <v>97</v>
      </c>
      <c r="C6" s="70">
        <v>12000</v>
      </c>
      <c r="D6" s="70">
        <v>15000</v>
      </c>
      <c r="E6" s="70">
        <v>18500</v>
      </c>
      <c r="F6" s="108">
        <f>E6*(1+F35)</f>
        <v>22200</v>
      </c>
      <c r="G6" s="108">
        <f>F6*(1+G35)</f>
        <v>26640</v>
      </c>
      <c r="H6" s="108">
        <f>G6*(1+H35)</f>
        <v>31968</v>
      </c>
      <c r="I6" s="108">
        <f t="shared" ref="I6:J6" si="0">H6*(1+I35)</f>
        <v>38361.599999999999</v>
      </c>
      <c r="J6" s="108">
        <f t="shared" si="0"/>
        <v>46033.919999999998</v>
      </c>
      <c r="L6" s="89"/>
      <c r="M6" s="17"/>
    </row>
    <row r="7" spans="1:14">
      <c r="B7" s="23" t="s">
        <v>98</v>
      </c>
      <c r="C7" s="70">
        <v>8500</v>
      </c>
      <c r="D7" s="70">
        <v>10200</v>
      </c>
      <c r="E7" s="70">
        <v>12300</v>
      </c>
      <c r="F7" s="108">
        <f>E7*(1+F36)</f>
        <v>14514</v>
      </c>
      <c r="G7" s="108">
        <f t="shared" ref="G7:J7" si="1">F7*(1+G36)</f>
        <v>17126.52</v>
      </c>
      <c r="H7" s="108">
        <f t="shared" si="1"/>
        <v>20209.293600000001</v>
      </c>
      <c r="I7" s="108">
        <f t="shared" si="1"/>
        <v>23846.966447999999</v>
      </c>
      <c r="J7" s="108">
        <f t="shared" si="1"/>
        <v>28139.420408639999</v>
      </c>
      <c r="K7" s="90"/>
      <c r="L7" s="89"/>
      <c r="M7" s="17"/>
    </row>
    <row r="8" spans="1:14">
      <c r="B8" s="23" t="s">
        <v>81</v>
      </c>
      <c r="C8" s="70">
        <v>5000</v>
      </c>
      <c r="D8" s="70">
        <v>6500</v>
      </c>
      <c r="E8" s="70">
        <v>8000</v>
      </c>
      <c r="F8" s="108">
        <f>E8*(1+F37)</f>
        <v>9280</v>
      </c>
      <c r="G8" s="108">
        <f t="shared" ref="G8:J8" si="2">F8*(1+G37)</f>
        <v>10764.8</v>
      </c>
      <c r="H8" s="108">
        <f t="shared" si="2"/>
        <v>12487.167999999998</v>
      </c>
      <c r="I8" s="108">
        <f t="shared" si="2"/>
        <v>14485.114879999997</v>
      </c>
      <c r="J8" s="108">
        <f t="shared" si="2"/>
        <v>16802.733260799996</v>
      </c>
      <c r="L8" s="32"/>
      <c r="M8" s="17"/>
    </row>
    <row r="9" spans="1:14">
      <c r="B9" s="18" t="s">
        <v>8</v>
      </c>
      <c r="C9" s="109">
        <f t="shared" ref="C9" si="3">SUM(C6:C8)</f>
        <v>25500</v>
      </c>
      <c r="D9" s="109">
        <f t="shared" ref="D9" si="4">SUM(D6:D8)</f>
        <v>31700</v>
      </c>
      <c r="E9" s="109">
        <f t="shared" ref="E9" si="5">SUM(E6:E8)</f>
        <v>38800</v>
      </c>
      <c r="F9" s="109">
        <f>SUM(F6:F8)</f>
        <v>45994</v>
      </c>
      <c r="G9" s="109">
        <f t="shared" ref="G9:J9" si="6">SUM(G6:G8)</f>
        <v>54531.320000000007</v>
      </c>
      <c r="H9" s="109">
        <f t="shared" si="6"/>
        <v>64664.461600000002</v>
      </c>
      <c r="I9" s="109">
        <f t="shared" si="6"/>
        <v>76693.681327999991</v>
      </c>
      <c r="J9" s="109">
        <f t="shared" si="6"/>
        <v>90976.073669439997</v>
      </c>
      <c r="M9" s="17"/>
    </row>
    <row r="10" spans="1:14">
      <c r="B10" s="31" t="s">
        <v>74</v>
      </c>
      <c r="C10" s="110"/>
      <c r="D10" s="110"/>
      <c r="E10" s="110"/>
      <c r="F10" s="110"/>
      <c r="G10" s="110"/>
      <c r="H10" s="110"/>
      <c r="I10" s="110"/>
      <c r="J10" s="110"/>
      <c r="M10" s="17"/>
    </row>
    <row r="11" spans="1:14">
      <c r="B11" s="23" t="s">
        <v>97</v>
      </c>
      <c r="C11" s="70">
        <v>6000</v>
      </c>
      <c r="D11" s="70">
        <v>7500</v>
      </c>
      <c r="E11" s="70">
        <v>9200</v>
      </c>
      <c r="F11" s="108">
        <f>F41</f>
        <v>11100</v>
      </c>
      <c r="G11" s="108">
        <f t="shared" ref="G11:J11" si="7">G41</f>
        <v>13320</v>
      </c>
      <c r="H11" s="108">
        <f t="shared" si="7"/>
        <v>15984</v>
      </c>
      <c r="I11" s="108">
        <f t="shared" si="7"/>
        <v>19180.8</v>
      </c>
      <c r="J11" s="108">
        <f t="shared" si="7"/>
        <v>23016.959999999999</v>
      </c>
      <c r="M11" s="17"/>
    </row>
    <row r="12" spans="1:14">
      <c r="B12" s="23" t="s">
        <v>98</v>
      </c>
      <c r="C12" s="70">
        <v>4000</v>
      </c>
      <c r="D12" s="70">
        <v>4800</v>
      </c>
      <c r="E12" s="70">
        <v>5900</v>
      </c>
      <c r="F12" s="108">
        <f>F48</f>
        <v>6966.7199999999993</v>
      </c>
      <c r="G12" s="108">
        <f t="shared" ref="G12:J12" si="8">G48</f>
        <v>8220.7296000000006</v>
      </c>
      <c r="H12" s="108">
        <f t="shared" si="8"/>
        <v>9700.4609280000004</v>
      </c>
      <c r="I12" s="108">
        <f t="shared" si="8"/>
        <v>11446.543895039998</v>
      </c>
      <c r="J12" s="108">
        <f t="shared" si="8"/>
        <v>13506.921796147199</v>
      </c>
      <c r="M12" s="17"/>
    </row>
    <row r="13" spans="1:14" ht="14.4">
      <c r="B13" s="23" t="s">
        <v>81</v>
      </c>
      <c r="C13" s="70">
        <v>2500</v>
      </c>
      <c r="D13" s="70">
        <v>3250</v>
      </c>
      <c r="E13" s="70">
        <v>4000</v>
      </c>
      <c r="F13" s="108">
        <f>F55</f>
        <v>4640</v>
      </c>
      <c r="G13" s="108">
        <f t="shared" ref="G13:J13" si="9">G55</f>
        <v>5382.4</v>
      </c>
      <c r="H13" s="108">
        <f t="shared" si="9"/>
        <v>6243.5839999999989</v>
      </c>
      <c r="I13" s="108">
        <f t="shared" si="9"/>
        <v>7242.5574399999987</v>
      </c>
      <c r="J13" s="108">
        <f t="shared" si="9"/>
        <v>8401.366630399998</v>
      </c>
      <c r="N13" s="57"/>
    </row>
    <row r="14" spans="1:14" ht="14.4">
      <c r="B14" s="18" t="s">
        <v>26</v>
      </c>
      <c r="C14" s="109">
        <f t="shared" ref="C14" si="10">SUM(C11:C13)</f>
        <v>12500</v>
      </c>
      <c r="D14" s="109">
        <f t="shared" ref="D14" si="11">SUM(D11:D13)</f>
        <v>15550</v>
      </c>
      <c r="E14" s="109">
        <f>SUM(E11:E13)</f>
        <v>19100</v>
      </c>
      <c r="F14" s="109">
        <f t="shared" ref="F14:J14" si="12">SUM(F11:F13)</f>
        <v>22706.720000000001</v>
      </c>
      <c r="G14" s="109">
        <f t="shared" si="12"/>
        <v>26923.1296</v>
      </c>
      <c r="H14" s="109">
        <f t="shared" si="12"/>
        <v>31928.044927999999</v>
      </c>
      <c r="I14" s="109">
        <f t="shared" si="12"/>
        <v>37869.901335039998</v>
      </c>
      <c r="J14" s="109">
        <f t="shared" si="12"/>
        <v>44925.248426547194</v>
      </c>
      <c r="N14" s="58"/>
    </row>
    <row r="15" spans="1:14" ht="14.4">
      <c r="B15" s="25"/>
      <c r="C15" s="111"/>
      <c r="D15" s="111"/>
      <c r="E15" s="111"/>
      <c r="F15" s="111"/>
      <c r="G15" s="111"/>
      <c r="H15" s="111"/>
      <c r="I15" s="111"/>
      <c r="J15" s="111"/>
      <c r="N15" s="58"/>
    </row>
    <row r="16" spans="1:14" ht="14.4">
      <c r="B16" s="25" t="s">
        <v>31</v>
      </c>
      <c r="C16" s="111">
        <f t="shared" ref="C16:J16" si="13">C9-C14</f>
        <v>13000</v>
      </c>
      <c r="D16" s="111">
        <f t="shared" si="13"/>
        <v>16150</v>
      </c>
      <c r="E16" s="111">
        <f t="shared" si="13"/>
        <v>19700</v>
      </c>
      <c r="F16" s="111">
        <f t="shared" si="13"/>
        <v>23287.279999999999</v>
      </c>
      <c r="G16" s="111">
        <f t="shared" si="13"/>
        <v>27608.190400000007</v>
      </c>
      <c r="H16" s="111">
        <f t="shared" si="13"/>
        <v>32736.416672000003</v>
      </c>
      <c r="I16" s="111">
        <f t="shared" si="13"/>
        <v>38823.779992959993</v>
      </c>
      <c r="J16" s="111">
        <f t="shared" si="13"/>
        <v>46050.825242892803</v>
      </c>
      <c r="N16" s="58"/>
    </row>
    <row r="17" spans="2:14" ht="14.4">
      <c r="B17" s="23" t="s">
        <v>30</v>
      </c>
      <c r="C17" s="70">
        <v>4000</v>
      </c>
      <c r="D17" s="70">
        <v>5000</v>
      </c>
      <c r="E17" s="70">
        <v>6000</v>
      </c>
      <c r="F17" s="108">
        <f>F60*F9</f>
        <v>6899.0999999999995</v>
      </c>
      <c r="G17" s="108">
        <f t="shared" ref="G17:J17" si="14">G60*G9</f>
        <v>8179.6980000000003</v>
      </c>
      <c r="H17" s="108">
        <f t="shared" si="14"/>
        <v>9699.6692399999993</v>
      </c>
      <c r="I17" s="108">
        <f t="shared" si="14"/>
        <v>11504.052199199998</v>
      </c>
      <c r="J17" s="108">
        <f t="shared" si="14"/>
        <v>13646.411050416</v>
      </c>
      <c r="N17" s="58"/>
    </row>
    <row r="18" spans="2:14" ht="14.4">
      <c r="B18" s="18" t="s">
        <v>23</v>
      </c>
      <c r="C18" s="109">
        <f t="shared" ref="C18" si="15">C16-C17</f>
        <v>9000</v>
      </c>
      <c r="D18" s="109">
        <f t="shared" ref="D18" si="16">D16-D17</f>
        <v>11150</v>
      </c>
      <c r="E18" s="109">
        <f t="shared" ref="E18:J18" si="17">E16-E17</f>
        <v>13700</v>
      </c>
      <c r="F18" s="109">
        <f t="shared" si="17"/>
        <v>16388.18</v>
      </c>
      <c r="G18" s="109">
        <f t="shared" si="17"/>
        <v>19428.492400000006</v>
      </c>
      <c r="H18" s="109">
        <f t="shared" si="17"/>
        <v>23036.747432000004</v>
      </c>
      <c r="I18" s="109">
        <f t="shared" si="17"/>
        <v>27319.727793759994</v>
      </c>
      <c r="J18" s="109">
        <f t="shared" si="17"/>
        <v>32404.414192476805</v>
      </c>
      <c r="N18" s="58"/>
    </row>
    <row r="19" spans="2:14" ht="14.4">
      <c r="B19" s="23"/>
      <c r="C19" s="70"/>
      <c r="D19" s="70"/>
      <c r="E19" s="70"/>
      <c r="F19" s="112"/>
      <c r="G19" s="112"/>
      <c r="H19" s="112"/>
      <c r="I19" s="112"/>
      <c r="J19" s="112"/>
      <c r="N19" s="58"/>
    </row>
    <row r="20" spans="2:14" ht="14.4">
      <c r="B20" s="23" t="s">
        <v>36</v>
      </c>
      <c r="C20" s="70">
        <v>1200</v>
      </c>
      <c r="D20" s="70">
        <v>1400</v>
      </c>
      <c r="E20" s="70">
        <v>1700</v>
      </c>
      <c r="F20" s="93">
        <f>'Depreciation Capex'!F7</f>
        <v>2069.73</v>
      </c>
      <c r="G20" s="93">
        <f>'Depreciation Capex'!G7</f>
        <v>2453.9094</v>
      </c>
      <c r="H20" s="93">
        <f>'Depreciation Capex'!H7</f>
        <v>2909.900772</v>
      </c>
      <c r="I20" s="93">
        <f>'Depreciation Capex'!I7</f>
        <v>3451.2156597599997</v>
      </c>
      <c r="J20" s="93">
        <f>'Depreciation Capex'!J7</f>
        <v>4093.9233151247995</v>
      </c>
      <c r="N20" s="58"/>
    </row>
    <row r="21" spans="2:14" ht="14.4">
      <c r="B21" s="23" t="s">
        <v>37</v>
      </c>
      <c r="C21" s="59">
        <v>0</v>
      </c>
      <c r="D21" s="59">
        <v>0</v>
      </c>
      <c r="E21" s="59">
        <v>0</v>
      </c>
      <c r="F21" s="126">
        <f>E21</f>
        <v>0</v>
      </c>
      <c r="G21" s="126">
        <f t="shared" ref="G21:J21" si="18">F21</f>
        <v>0</v>
      </c>
      <c r="H21" s="126">
        <f t="shared" si="18"/>
        <v>0</v>
      </c>
      <c r="I21" s="126">
        <f t="shared" si="18"/>
        <v>0</v>
      </c>
      <c r="J21" s="126">
        <f t="shared" si="18"/>
        <v>0</v>
      </c>
      <c r="N21" s="58"/>
    </row>
    <row r="22" spans="2:14">
      <c r="B22" s="18" t="s">
        <v>2</v>
      </c>
      <c r="C22" s="109">
        <f t="shared" ref="C22" si="19">C18-C20-C21</f>
        <v>7800</v>
      </c>
      <c r="D22" s="109">
        <f t="shared" ref="D22" si="20">D18-D20-D21</f>
        <v>9750</v>
      </c>
      <c r="E22" s="109">
        <f>E18-E20-E21</f>
        <v>12000</v>
      </c>
      <c r="F22" s="109">
        <f>F18-F20-F21</f>
        <v>14318.45</v>
      </c>
      <c r="G22" s="109">
        <f>G18-G20-G21</f>
        <v>16974.583000000006</v>
      </c>
      <c r="H22" s="109">
        <f>H18-H20-H21</f>
        <v>20126.846660000003</v>
      </c>
      <c r="I22" s="109">
        <f t="shared" ref="I22:J22" si="21">I18-I20-I21</f>
        <v>23868.512133999993</v>
      </c>
      <c r="J22" s="109">
        <f t="shared" si="21"/>
        <v>28310.490877352004</v>
      </c>
    </row>
    <row r="23" spans="2:14">
      <c r="B23" s="14"/>
      <c r="C23" s="112"/>
      <c r="D23" s="112"/>
      <c r="E23" s="112"/>
      <c r="F23" s="112"/>
      <c r="G23" s="112"/>
      <c r="H23" s="112"/>
      <c r="I23" s="112"/>
      <c r="J23" s="112"/>
    </row>
    <row r="24" spans="2:14">
      <c r="B24" s="33" t="s">
        <v>22</v>
      </c>
      <c r="C24" s="70">
        <v>2200</v>
      </c>
      <c r="D24" s="70">
        <v>2050</v>
      </c>
      <c r="E24" s="70">
        <v>1800</v>
      </c>
      <c r="F24" s="93">
        <f>'Debt Schedule'!F15</f>
        <v>2223</v>
      </c>
      <c r="G24" s="93">
        <f>'Debt Schedule'!G15</f>
        <v>2133</v>
      </c>
      <c r="H24" s="93">
        <f>'Debt Schedule'!H15</f>
        <v>2043</v>
      </c>
      <c r="I24" s="93">
        <f>'Debt Schedule'!I15</f>
        <v>1953</v>
      </c>
      <c r="J24" s="93">
        <f>'Debt Schedule'!J15</f>
        <v>1863</v>
      </c>
    </row>
    <row r="25" spans="2:14">
      <c r="B25" s="23" t="s">
        <v>38</v>
      </c>
      <c r="C25" s="70">
        <v>100</v>
      </c>
      <c r="D25" s="70">
        <v>150</v>
      </c>
      <c r="E25" s="70">
        <v>200</v>
      </c>
      <c r="F25" s="93">
        <f ca="1">'Debt Schedule'!F20</f>
        <v>39.028622800636839</v>
      </c>
      <c r="G25" s="93">
        <f ca="1">'Debt Schedule'!G20</f>
        <v>45.94536458432021</v>
      </c>
      <c r="H25" s="93">
        <f ca="1">'Debt Schedule'!H20</f>
        <v>85.814227749692918</v>
      </c>
      <c r="I25" s="93">
        <f ca="1">'Debt Schedule'!I20</f>
        <v>189.28252974275969</v>
      </c>
      <c r="J25" s="93">
        <f ca="1">'Debt Schedule'!J20</f>
        <v>374.83666884783094</v>
      </c>
    </row>
    <row r="26" spans="2:14">
      <c r="B26" s="18" t="s">
        <v>39</v>
      </c>
      <c r="C26" s="109">
        <f t="shared" ref="C26:J26" si="22">C24-C25</f>
        <v>2100</v>
      </c>
      <c r="D26" s="109">
        <f t="shared" si="22"/>
        <v>1900</v>
      </c>
      <c r="E26" s="109">
        <f t="shared" si="22"/>
        <v>1600</v>
      </c>
      <c r="F26" s="109">
        <f t="shared" ca="1" si="22"/>
        <v>2183.9713771993634</v>
      </c>
      <c r="G26" s="109">
        <f t="shared" ca="1" si="22"/>
        <v>2087.05463541568</v>
      </c>
      <c r="H26" s="109">
        <f t="shared" ca="1" si="22"/>
        <v>1957.1857722503071</v>
      </c>
      <c r="I26" s="109">
        <f t="shared" ca="1" si="22"/>
        <v>1763.7174702572404</v>
      </c>
      <c r="J26" s="109">
        <f t="shared" ca="1" si="22"/>
        <v>1488.1633311521691</v>
      </c>
    </row>
    <row r="27" spans="2:14">
      <c r="B27" s="23"/>
      <c r="C27" s="112"/>
      <c r="D27" s="112"/>
      <c r="E27" s="112"/>
      <c r="F27" s="112"/>
      <c r="G27" s="112"/>
      <c r="H27" s="112"/>
      <c r="I27" s="112"/>
      <c r="J27" s="112"/>
    </row>
    <row r="28" spans="2:14">
      <c r="B28" s="18" t="s">
        <v>32</v>
      </c>
      <c r="C28" s="113">
        <f t="shared" ref="C28:J28" si="23">C22-C26</f>
        <v>5700</v>
      </c>
      <c r="D28" s="113">
        <f t="shared" si="23"/>
        <v>7850</v>
      </c>
      <c r="E28" s="113">
        <f t="shared" si="23"/>
        <v>10400</v>
      </c>
      <c r="F28" s="113">
        <f t="shared" ca="1" si="23"/>
        <v>12134.478622800638</v>
      </c>
      <c r="G28" s="113">
        <f t="shared" ca="1" si="23"/>
        <v>14887.528364584326</v>
      </c>
      <c r="H28" s="113">
        <f t="shared" ca="1" si="23"/>
        <v>18169.660887749695</v>
      </c>
      <c r="I28" s="113">
        <f t="shared" ca="1" si="23"/>
        <v>22104.794663742752</v>
      </c>
      <c r="J28" s="113">
        <f t="shared" ca="1" si="23"/>
        <v>26822.327546199835</v>
      </c>
    </row>
    <row r="29" spans="2:14">
      <c r="B29" s="23" t="s">
        <v>78</v>
      </c>
      <c r="C29" s="70">
        <v>1325</v>
      </c>
      <c r="D29" s="70">
        <v>1837.5</v>
      </c>
      <c r="E29" s="70">
        <v>2450</v>
      </c>
      <c r="F29" s="108">
        <f ca="1">F28*F62</f>
        <v>2839.4679977353494</v>
      </c>
      <c r="G29" s="108">
        <f t="shared" ref="G29:J29" ca="1" si="24">G28*G62</f>
        <v>3483.6816373127326</v>
      </c>
      <c r="H29" s="108">
        <f t="shared" ca="1" si="24"/>
        <v>4251.7006477334289</v>
      </c>
      <c r="I29" s="108">
        <f t="shared" ca="1" si="24"/>
        <v>5172.5219513158045</v>
      </c>
      <c r="J29" s="108">
        <f t="shared" ca="1" si="24"/>
        <v>6276.4246458107618</v>
      </c>
    </row>
    <row r="30" spans="2:14" ht="14.4" thickBot="1">
      <c r="B30" s="52" t="s">
        <v>9</v>
      </c>
      <c r="C30" s="114">
        <f>C28-C29</f>
        <v>4375</v>
      </c>
      <c r="D30" s="114">
        <f>D28-D29</f>
        <v>6012.5</v>
      </c>
      <c r="E30" s="114">
        <f>E28-E29</f>
        <v>7950</v>
      </c>
      <c r="F30" s="114">
        <f t="shared" ref="F30:J30" ca="1" si="25">F28-F29</f>
        <v>9295.010625065288</v>
      </c>
      <c r="G30" s="114">
        <f t="shared" ca="1" si="25"/>
        <v>11403.846727271593</v>
      </c>
      <c r="H30" s="114">
        <f t="shared" ca="1" si="25"/>
        <v>13917.960240016266</v>
      </c>
      <c r="I30" s="114">
        <f t="shared" ca="1" si="25"/>
        <v>16932.272712426948</v>
      </c>
      <c r="J30" s="114">
        <f t="shared" ca="1" si="25"/>
        <v>20545.902900389072</v>
      </c>
    </row>
    <row r="31" spans="2:14" ht="14.4" thickTop="1">
      <c r="B31" s="25"/>
      <c r="C31" s="65"/>
      <c r="D31" s="65"/>
      <c r="E31" s="65"/>
      <c r="F31" s="65"/>
      <c r="G31" s="65"/>
      <c r="H31" s="65"/>
      <c r="I31" s="65"/>
      <c r="J31" s="65"/>
    </row>
    <row r="32" spans="2:14">
      <c r="B32" s="25"/>
      <c r="C32" s="65"/>
      <c r="D32" s="65"/>
      <c r="E32" s="65"/>
      <c r="F32" s="65"/>
      <c r="G32" s="65"/>
      <c r="H32" s="65"/>
      <c r="I32" s="65"/>
      <c r="J32" s="65"/>
    </row>
    <row r="33" spans="2:10">
      <c r="B33" s="53" t="s">
        <v>79</v>
      </c>
      <c r="C33" s="65"/>
      <c r="D33" s="65"/>
      <c r="E33" s="65"/>
      <c r="F33" s="65"/>
      <c r="G33" s="65"/>
      <c r="H33" s="65"/>
      <c r="I33" s="65"/>
      <c r="J33" s="65"/>
    </row>
    <row r="34" spans="2:10">
      <c r="B34" s="31" t="s">
        <v>126</v>
      </c>
      <c r="C34" s="63"/>
      <c r="D34" s="63"/>
      <c r="E34" s="63"/>
      <c r="F34" s="63"/>
      <c r="G34" s="63"/>
      <c r="H34" s="63"/>
      <c r="I34" s="63"/>
      <c r="J34" s="63"/>
    </row>
    <row r="35" spans="2:10">
      <c r="B35" s="23" t="s">
        <v>97</v>
      </c>
      <c r="C35" s="115" t="s">
        <v>127</v>
      </c>
      <c r="D35" s="116">
        <f>D6/C6-1</f>
        <v>0.25</v>
      </c>
      <c r="E35" s="116">
        <f>E6/D6-1</f>
        <v>0.23333333333333339</v>
      </c>
      <c r="F35" s="115">
        <v>0.2</v>
      </c>
      <c r="G35" s="116">
        <f>F35</f>
        <v>0.2</v>
      </c>
      <c r="H35" s="116">
        <f t="shared" ref="H35:J35" si="26">G35</f>
        <v>0.2</v>
      </c>
      <c r="I35" s="116">
        <f t="shared" si="26"/>
        <v>0.2</v>
      </c>
      <c r="J35" s="116">
        <f t="shared" si="26"/>
        <v>0.2</v>
      </c>
    </row>
    <row r="36" spans="2:10">
      <c r="B36" s="23" t="s">
        <v>98</v>
      </c>
      <c r="C36" s="115" t="s">
        <v>127</v>
      </c>
      <c r="D36" s="116">
        <f t="shared" ref="D36" si="27">D7/C7-1</f>
        <v>0.19999999999999996</v>
      </c>
      <c r="E36" s="116">
        <f>E7/D7-1</f>
        <v>0.20588235294117641</v>
      </c>
      <c r="F36" s="115">
        <v>0.18</v>
      </c>
      <c r="G36" s="116">
        <f>F36</f>
        <v>0.18</v>
      </c>
      <c r="H36" s="116">
        <f t="shared" ref="H36:J36" si="28">G36</f>
        <v>0.18</v>
      </c>
      <c r="I36" s="116">
        <f t="shared" si="28"/>
        <v>0.18</v>
      </c>
      <c r="J36" s="116">
        <f t="shared" si="28"/>
        <v>0.18</v>
      </c>
    </row>
    <row r="37" spans="2:10">
      <c r="B37" s="23" t="s">
        <v>81</v>
      </c>
      <c r="C37" s="115" t="s">
        <v>127</v>
      </c>
      <c r="D37" s="116">
        <f>D8/C8-1</f>
        <v>0.30000000000000004</v>
      </c>
      <c r="E37" s="116">
        <f>E8/D8-1</f>
        <v>0.23076923076923084</v>
      </c>
      <c r="F37" s="115">
        <v>0.16</v>
      </c>
      <c r="G37" s="116">
        <f>F37</f>
        <v>0.16</v>
      </c>
      <c r="H37" s="116">
        <f t="shared" ref="H37:J37" si="29">G37</f>
        <v>0.16</v>
      </c>
      <c r="I37" s="116">
        <f t="shared" si="29"/>
        <v>0.16</v>
      </c>
      <c r="J37" s="116">
        <f t="shared" si="29"/>
        <v>0.16</v>
      </c>
    </row>
    <row r="38" spans="2:10">
      <c r="B38" s="25"/>
      <c r="C38" s="63"/>
      <c r="D38" s="63"/>
      <c r="E38" s="63"/>
      <c r="F38" s="63"/>
      <c r="G38" s="63"/>
      <c r="H38" s="63"/>
      <c r="I38" s="63"/>
      <c r="J38" s="63"/>
    </row>
    <row r="39" spans="2:10" s="2" customFormat="1">
      <c r="B39" s="31" t="s">
        <v>97</v>
      </c>
      <c r="C39" s="39"/>
      <c r="D39" s="39"/>
      <c r="E39" s="39"/>
      <c r="F39" s="39"/>
      <c r="G39" s="39"/>
      <c r="H39" s="39"/>
      <c r="I39" s="39"/>
      <c r="J39" s="39"/>
    </row>
    <row r="40" spans="2:10" s="2" customFormat="1">
      <c r="B40" s="34" t="s">
        <v>100</v>
      </c>
      <c r="C40" s="60">
        <f>C6</f>
        <v>12000</v>
      </c>
      <c r="D40" s="60">
        <f t="shared" ref="D40:E40" si="30">D6</f>
        <v>15000</v>
      </c>
      <c r="E40" s="60">
        <f t="shared" si="30"/>
        <v>18500</v>
      </c>
      <c r="F40" s="60">
        <f>F6</f>
        <v>22200</v>
      </c>
      <c r="G40" s="60">
        <f t="shared" ref="G40:J40" si="31">G6</f>
        <v>26640</v>
      </c>
      <c r="H40" s="60">
        <f t="shared" si="31"/>
        <v>31968</v>
      </c>
      <c r="I40" s="60">
        <f t="shared" si="31"/>
        <v>38361.599999999999</v>
      </c>
      <c r="J40" s="60">
        <f t="shared" si="31"/>
        <v>46033.919999999998</v>
      </c>
    </row>
    <row r="41" spans="2:10" s="2" customFormat="1">
      <c r="B41" s="35" t="s">
        <v>99</v>
      </c>
      <c r="C41" s="60">
        <f>C11</f>
        <v>6000</v>
      </c>
      <c r="D41" s="60">
        <f t="shared" ref="D41:E41" si="32">D11</f>
        <v>7500</v>
      </c>
      <c r="E41" s="60">
        <f t="shared" si="32"/>
        <v>9200</v>
      </c>
      <c r="F41" s="60">
        <f>F40*F42</f>
        <v>11100</v>
      </c>
      <c r="G41" s="60">
        <f t="shared" ref="G41:J41" si="33">G40*G42</f>
        <v>13320</v>
      </c>
      <c r="H41" s="60">
        <f t="shared" si="33"/>
        <v>15984</v>
      </c>
      <c r="I41" s="60">
        <f t="shared" si="33"/>
        <v>19180.8</v>
      </c>
      <c r="J41" s="60">
        <f t="shared" si="33"/>
        <v>23016.959999999999</v>
      </c>
    </row>
    <row r="42" spans="2:10" s="2" customFormat="1">
      <c r="B42" s="34" t="s">
        <v>75</v>
      </c>
      <c r="C42" s="116">
        <f>C41/C40</f>
        <v>0.5</v>
      </c>
      <c r="D42" s="116">
        <f t="shared" ref="D42:E42" si="34">D41/D40</f>
        <v>0.5</v>
      </c>
      <c r="E42" s="116">
        <f t="shared" si="34"/>
        <v>0.49729729729729732</v>
      </c>
      <c r="F42" s="115">
        <v>0.5</v>
      </c>
      <c r="G42" s="117">
        <f>F42</f>
        <v>0.5</v>
      </c>
      <c r="H42" s="117">
        <f t="shared" ref="H42:J42" si="35">G42</f>
        <v>0.5</v>
      </c>
      <c r="I42" s="117">
        <f t="shared" si="35"/>
        <v>0.5</v>
      </c>
      <c r="J42" s="117">
        <f t="shared" si="35"/>
        <v>0.5</v>
      </c>
    </row>
    <row r="43" spans="2:10" s="2" customFormat="1">
      <c r="B43" s="36" t="s">
        <v>27</v>
      </c>
      <c r="C43" s="68">
        <f>C40-C41</f>
        <v>6000</v>
      </c>
      <c r="D43" s="68">
        <f t="shared" ref="D43:E43" si="36">D40-D41</f>
        <v>7500</v>
      </c>
      <c r="E43" s="68">
        <f t="shared" si="36"/>
        <v>9300</v>
      </c>
      <c r="F43" s="68">
        <f t="shared" ref="F43:J43" si="37">F40-F41</f>
        <v>11100</v>
      </c>
      <c r="G43" s="68">
        <f t="shared" si="37"/>
        <v>13320</v>
      </c>
      <c r="H43" s="68">
        <f t="shared" si="37"/>
        <v>15984</v>
      </c>
      <c r="I43" s="68">
        <f t="shared" si="37"/>
        <v>19180.8</v>
      </c>
      <c r="J43" s="68">
        <f t="shared" si="37"/>
        <v>23016.959999999999</v>
      </c>
    </row>
    <row r="44" spans="2:10" s="2" customFormat="1">
      <c r="B44" s="26" t="s">
        <v>24</v>
      </c>
      <c r="C44" s="117">
        <f>C43/C40</f>
        <v>0.5</v>
      </c>
      <c r="D44" s="117">
        <f t="shared" ref="D44:E44" si="38">D43/D40</f>
        <v>0.5</v>
      </c>
      <c r="E44" s="117">
        <f t="shared" si="38"/>
        <v>0.50270270270270268</v>
      </c>
      <c r="F44" s="117">
        <f t="shared" ref="F44" si="39">F43/F40</f>
        <v>0.5</v>
      </c>
      <c r="G44" s="117">
        <f t="shared" ref="G44" si="40">G43/G40</f>
        <v>0.5</v>
      </c>
      <c r="H44" s="117">
        <f t="shared" ref="H44" si="41">H43/H40</f>
        <v>0.5</v>
      </c>
      <c r="I44" s="117">
        <f t="shared" ref="I44" si="42">I43/I40</f>
        <v>0.5</v>
      </c>
      <c r="J44" s="117">
        <f t="shared" ref="J44" si="43">J43/J40</f>
        <v>0.5</v>
      </c>
    </row>
    <row r="45" spans="2:10" s="2" customFormat="1">
      <c r="C45" s="39"/>
      <c r="D45" s="39"/>
      <c r="E45" s="39"/>
      <c r="F45" s="39"/>
      <c r="G45" s="39"/>
      <c r="H45" s="39"/>
      <c r="I45" s="39"/>
      <c r="J45" s="39"/>
    </row>
    <row r="46" spans="2:10">
      <c r="B46" s="31" t="s">
        <v>82</v>
      </c>
      <c r="C46" s="39"/>
      <c r="D46" s="39"/>
      <c r="E46" s="39"/>
      <c r="F46" s="39"/>
      <c r="G46" s="39"/>
      <c r="H46" s="39"/>
      <c r="I46" s="39"/>
      <c r="J46" s="39"/>
    </row>
    <row r="47" spans="2:10">
      <c r="B47" s="34" t="s">
        <v>83</v>
      </c>
      <c r="C47" s="60">
        <f>C7</f>
        <v>8500</v>
      </c>
      <c r="D47" s="60">
        <f t="shared" ref="D47:E47" si="44">D7</f>
        <v>10200</v>
      </c>
      <c r="E47" s="60">
        <f t="shared" si="44"/>
        <v>12300</v>
      </c>
      <c r="F47" s="60">
        <f>F7</f>
        <v>14514</v>
      </c>
      <c r="G47" s="60">
        <f t="shared" ref="G47:J47" si="45">G7</f>
        <v>17126.52</v>
      </c>
      <c r="H47" s="60">
        <f t="shared" si="45"/>
        <v>20209.293600000001</v>
      </c>
      <c r="I47" s="60">
        <f t="shared" si="45"/>
        <v>23846.966447999999</v>
      </c>
      <c r="J47" s="60">
        <f t="shared" si="45"/>
        <v>28139.420408639999</v>
      </c>
    </row>
    <row r="48" spans="2:10">
      <c r="B48" s="35" t="s">
        <v>84</v>
      </c>
      <c r="C48" s="60">
        <f>C12</f>
        <v>4000</v>
      </c>
      <c r="D48" s="60">
        <f t="shared" ref="D48:E48" si="46">D12</f>
        <v>4800</v>
      </c>
      <c r="E48" s="60">
        <f t="shared" si="46"/>
        <v>5900</v>
      </c>
      <c r="F48" s="60">
        <f>F47*F49</f>
        <v>6966.7199999999993</v>
      </c>
      <c r="G48" s="60">
        <f t="shared" ref="G48:J48" si="47">G47*G49</f>
        <v>8220.7296000000006</v>
      </c>
      <c r="H48" s="60">
        <f t="shared" si="47"/>
        <v>9700.4609280000004</v>
      </c>
      <c r="I48" s="60">
        <f t="shared" si="47"/>
        <v>11446.543895039998</v>
      </c>
      <c r="J48" s="60">
        <f t="shared" si="47"/>
        <v>13506.921796147199</v>
      </c>
    </row>
    <row r="49" spans="2:10">
      <c r="B49" s="34" t="s">
        <v>75</v>
      </c>
      <c r="C49" s="116">
        <f>C48/C47</f>
        <v>0.47058823529411764</v>
      </c>
      <c r="D49" s="116">
        <f t="shared" ref="D49:E49" si="48">D48/D47</f>
        <v>0.47058823529411764</v>
      </c>
      <c r="E49" s="116">
        <f t="shared" si="48"/>
        <v>0.47967479674796748</v>
      </c>
      <c r="F49" s="115">
        <v>0.48</v>
      </c>
      <c r="G49" s="116">
        <f>F49</f>
        <v>0.48</v>
      </c>
      <c r="H49" s="116">
        <f t="shared" ref="H49:J49" si="49">G49</f>
        <v>0.48</v>
      </c>
      <c r="I49" s="116">
        <f t="shared" si="49"/>
        <v>0.48</v>
      </c>
      <c r="J49" s="116">
        <f t="shared" si="49"/>
        <v>0.48</v>
      </c>
    </row>
    <row r="50" spans="2:10">
      <c r="B50" s="36" t="s">
        <v>27</v>
      </c>
      <c r="C50" s="68">
        <f>C47-C48</f>
        <v>4500</v>
      </c>
      <c r="D50" s="68">
        <f t="shared" ref="D50:J50" si="50">D47-D48</f>
        <v>5400</v>
      </c>
      <c r="E50" s="68">
        <f t="shared" si="50"/>
        <v>6400</v>
      </c>
      <c r="F50" s="68">
        <f t="shared" si="50"/>
        <v>7547.2800000000007</v>
      </c>
      <c r="G50" s="68">
        <f t="shared" si="50"/>
        <v>8905.7903999999999</v>
      </c>
      <c r="H50" s="68">
        <f t="shared" si="50"/>
        <v>10508.832672</v>
      </c>
      <c r="I50" s="68">
        <f t="shared" si="50"/>
        <v>12400.422552960001</v>
      </c>
      <c r="J50" s="68">
        <f t="shared" si="50"/>
        <v>14632.4986124928</v>
      </c>
    </row>
    <row r="51" spans="2:10">
      <c r="B51" s="26" t="s">
        <v>24</v>
      </c>
      <c r="C51" s="117">
        <f>C50/C47</f>
        <v>0.52941176470588236</v>
      </c>
      <c r="D51" s="117">
        <f t="shared" ref="D51" si="51">D50/D47</f>
        <v>0.52941176470588236</v>
      </c>
      <c r="E51" s="117">
        <f t="shared" ref="E51" si="52">E50/E47</f>
        <v>0.52032520325203258</v>
      </c>
      <c r="F51" s="117">
        <f t="shared" ref="F51" si="53">F50/F47</f>
        <v>0.52</v>
      </c>
      <c r="G51" s="117">
        <f>G50/G47</f>
        <v>0.52</v>
      </c>
      <c r="H51" s="117">
        <f>H50/H47</f>
        <v>0.52</v>
      </c>
      <c r="I51" s="117">
        <f t="shared" ref="I51" si="54">I50/I47</f>
        <v>0.52</v>
      </c>
      <c r="J51" s="117">
        <f t="shared" ref="J51" si="55">J50/J47</f>
        <v>0.52</v>
      </c>
    </row>
    <row r="52" spans="2:10">
      <c r="C52" s="67"/>
      <c r="D52" s="67"/>
      <c r="E52" s="67"/>
      <c r="F52" s="67"/>
      <c r="G52" s="67"/>
      <c r="H52" s="67"/>
      <c r="I52" s="67"/>
      <c r="J52" s="67"/>
    </row>
    <row r="53" spans="2:10">
      <c r="B53" s="31" t="s">
        <v>81</v>
      </c>
      <c r="C53" s="39"/>
      <c r="D53" s="39"/>
      <c r="E53" s="39"/>
      <c r="F53" s="39"/>
      <c r="G53" s="39"/>
      <c r="H53" s="39"/>
      <c r="I53" s="39"/>
      <c r="J53" s="39"/>
    </row>
    <row r="54" spans="2:10">
      <c r="B54" s="35" t="s">
        <v>85</v>
      </c>
      <c r="C54" s="60">
        <f>C8</f>
        <v>5000</v>
      </c>
      <c r="D54" s="60">
        <f t="shared" ref="D54:J54" si="56">D8</f>
        <v>6500</v>
      </c>
      <c r="E54" s="60">
        <f t="shared" si="56"/>
        <v>8000</v>
      </c>
      <c r="F54" s="60">
        <f t="shared" si="56"/>
        <v>9280</v>
      </c>
      <c r="G54" s="60">
        <f t="shared" si="56"/>
        <v>10764.8</v>
      </c>
      <c r="H54" s="60">
        <f t="shared" si="56"/>
        <v>12487.167999999998</v>
      </c>
      <c r="I54" s="60">
        <f t="shared" si="56"/>
        <v>14485.114879999997</v>
      </c>
      <c r="J54" s="60">
        <f t="shared" si="56"/>
        <v>16802.733260799996</v>
      </c>
    </row>
    <row r="55" spans="2:10">
      <c r="B55" s="35" t="s">
        <v>86</v>
      </c>
      <c r="C55" s="60">
        <f>C13</f>
        <v>2500</v>
      </c>
      <c r="D55" s="60">
        <f t="shared" ref="D55:E55" si="57">D13</f>
        <v>3250</v>
      </c>
      <c r="E55" s="60">
        <f t="shared" si="57"/>
        <v>4000</v>
      </c>
      <c r="F55" s="60">
        <f>F54*F56</f>
        <v>4640</v>
      </c>
      <c r="G55" s="60">
        <f t="shared" ref="G55:J55" si="58">G54*G56</f>
        <v>5382.4</v>
      </c>
      <c r="H55" s="60">
        <f t="shared" si="58"/>
        <v>6243.5839999999989</v>
      </c>
      <c r="I55" s="60">
        <f t="shared" si="58"/>
        <v>7242.5574399999987</v>
      </c>
      <c r="J55" s="60">
        <f t="shared" si="58"/>
        <v>8401.366630399998</v>
      </c>
    </row>
    <row r="56" spans="2:10">
      <c r="B56" s="34" t="s">
        <v>75</v>
      </c>
      <c r="C56" s="116">
        <f>C55/C54</f>
        <v>0.5</v>
      </c>
      <c r="D56" s="116">
        <f t="shared" ref="D56:E56" si="59">D55/D54</f>
        <v>0.5</v>
      </c>
      <c r="E56" s="116">
        <f t="shared" si="59"/>
        <v>0.5</v>
      </c>
      <c r="F56" s="115">
        <v>0.5</v>
      </c>
      <c r="G56" s="116">
        <f>F56</f>
        <v>0.5</v>
      </c>
      <c r="H56" s="116">
        <f t="shared" ref="H56:J56" si="60">G56</f>
        <v>0.5</v>
      </c>
      <c r="I56" s="116">
        <f t="shared" si="60"/>
        <v>0.5</v>
      </c>
      <c r="J56" s="116">
        <f t="shared" si="60"/>
        <v>0.5</v>
      </c>
    </row>
    <row r="57" spans="2:10">
      <c r="B57" s="37" t="s">
        <v>27</v>
      </c>
      <c r="C57" s="68">
        <f>C54-C55</f>
        <v>2500</v>
      </c>
      <c r="D57" s="68">
        <f t="shared" ref="D57:J57" si="61">D54-D55</f>
        <v>3250</v>
      </c>
      <c r="E57" s="68">
        <f t="shared" si="61"/>
        <v>4000</v>
      </c>
      <c r="F57" s="68">
        <f t="shared" si="61"/>
        <v>4640</v>
      </c>
      <c r="G57" s="68">
        <f t="shared" si="61"/>
        <v>5382.4</v>
      </c>
      <c r="H57" s="68">
        <f>H54-H55</f>
        <v>6243.5839999999989</v>
      </c>
      <c r="I57" s="68">
        <f t="shared" si="61"/>
        <v>7242.5574399999987</v>
      </c>
      <c r="J57" s="68">
        <f t="shared" si="61"/>
        <v>8401.366630399998</v>
      </c>
    </row>
    <row r="58" spans="2:10">
      <c r="B58" s="26" t="s">
        <v>24</v>
      </c>
      <c r="C58" s="117">
        <f>C57/C54</f>
        <v>0.5</v>
      </c>
      <c r="D58" s="117">
        <f t="shared" ref="D58:E58" si="62">D57/D54</f>
        <v>0.5</v>
      </c>
      <c r="E58" s="117">
        <f t="shared" si="62"/>
        <v>0.5</v>
      </c>
      <c r="F58" s="117">
        <f t="shared" ref="F58" si="63">F57/F54</f>
        <v>0.5</v>
      </c>
      <c r="G58" s="117">
        <f t="shared" ref="G58" si="64">G57/G54</f>
        <v>0.5</v>
      </c>
      <c r="H58" s="117">
        <f>H57/H54</f>
        <v>0.5</v>
      </c>
      <c r="I58" s="117">
        <f t="shared" ref="I58" si="65">I57/I54</f>
        <v>0.5</v>
      </c>
      <c r="J58" s="117">
        <f t="shared" ref="J58" si="66">J57/J54</f>
        <v>0.5</v>
      </c>
    </row>
    <row r="59" spans="2:10">
      <c r="B59" s="25"/>
      <c r="C59" s="63"/>
      <c r="D59" s="63"/>
      <c r="E59" s="63"/>
      <c r="F59" s="63"/>
      <c r="G59" s="63"/>
      <c r="H59" s="63"/>
      <c r="I59" s="63"/>
      <c r="J59" s="63"/>
    </row>
    <row r="60" spans="2:10">
      <c r="B60" s="23" t="s">
        <v>133</v>
      </c>
      <c r="C60" s="116">
        <f>C17/C9</f>
        <v>0.15686274509803921</v>
      </c>
      <c r="D60" s="116">
        <f t="shared" ref="D60:E60" si="67">D17/D9</f>
        <v>0.15772870662460567</v>
      </c>
      <c r="E60" s="116">
        <f t="shared" si="67"/>
        <v>0.15463917525773196</v>
      </c>
      <c r="F60" s="115">
        <v>0.15</v>
      </c>
      <c r="G60" s="116">
        <f>F60</f>
        <v>0.15</v>
      </c>
      <c r="H60" s="116">
        <f t="shared" ref="H60:J60" si="68">G60</f>
        <v>0.15</v>
      </c>
      <c r="I60" s="116">
        <f t="shared" si="68"/>
        <v>0.15</v>
      </c>
      <c r="J60" s="116">
        <f t="shared" si="68"/>
        <v>0.15</v>
      </c>
    </row>
    <row r="61" spans="2:10">
      <c r="C61" s="63"/>
      <c r="D61" s="63"/>
      <c r="E61" s="63"/>
      <c r="F61" s="63"/>
      <c r="G61" s="63"/>
      <c r="H61" s="63"/>
      <c r="I61" s="63"/>
      <c r="J61" s="63"/>
    </row>
    <row r="62" spans="2:10">
      <c r="B62" s="23" t="s">
        <v>40</v>
      </c>
      <c r="C62" s="116">
        <f>C29/C28</f>
        <v>0.23245614035087719</v>
      </c>
      <c r="D62" s="116">
        <f t="shared" ref="D62:E62" si="69">D29/D28</f>
        <v>0.23407643312101911</v>
      </c>
      <c r="E62" s="116">
        <f t="shared" si="69"/>
        <v>0.23557692307692307</v>
      </c>
      <c r="F62" s="115">
        <v>0.23400000000000001</v>
      </c>
      <c r="G62" s="116">
        <f>F62</f>
        <v>0.23400000000000001</v>
      </c>
      <c r="H62" s="116">
        <f t="shared" ref="H62:J62" si="70">G62</f>
        <v>0.23400000000000001</v>
      </c>
      <c r="I62" s="116">
        <f t="shared" si="70"/>
        <v>0.23400000000000001</v>
      </c>
      <c r="J62" s="116">
        <f t="shared" si="70"/>
        <v>0.23400000000000001</v>
      </c>
    </row>
    <row r="63" spans="2:10">
      <c r="B63" s="25"/>
      <c r="C63" s="63"/>
      <c r="D63" s="63"/>
      <c r="E63" s="63"/>
      <c r="F63" s="63"/>
      <c r="G63" s="63"/>
      <c r="H63" s="63"/>
      <c r="I63" s="63"/>
      <c r="J63" s="63"/>
    </row>
    <row r="64" spans="2:10">
      <c r="C64" s="69"/>
      <c r="D64" s="69"/>
      <c r="E64" s="69"/>
      <c r="F64" s="69"/>
      <c r="G64" s="69"/>
      <c r="H64" s="69"/>
      <c r="I64" s="69"/>
      <c r="J64" s="69"/>
    </row>
    <row r="65" spans="2:10">
      <c r="B65" s="24" t="s">
        <v>119</v>
      </c>
      <c r="C65" s="96">
        <f>C16/C9</f>
        <v>0.50980392156862742</v>
      </c>
      <c r="D65" s="96">
        <f t="shared" ref="D65" si="71">D16/D9</f>
        <v>0.50946372239747639</v>
      </c>
      <c r="E65" s="96">
        <f>E16/E9</f>
        <v>0.50773195876288657</v>
      </c>
      <c r="F65" s="96">
        <f t="shared" ref="F65:J65" si="72">F16/F9</f>
        <v>0.50631125799017263</v>
      </c>
      <c r="G65" s="96">
        <f t="shared" si="72"/>
        <v>0.50628135170760591</v>
      </c>
      <c r="H65" s="96">
        <f t="shared" si="72"/>
        <v>0.50625051012564226</v>
      </c>
      <c r="I65" s="96">
        <f t="shared" si="72"/>
        <v>0.50621875649599146</v>
      </c>
      <c r="J65" s="96">
        <f t="shared" si="72"/>
        <v>0.50618611449662787</v>
      </c>
    </row>
    <row r="66" spans="2:10">
      <c r="B66" s="24" t="s">
        <v>120</v>
      </c>
      <c r="C66" s="96">
        <f>C18/C9</f>
        <v>0.35294117647058826</v>
      </c>
      <c r="D66" s="96">
        <f t="shared" ref="D66:E66" si="73">D18/D9</f>
        <v>0.35173501577287064</v>
      </c>
      <c r="E66" s="96">
        <f t="shared" si="73"/>
        <v>0.35309278350515466</v>
      </c>
      <c r="F66" s="96">
        <f t="shared" ref="F66:J66" si="74">F18/F9</f>
        <v>0.35631125799017266</v>
      </c>
      <c r="G66" s="96">
        <f t="shared" si="74"/>
        <v>0.35628135170760589</v>
      </c>
      <c r="H66" s="96">
        <f t="shared" si="74"/>
        <v>0.35625051012564224</v>
      </c>
      <c r="I66" s="96">
        <f t="shared" si="74"/>
        <v>0.35621875649599144</v>
      </c>
      <c r="J66" s="96">
        <f t="shared" si="74"/>
        <v>0.35618611449662785</v>
      </c>
    </row>
    <row r="67" spans="2:10">
      <c r="B67" s="24" t="s">
        <v>121</v>
      </c>
      <c r="C67" s="96">
        <f>C22/C9</f>
        <v>0.30588235294117649</v>
      </c>
      <c r="D67" s="96">
        <f t="shared" ref="D67:E67" si="75">D22/D9</f>
        <v>0.30757097791798105</v>
      </c>
      <c r="E67" s="96">
        <f t="shared" si="75"/>
        <v>0.30927835051546393</v>
      </c>
      <c r="F67" s="96">
        <f t="shared" ref="F67:J67" si="76">F22/F9</f>
        <v>0.31131125799017267</v>
      </c>
      <c r="G67" s="96">
        <f t="shared" si="76"/>
        <v>0.3112813517076059</v>
      </c>
      <c r="H67" s="96">
        <f t="shared" si="76"/>
        <v>0.3112505101256422</v>
      </c>
      <c r="I67" s="96">
        <f t="shared" si="76"/>
        <v>0.3112187564959914</v>
      </c>
      <c r="J67" s="96">
        <f t="shared" si="76"/>
        <v>0.31118611449662786</v>
      </c>
    </row>
    <row r="68" spans="2:10">
      <c r="B68" s="24" t="s">
        <v>122</v>
      </c>
      <c r="C68" s="96">
        <f>C28/C9</f>
        <v>0.22352941176470589</v>
      </c>
      <c r="D68" s="96">
        <f>D28/D9</f>
        <v>0.2476340694006309</v>
      </c>
      <c r="E68" s="96">
        <f t="shared" ref="E68" si="77">E28/E9</f>
        <v>0.26804123711340205</v>
      </c>
      <c r="F68" s="96">
        <f t="shared" ref="F68:J68" ca="1" si="78">F28/F9</f>
        <v>0.2638274258120763</v>
      </c>
      <c r="G68" s="96">
        <f t="shared" ca="1" si="78"/>
        <v>0.27300876568886145</v>
      </c>
      <c r="H68" s="96">
        <f t="shared" ca="1" si="78"/>
        <v>0.28098371869456179</v>
      </c>
      <c r="I68" s="96">
        <f t="shared" ca="1" si="78"/>
        <v>0.28822184932297079</v>
      </c>
      <c r="J68" s="96">
        <f t="shared" ca="1" si="78"/>
        <v>0.29482837040932652</v>
      </c>
    </row>
    <row r="69" spans="2:10">
      <c r="B69" s="24" t="s">
        <v>123</v>
      </c>
      <c r="C69" s="96">
        <f>C30/C9</f>
        <v>0.17156862745098039</v>
      </c>
      <c r="D69" s="96">
        <f t="shared" ref="D69:E69" si="79">D30/D9</f>
        <v>0.18966876971608831</v>
      </c>
      <c r="E69" s="96">
        <f t="shared" si="79"/>
        <v>0.20489690721649484</v>
      </c>
      <c r="F69" s="96">
        <f t="shared" ref="F69:J69" ca="1" si="80">F30/F9</f>
        <v>0.20209180817205044</v>
      </c>
      <c r="G69" s="96">
        <f t="shared" ca="1" si="80"/>
        <v>0.20912471451766787</v>
      </c>
      <c r="H69" s="96">
        <f t="shared" ca="1" si="80"/>
        <v>0.21523352852003433</v>
      </c>
      <c r="I69" s="96">
        <f t="shared" ca="1" si="80"/>
        <v>0.22077793658139563</v>
      </c>
      <c r="J69" s="96">
        <f t="shared" ca="1" si="80"/>
        <v>0.22583853173354412</v>
      </c>
    </row>
    <row r="70" spans="2:10">
      <c r="C70" s="69"/>
      <c r="D70" s="69"/>
      <c r="E70" s="69"/>
      <c r="F70" s="69"/>
      <c r="G70" s="69"/>
      <c r="H70" s="69"/>
      <c r="I70" s="69"/>
      <c r="J70" s="69"/>
    </row>
    <row r="71" spans="2:10">
      <c r="C71" s="69"/>
      <c r="D71" s="69"/>
      <c r="E71" s="69"/>
      <c r="F71" s="69"/>
      <c r="G71" s="69"/>
      <c r="H71" s="69"/>
      <c r="I71" s="69"/>
      <c r="J71" s="69"/>
    </row>
    <row r="72" spans="2:10">
      <c r="C72" s="69"/>
      <c r="D72" s="69"/>
      <c r="E72" s="69"/>
      <c r="F72" s="69"/>
      <c r="G72" s="69"/>
      <c r="H72" s="69"/>
      <c r="I72" s="69"/>
      <c r="J72" s="69"/>
    </row>
    <row r="73" spans="2:10">
      <c r="C73" s="69"/>
      <c r="D73" s="69"/>
      <c r="E73" s="69"/>
      <c r="F73" s="69"/>
      <c r="G73" s="69"/>
      <c r="H73" s="69"/>
      <c r="I73" s="69"/>
      <c r="J73" s="69"/>
    </row>
    <row r="74" spans="2:10">
      <c r="C74" s="69"/>
      <c r="D74" s="69"/>
      <c r="E74" s="69"/>
      <c r="F74" s="69"/>
      <c r="G74" s="69"/>
      <c r="H74" s="69"/>
      <c r="I74" s="69"/>
      <c r="J74" s="69"/>
    </row>
    <row r="75" spans="2:10">
      <c r="C75" s="69"/>
      <c r="D75" s="69"/>
      <c r="E75" s="69"/>
      <c r="F75" s="69"/>
      <c r="G75" s="69"/>
      <c r="H75" s="69"/>
      <c r="I75" s="69"/>
      <c r="J75" s="69"/>
    </row>
    <row r="76" spans="2:10">
      <c r="C76" s="69"/>
      <c r="D76" s="69"/>
      <c r="E76" s="69"/>
      <c r="F76" s="69"/>
      <c r="G76" s="69"/>
      <c r="H76" s="69"/>
      <c r="I76" s="69"/>
      <c r="J76" s="69"/>
    </row>
    <row r="77" spans="2:10">
      <c r="C77" s="69"/>
      <c r="D77" s="69"/>
      <c r="E77" s="69"/>
      <c r="F77" s="69"/>
      <c r="G77" s="69"/>
      <c r="H77" s="69"/>
      <c r="I77" s="69"/>
      <c r="J77" s="69"/>
    </row>
    <row r="78" spans="2:10">
      <c r="C78" s="69"/>
      <c r="D78" s="69"/>
      <c r="E78" s="69"/>
      <c r="F78" s="69"/>
      <c r="G78" s="69"/>
      <c r="H78" s="69"/>
      <c r="I78" s="69"/>
      <c r="J78" s="69"/>
    </row>
    <row r="79" spans="2:10">
      <c r="C79" s="69"/>
      <c r="D79" s="69"/>
      <c r="E79" s="69"/>
      <c r="F79" s="69"/>
      <c r="G79" s="69"/>
      <c r="H79" s="69"/>
      <c r="I79" s="69"/>
      <c r="J79" s="69"/>
    </row>
    <row r="80" spans="2:10">
      <c r="C80" s="69"/>
      <c r="D80" s="69"/>
      <c r="E80" s="69"/>
      <c r="F80" s="69"/>
      <c r="G80" s="69"/>
      <c r="H80" s="69"/>
      <c r="I80" s="69"/>
      <c r="J80" s="69"/>
    </row>
    <row r="81" spans="3:10">
      <c r="C81" s="69"/>
      <c r="D81" s="69"/>
      <c r="E81" s="69"/>
      <c r="F81" s="69"/>
      <c r="G81" s="69"/>
      <c r="H81" s="69"/>
      <c r="I81" s="69"/>
      <c r="J81" s="69"/>
    </row>
    <row r="82" spans="3:10">
      <c r="C82" s="69"/>
      <c r="D82" s="69"/>
      <c r="E82" s="69"/>
      <c r="F82" s="69"/>
      <c r="G82" s="69"/>
      <c r="H82" s="69"/>
      <c r="I82" s="69"/>
      <c r="J82" s="69"/>
    </row>
    <row r="83" spans="3:10">
      <c r="C83" s="69"/>
      <c r="D83" s="69"/>
      <c r="E83" s="69"/>
      <c r="F83" s="69"/>
      <c r="G83" s="69"/>
      <c r="H83" s="69"/>
      <c r="I83" s="69"/>
      <c r="J83" s="69"/>
    </row>
    <row r="84" spans="3:10">
      <c r="C84" s="69"/>
      <c r="D84" s="69"/>
      <c r="E84" s="69"/>
      <c r="F84" s="69"/>
      <c r="G84" s="69"/>
      <c r="H84" s="69"/>
      <c r="I84" s="69"/>
      <c r="J84" s="69"/>
    </row>
    <row r="85" spans="3:10">
      <c r="C85" s="69"/>
      <c r="D85" s="69"/>
      <c r="E85" s="69"/>
      <c r="F85" s="69"/>
      <c r="G85" s="69"/>
      <c r="H85" s="69"/>
      <c r="I85" s="69"/>
      <c r="J85" s="69"/>
    </row>
    <row r="86" spans="3:10">
      <c r="C86" s="69"/>
      <c r="D86" s="69"/>
      <c r="E86" s="69"/>
      <c r="F86" s="69"/>
      <c r="G86" s="69"/>
      <c r="H86" s="69"/>
      <c r="I86" s="69"/>
      <c r="J86" s="69"/>
    </row>
    <row r="87" spans="3:10">
      <c r="C87" s="69"/>
      <c r="D87" s="69"/>
      <c r="E87" s="69"/>
      <c r="F87" s="69"/>
      <c r="G87" s="69"/>
      <c r="H87" s="69"/>
      <c r="I87" s="69"/>
      <c r="J87" s="69"/>
    </row>
    <row r="88" spans="3:10">
      <c r="C88" s="69"/>
      <c r="D88" s="69"/>
      <c r="E88" s="69"/>
      <c r="F88" s="69"/>
      <c r="G88" s="69"/>
      <c r="H88" s="69"/>
      <c r="I88" s="69"/>
      <c r="J88" s="69"/>
    </row>
    <row r="89" spans="3:10">
      <c r="C89" s="69"/>
      <c r="D89" s="69"/>
      <c r="E89" s="69"/>
      <c r="F89" s="69"/>
      <c r="G89" s="69"/>
      <c r="H89" s="69"/>
      <c r="I89" s="69"/>
      <c r="J89" s="69"/>
    </row>
    <row r="90" spans="3:10">
      <c r="C90" s="69"/>
      <c r="D90" s="69"/>
      <c r="E90" s="69"/>
      <c r="F90" s="69"/>
      <c r="G90" s="69"/>
      <c r="H90" s="69"/>
      <c r="I90" s="69"/>
      <c r="J90" s="69"/>
    </row>
    <row r="91" spans="3:10">
      <c r="C91" s="69"/>
      <c r="D91" s="69"/>
      <c r="E91" s="69"/>
      <c r="F91" s="69"/>
      <c r="G91" s="69"/>
      <c r="H91" s="69"/>
      <c r="I91" s="69"/>
      <c r="J91" s="69"/>
    </row>
    <row r="92" spans="3:10">
      <c r="C92" s="69"/>
      <c r="D92" s="69"/>
      <c r="E92" s="69"/>
      <c r="F92" s="69"/>
      <c r="G92" s="69"/>
      <c r="H92" s="69"/>
      <c r="I92" s="69"/>
      <c r="J92" s="69"/>
    </row>
    <row r="93" spans="3:10">
      <c r="C93" s="69"/>
      <c r="D93" s="69"/>
      <c r="E93" s="69"/>
      <c r="F93" s="69"/>
      <c r="G93" s="69"/>
      <c r="H93" s="69"/>
      <c r="I93" s="69"/>
      <c r="J93" s="69"/>
    </row>
    <row r="94" spans="3:10">
      <c r="C94" s="69"/>
      <c r="D94" s="69"/>
      <c r="E94" s="69"/>
      <c r="F94" s="69"/>
      <c r="G94" s="69"/>
      <c r="H94" s="69"/>
      <c r="I94" s="69"/>
      <c r="J94" s="69"/>
    </row>
    <row r="95" spans="3:10"/>
    <row r="96" spans="3:10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</sheetData>
  <mergeCells count="2">
    <mergeCell ref="F1:J1"/>
    <mergeCell ref="C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4E54"/>
  </sheetPr>
  <dimension ref="A1:J171"/>
  <sheetViews>
    <sheetView showGridLines="0" zoomScale="103" zoomScaleNormal="115" workbookViewId="0">
      <selection activeCell="E17" sqref="E17"/>
    </sheetView>
  </sheetViews>
  <sheetFormatPr defaultColWidth="8.77734375" defaultRowHeight="13.8" zeroHeight="1"/>
  <cols>
    <col min="1" max="1" width="3.6640625" style="2" customWidth="1"/>
    <col min="2" max="2" width="53.5546875" style="2" bestFit="1" customWidth="1"/>
    <col min="3" max="5" width="13.88671875" style="2" customWidth="1"/>
    <col min="6" max="10" width="12.5546875" style="2" customWidth="1"/>
    <col min="11" max="16384" width="8.77734375" style="2"/>
  </cols>
  <sheetData>
    <row r="1" spans="1:10" ht="36.75" customHeight="1">
      <c r="A1" s="45" t="s">
        <v>91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0" ht="14.4">
      <c r="A2" s="12" t="s">
        <v>6</v>
      </c>
      <c r="B2" s="16"/>
      <c r="C2" s="44">
        <v>2022</v>
      </c>
      <c r="D2" s="44">
        <v>2023</v>
      </c>
      <c r="E2" s="44">
        <v>2024</v>
      </c>
      <c r="F2" s="11">
        <v>2025</v>
      </c>
      <c r="G2" s="11">
        <v>2026</v>
      </c>
      <c r="H2" s="11">
        <v>2027</v>
      </c>
      <c r="I2" s="11">
        <v>2028</v>
      </c>
      <c r="J2" s="11">
        <v>2029</v>
      </c>
    </row>
    <row r="3" spans="1:10" ht="14.4">
      <c r="A3" s="13"/>
      <c r="B3" s="30"/>
      <c r="C3" s="29"/>
      <c r="D3" s="29"/>
      <c r="E3" s="29"/>
      <c r="F3" s="29"/>
      <c r="G3" s="29"/>
      <c r="H3" s="29"/>
      <c r="I3" s="29"/>
      <c r="J3" s="29"/>
    </row>
    <row r="4" spans="1:10" ht="14.4">
      <c r="A4" s="13"/>
      <c r="B4" s="30"/>
      <c r="C4" s="29"/>
      <c r="D4" s="29"/>
      <c r="E4" s="29"/>
      <c r="F4" s="29"/>
      <c r="G4" s="29"/>
      <c r="H4" s="29"/>
      <c r="I4" s="29"/>
      <c r="J4" s="29"/>
    </row>
    <row r="5" spans="1:10">
      <c r="B5" s="31" t="s">
        <v>3</v>
      </c>
      <c r="C5" s="24"/>
      <c r="D5" s="24"/>
      <c r="E5" s="24"/>
    </row>
    <row r="6" spans="1:10">
      <c r="B6" s="38" t="s">
        <v>11</v>
      </c>
      <c r="C6" s="24"/>
      <c r="D6" s="24"/>
      <c r="E6" s="24"/>
    </row>
    <row r="7" spans="1:10">
      <c r="B7" s="23" t="s">
        <v>12</v>
      </c>
      <c r="C7" s="59">
        <v>1200</v>
      </c>
      <c r="D7" s="59">
        <v>1300</v>
      </c>
      <c r="E7" s="59">
        <v>1400</v>
      </c>
      <c r="F7" s="64">
        <f ca="1">'Apex Solutions CF'!F27</f>
        <v>1201.9081867091227</v>
      </c>
      <c r="G7" s="64">
        <f ca="1">'Apex Solutions CF'!G27</f>
        <v>1861.1161189122249</v>
      </c>
      <c r="H7" s="64">
        <f ca="1">'Apex Solutions CF'!H27</f>
        <v>3859.8323977339696</v>
      </c>
      <c r="I7" s="64">
        <f ca="1">'Apex Solutions CF'!I27</f>
        <v>8759.0029184500108</v>
      </c>
      <c r="J7" s="64">
        <f ca="1">'Apex Solutions CF'!J27</f>
        <v>16230.108338072054</v>
      </c>
    </row>
    <row r="8" spans="1:10">
      <c r="B8" s="23" t="s">
        <v>28</v>
      </c>
      <c r="C8" s="59">
        <v>1440</v>
      </c>
      <c r="D8" s="59">
        <v>1700</v>
      </c>
      <c r="E8" s="59">
        <v>1960</v>
      </c>
      <c r="F8" s="64">
        <f>'Working Capital'!F7</f>
        <v>2394.2082191780823</v>
      </c>
      <c r="G8" s="64">
        <f>'Working Capital'!G7</f>
        <v>2838.6166575342472</v>
      </c>
      <c r="H8" s="64">
        <f>'Working Capital'!H7</f>
        <v>3366.0952613698632</v>
      </c>
      <c r="I8" s="64">
        <f>'Working Capital'!I7</f>
        <v>3992.2738225534245</v>
      </c>
      <c r="J8" s="64">
        <f>'Working Capital'!J7</f>
        <v>4735.7408211489319</v>
      </c>
    </row>
    <row r="9" spans="1:10">
      <c r="B9" s="23" t="s">
        <v>29</v>
      </c>
      <c r="C9" s="59">
        <f>2800+300</f>
        <v>3100</v>
      </c>
      <c r="D9" s="59">
        <f>3200+360</f>
        <v>3560</v>
      </c>
      <c r="E9" s="59">
        <f>3600+400</f>
        <v>4000</v>
      </c>
      <c r="F9" s="64">
        <f>'Working Capital'!F8</f>
        <v>4354.7134246575342</v>
      </c>
      <c r="G9" s="64">
        <f>'Working Capital'!G8</f>
        <v>5163.3399232876709</v>
      </c>
      <c r="H9" s="64">
        <f>'Working Capital'!H8</f>
        <v>6123.1866985205479</v>
      </c>
      <c r="I9" s="64">
        <f>'Working Capital'!I8</f>
        <v>7262.7208039802736</v>
      </c>
      <c r="J9" s="64">
        <f>'Working Capital'!J8</f>
        <v>8615.8010681049418</v>
      </c>
    </row>
    <row r="10" spans="1:10">
      <c r="B10" s="19" t="s">
        <v>13</v>
      </c>
      <c r="C10" s="71">
        <f t="shared" ref="C10:J10" si="0">SUM(C7:C9)</f>
        <v>5740</v>
      </c>
      <c r="D10" s="71">
        <f t="shared" si="0"/>
        <v>6560</v>
      </c>
      <c r="E10" s="71">
        <f t="shared" si="0"/>
        <v>7360</v>
      </c>
      <c r="F10" s="71">
        <f t="shared" ca="1" si="0"/>
        <v>7950.8298305447388</v>
      </c>
      <c r="G10" s="71">
        <f t="shared" ca="1" si="0"/>
        <v>9863.0726997341426</v>
      </c>
      <c r="H10" s="71">
        <f t="shared" ca="1" si="0"/>
        <v>13349.114357624381</v>
      </c>
      <c r="I10" s="71">
        <f t="shared" ca="1" si="0"/>
        <v>20013.997544983707</v>
      </c>
      <c r="J10" s="71">
        <f t="shared" ca="1" si="0"/>
        <v>29581.650227325928</v>
      </c>
    </row>
    <row r="11" spans="1:10">
      <c r="B11" s="21"/>
      <c r="C11" s="72"/>
      <c r="D11" s="72"/>
      <c r="E11" s="72"/>
      <c r="F11" s="72"/>
      <c r="G11" s="72"/>
      <c r="H11" s="72"/>
      <c r="I11" s="72"/>
      <c r="J11" s="72"/>
    </row>
    <row r="12" spans="1:10">
      <c r="B12" s="38" t="s">
        <v>87</v>
      </c>
      <c r="C12" s="61"/>
      <c r="D12" s="61"/>
      <c r="E12" s="61"/>
      <c r="F12" s="61"/>
      <c r="G12" s="61"/>
      <c r="H12" s="61"/>
      <c r="I12" s="61"/>
      <c r="J12" s="61"/>
    </row>
    <row r="13" spans="1:10">
      <c r="B13" s="21" t="s">
        <v>41</v>
      </c>
      <c r="C13" s="59">
        <v>24800</v>
      </c>
      <c r="D13" s="59">
        <v>28100</v>
      </c>
      <c r="E13" s="59">
        <v>31400</v>
      </c>
      <c r="F13" s="73">
        <f>'Depreciation Capex'!F13</f>
        <v>39330.269999999997</v>
      </c>
      <c r="G13" s="73">
        <f>'Depreciation Capex'!G13</f>
        <v>48376.3606</v>
      </c>
      <c r="H13" s="73">
        <f>'Depreciation Capex'!H13</f>
        <v>58466.459827999999</v>
      </c>
      <c r="I13" s="73">
        <f>'Depreciation Capex'!I13</f>
        <v>68515.244168239995</v>
      </c>
      <c r="J13" s="73">
        <f>'Depreciation Capex'!J13</f>
        <v>79421.32085311519</v>
      </c>
    </row>
    <row r="14" spans="1:10">
      <c r="B14" s="21"/>
      <c r="C14" s="74"/>
      <c r="D14" s="74"/>
      <c r="E14" s="74"/>
      <c r="F14" s="74"/>
      <c r="G14" s="74"/>
      <c r="H14" s="74"/>
      <c r="I14" s="74"/>
      <c r="J14" s="74"/>
    </row>
    <row r="15" spans="1:10">
      <c r="B15" s="38" t="s">
        <v>5</v>
      </c>
      <c r="C15" s="61"/>
      <c r="D15" s="61"/>
      <c r="E15" s="61"/>
      <c r="F15" s="61"/>
      <c r="G15" s="61"/>
      <c r="H15" s="61"/>
      <c r="I15" s="61"/>
      <c r="J15" s="61"/>
    </row>
    <row r="16" spans="1:10">
      <c r="B16" s="23" t="s">
        <v>7</v>
      </c>
      <c r="C16" s="59">
        <v>1800</v>
      </c>
      <c r="D16" s="59">
        <v>2100</v>
      </c>
      <c r="E16" s="59">
        <v>2400</v>
      </c>
      <c r="F16" s="60">
        <f>$E$16</f>
        <v>2400</v>
      </c>
      <c r="G16" s="60">
        <f t="shared" ref="G16:J16" si="1">$E$16</f>
        <v>2400</v>
      </c>
      <c r="H16" s="60">
        <f t="shared" si="1"/>
        <v>2400</v>
      </c>
      <c r="I16" s="60">
        <f t="shared" si="1"/>
        <v>2400</v>
      </c>
      <c r="J16" s="60">
        <f t="shared" si="1"/>
        <v>2400</v>
      </c>
    </row>
    <row r="17" spans="2:10">
      <c r="B17" s="23" t="s">
        <v>33</v>
      </c>
      <c r="C17" s="59">
        <v>0</v>
      </c>
      <c r="D17" s="59">
        <v>0</v>
      </c>
      <c r="E17" s="59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</row>
    <row r="18" spans="2:10">
      <c r="B18" s="19" t="s">
        <v>14</v>
      </c>
      <c r="C18" s="71">
        <f t="shared" ref="C18" si="2">SUM(C16:C17)</f>
        <v>1800</v>
      </c>
      <c r="D18" s="71">
        <f t="shared" ref="D18" si="3">SUM(D16:D17)</f>
        <v>2100</v>
      </c>
      <c r="E18" s="71">
        <f t="shared" ref="E18:J18" si="4">SUM(E16:E17)</f>
        <v>2400</v>
      </c>
      <c r="F18" s="71">
        <f t="shared" si="4"/>
        <v>2400</v>
      </c>
      <c r="G18" s="71">
        <f t="shared" si="4"/>
        <v>2400</v>
      </c>
      <c r="H18" s="71">
        <f t="shared" si="4"/>
        <v>2400</v>
      </c>
      <c r="I18" s="71">
        <f t="shared" si="4"/>
        <v>2400</v>
      </c>
      <c r="J18" s="71">
        <f t="shared" si="4"/>
        <v>2400</v>
      </c>
    </row>
    <row r="19" spans="2:10">
      <c r="B19" s="21"/>
      <c r="C19" s="74"/>
      <c r="D19" s="74"/>
      <c r="E19" s="74"/>
      <c r="F19" s="74"/>
      <c r="G19" s="74"/>
      <c r="H19" s="74"/>
      <c r="I19" s="74"/>
      <c r="J19" s="74"/>
    </row>
    <row r="20" spans="2:10" ht="14.4" thickBot="1">
      <c r="B20" s="50" t="s">
        <v>15</v>
      </c>
      <c r="C20" s="75">
        <f t="shared" ref="C20:J20" si="5">C10+C13+C18</f>
        <v>32340</v>
      </c>
      <c r="D20" s="75">
        <f t="shared" si="5"/>
        <v>36760</v>
      </c>
      <c r="E20" s="75">
        <f t="shared" si="5"/>
        <v>41160</v>
      </c>
      <c r="F20" s="75">
        <f t="shared" ca="1" si="5"/>
        <v>49681.099830544736</v>
      </c>
      <c r="G20" s="75">
        <f t="shared" ca="1" si="5"/>
        <v>60639.433299734141</v>
      </c>
      <c r="H20" s="75">
        <f t="shared" ca="1" si="5"/>
        <v>74215.574185624384</v>
      </c>
      <c r="I20" s="75">
        <f t="shared" ca="1" si="5"/>
        <v>90929.241713223702</v>
      </c>
      <c r="J20" s="75">
        <f t="shared" ca="1" si="5"/>
        <v>111402.97108044112</v>
      </c>
    </row>
    <row r="21" spans="2:10" ht="14.4" thickTop="1">
      <c r="B21" s="23"/>
      <c r="C21" s="76"/>
      <c r="D21" s="76"/>
      <c r="E21" s="76"/>
      <c r="F21" s="76"/>
      <c r="G21" s="76"/>
      <c r="H21" s="76"/>
      <c r="I21" s="76"/>
      <c r="J21" s="76"/>
    </row>
    <row r="22" spans="2:10">
      <c r="B22" s="31" t="s">
        <v>21</v>
      </c>
      <c r="C22" s="61"/>
      <c r="D22" s="61"/>
      <c r="E22" s="61"/>
      <c r="F22" s="61"/>
      <c r="G22" s="61"/>
      <c r="H22" s="61"/>
      <c r="I22" s="61"/>
      <c r="J22" s="61"/>
    </row>
    <row r="23" spans="2:10">
      <c r="B23" s="38" t="s">
        <v>4</v>
      </c>
      <c r="C23" s="61"/>
      <c r="D23" s="61"/>
      <c r="E23" s="61"/>
      <c r="F23" s="61"/>
      <c r="G23" s="61"/>
      <c r="H23" s="61"/>
      <c r="I23" s="61"/>
      <c r="J23" s="61"/>
    </row>
    <row r="24" spans="2:10">
      <c r="B24" s="23" t="s">
        <v>16</v>
      </c>
      <c r="C24" s="59">
        <f>1800+400</f>
        <v>2200</v>
      </c>
      <c r="D24" s="59">
        <f>2000+480</f>
        <v>2480</v>
      </c>
      <c r="E24" s="59">
        <f>2200+560</f>
        <v>2760</v>
      </c>
      <c r="F24" s="64">
        <f>'Working Capital'!F9</f>
        <v>2986.0892054794522</v>
      </c>
      <c r="G24" s="64">
        <f>'Working Capital'!G9</f>
        <v>3540.5759473972603</v>
      </c>
      <c r="H24" s="64">
        <f>'Working Capital'!H9</f>
        <v>4198.7565932712323</v>
      </c>
      <c r="I24" s="64">
        <f>'Working Capital'!I9</f>
        <v>4980.1514084436158</v>
      </c>
      <c r="J24" s="64">
        <f>'Working Capital'!J9</f>
        <v>5907.9778752719594</v>
      </c>
    </row>
    <row r="25" spans="2:10">
      <c r="B25" s="19" t="s">
        <v>17</v>
      </c>
      <c r="C25" s="77">
        <f t="shared" ref="C25:J25" si="6">SUM(C24:C24)</f>
        <v>2200</v>
      </c>
      <c r="D25" s="77">
        <f t="shared" si="6"/>
        <v>2480</v>
      </c>
      <c r="E25" s="77">
        <f t="shared" si="6"/>
        <v>2760</v>
      </c>
      <c r="F25" s="77">
        <f t="shared" si="6"/>
        <v>2986.0892054794522</v>
      </c>
      <c r="G25" s="77">
        <f t="shared" si="6"/>
        <v>3540.5759473972603</v>
      </c>
      <c r="H25" s="77">
        <f t="shared" si="6"/>
        <v>4198.7565932712323</v>
      </c>
      <c r="I25" s="77">
        <f t="shared" si="6"/>
        <v>4980.1514084436158</v>
      </c>
      <c r="J25" s="77">
        <f t="shared" si="6"/>
        <v>5907.9778752719594</v>
      </c>
    </row>
    <row r="26" spans="2:10">
      <c r="B26" s="21"/>
      <c r="C26" s="78"/>
      <c r="D26" s="78"/>
      <c r="E26" s="78"/>
      <c r="F26" s="78"/>
      <c r="G26" s="78"/>
      <c r="H26" s="78"/>
      <c r="I26" s="78"/>
      <c r="J26" s="78"/>
    </row>
    <row r="27" spans="2:10">
      <c r="B27" s="33" t="s">
        <v>71</v>
      </c>
      <c r="C27" s="59">
        <v>21000</v>
      </c>
      <c r="D27" s="59">
        <v>23100</v>
      </c>
      <c r="E27" s="59">
        <v>25200</v>
      </c>
      <c r="F27" s="64">
        <f>'Debt Schedule'!F10</f>
        <v>24200</v>
      </c>
      <c r="G27" s="64">
        <f>'Debt Schedule'!G10</f>
        <v>23200</v>
      </c>
      <c r="H27" s="64">
        <f>'Debt Schedule'!H10</f>
        <v>22200</v>
      </c>
      <c r="I27" s="64">
        <f>'Debt Schedule'!I10</f>
        <v>21200</v>
      </c>
      <c r="J27" s="64">
        <f>'Debt Schedule'!J10</f>
        <v>20200</v>
      </c>
    </row>
    <row r="28" spans="2:10">
      <c r="B28" s="56" t="s">
        <v>80</v>
      </c>
      <c r="C28" s="77">
        <f t="shared" ref="C28:J28" si="7">SUM(C27:C27)</f>
        <v>21000</v>
      </c>
      <c r="D28" s="77">
        <f t="shared" si="7"/>
        <v>23100</v>
      </c>
      <c r="E28" s="77">
        <f t="shared" si="7"/>
        <v>25200</v>
      </c>
      <c r="F28" s="77">
        <f t="shared" si="7"/>
        <v>24200</v>
      </c>
      <c r="G28" s="77">
        <f t="shared" si="7"/>
        <v>23200</v>
      </c>
      <c r="H28" s="77">
        <f t="shared" si="7"/>
        <v>22200</v>
      </c>
      <c r="I28" s="77">
        <f t="shared" si="7"/>
        <v>21200</v>
      </c>
      <c r="J28" s="77">
        <f t="shared" si="7"/>
        <v>20200</v>
      </c>
    </row>
    <row r="29" spans="2:10">
      <c r="C29" s="59">
        <v>0</v>
      </c>
      <c r="D29" s="59">
        <v>0</v>
      </c>
      <c r="E29" s="64"/>
      <c r="F29" s="39"/>
      <c r="G29" s="39"/>
      <c r="H29" s="39"/>
      <c r="I29" s="39"/>
      <c r="J29" s="39"/>
    </row>
    <row r="30" spans="2:10">
      <c r="B30" s="23" t="s">
        <v>104</v>
      </c>
      <c r="C30" s="59">
        <v>2000</v>
      </c>
      <c r="D30" s="59">
        <v>2200</v>
      </c>
      <c r="E30" s="63">
        <v>2400</v>
      </c>
      <c r="F30" s="60">
        <f>E30</f>
        <v>2400</v>
      </c>
      <c r="G30" s="60">
        <f t="shared" ref="G30:J30" si="8">F30</f>
        <v>2400</v>
      </c>
      <c r="H30" s="60">
        <f t="shared" si="8"/>
        <v>2400</v>
      </c>
      <c r="I30" s="60">
        <f t="shared" si="8"/>
        <v>2400</v>
      </c>
      <c r="J30" s="60">
        <f t="shared" si="8"/>
        <v>2400</v>
      </c>
    </row>
    <row r="31" spans="2:10">
      <c r="B31" s="23" t="s">
        <v>76</v>
      </c>
      <c r="C31" s="59">
        <v>-1000</v>
      </c>
      <c r="D31" s="59">
        <v>-1100</v>
      </c>
      <c r="E31" s="63">
        <v>-1200</v>
      </c>
      <c r="F31" s="60">
        <f>E31</f>
        <v>-1200</v>
      </c>
      <c r="G31" s="60">
        <f t="shared" ref="G31:J31" si="9">F31</f>
        <v>-1200</v>
      </c>
      <c r="H31" s="60">
        <f t="shared" si="9"/>
        <v>-1200</v>
      </c>
      <c r="I31" s="60">
        <f t="shared" si="9"/>
        <v>-1200</v>
      </c>
      <c r="J31" s="60">
        <f t="shared" si="9"/>
        <v>-1200</v>
      </c>
    </row>
    <row r="32" spans="2:10">
      <c r="B32" s="23" t="s">
        <v>77</v>
      </c>
      <c r="C32" s="59">
        <v>8140</v>
      </c>
      <c r="D32" s="59">
        <v>10080</v>
      </c>
      <c r="E32" s="63">
        <v>12000</v>
      </c>
      <c r="F32" s="64">
        <f ca="1">'Apex Solutions IS'!F30+E32</f>
        <v>21295.01062506529</v>
      </c>
      <c r="G32" s="64">
        <f ca="1">'Apex Solutions IS'!G30+F32</f>
        <v>32698.857352336883</v>
      </c>
      <c r="H32" s="64">
        <f ca="1">'Apex Solutions IS'!H30+G32</f>
        <v>46616.817592353153</v>
      </c>
      <c r="I32" s="64">
        <f ca="1">'Apex Solutions IS'!I30+H32</f>
        <v>63549.090304780097</v>
      </c>
      <c r="J32" s="64">
        <f ca="1">'Apex Solutions IS'!J30+I32</f>
        <v>84094.993205169172</v>
      </c>
    </row>
    <row r="33" spans="2:10">
      <c r="B33" s="51" t="s">
        <v>18</v>
      </c>
      <c r="C33" s="79">
        <f t="shared" ref="C33:J33" si="10">SUM(C30:C32)</f>
        <v>9140</v>
      </c>
      <c r="D33" s="79">
        <f t="shared" si="10"/>
        <v>11180</v>
      </c>
      <c r="E33" s="79">
        <f t="shared" si="10"/>
        <v>13200</v>
      </c>
      <c r="F33" s="79">
        <f t="shared" ca="1" si="10"/>
        <v>22495.01062506529</v>
      </c>
      <c r="G33" s="79">
        <f t="shared" ca="1" si="10"/>
        <v>33898.857352336883</v>
      </c>
      <c r="H33" s="79">
        <f t="shared" ca="1" si="10"/>
        <v>47816.817592353153</v>
      </c>
      <c r="I33" s="79">
        <f t="shared" ca="1" si="10"/>
        <v>64749.090304780097</v>
      </c>
      <c r="J33" s="79">
        <f t="shared" ca="1" si="10"/>
        <v>85294.993205169172</v>
      </c>
    </row>
    <row r="34" spans="2:10">
      <c r="B34" s="21"/>
      <c r="C34" s="62"/>
      <c r="D34" s="62"/>
      <c r="E34" s="62"/>
      <c r="F34" s="62"/>
      <c r="G34" s="62"/>
      <c r="H34" s="62"/>
      <c r="I34" s="62"/>
      <c r="J34" s="62"/>
    </row>
    <row r="35" spans="2:10" ht="14.4" thickBot="1">
      <c r="B35" s="50" t="s">
        <v>19</v>
      </c>
      <c r="C35" s="75">
        <f t="shared" ref="C35:J35" si="11">C33+C25+C28</f>
        <v>32340</v>
      </c>
      <c r="D35" s="75">
        <f t="shared" si="11"/>
        <v>36760</v>
      </c>
      <c r="E35" s="75">
        <f t="shared" si="11"/>
        <v>41160</v>
      </c>
      <c r="F35" s="75">
        <f t="shared" ca="1" si="11"/>
        <v>49681.099830544743</v>
      </c>
      <c r="G35" s="75">
        <f t="shared" ca="1" si="11"/>
        <v>60639.433299734141</v>
      </c>
      <c r="H35" s="75">
        <f t="shared" ca="1" si="11"/>
        <v>74215.574185624384</v>
      </c>
      <c r="I35" s="75">
        <f t="shared" ca="1" si="11"/>
        <v>90929.241713223717</v>
      </c>
      <c r="J35" s="75">
        <f t="shared" ca="1" si="11"/>
        <v>111402.97108044113</v>
      </c>
    </row>
    <row r="36" spans="2:10" ht="14.4" thickTop="1">
      <c r="B36" s="23"/>
      <c r="C36" s="39"/>
      <c r="D36" s="39"/>
      <c r="E36" s="39"/>
      <c r="F36" s="39"/>
      <c r="G36" s="39"/>
      <c r="H36" s="39"/>
      <c r="I36" s="39"/>
      <c r="J36" s="39"/>
    </row>
    <row r="37" spans="2:10">
      <c r="B37" s="23" t="s">
        <v>20</v>
      </c>
      <c r="C37" s="127">
        <f t="shared" ref="C37:J37" si="12">C20-C35</f>
        <v>0</v>
      </c>
      <c r="D37" s="127">
        <f t="shared" si="12"/>
        <v>0</v>
      </c>
      <c r="E37" s="127">
        <f t="shared" si="12"/>
        <v>0</v>
      </c>
      <c r="F37" s="127">
        <f t="shared" ca="1" si="12"/>
        <v>0</v>
      </c>
      <c r="G37" s="127">
        <f t="shared" ca="1" si="12"/>
        <v>0</v>
      </c>
      <c r="H37" s="127">
        <f t="shared" ca="1" si="12"/>
        <v>0</v>
      </c>
      <c r="I37" s="127">
        <f t="shared" ca="1" si="12"/>
        <v>0</v>
      </c>
      <c r="J37" s="127">
        <f t="shared" ca="1" si="12"/>
        <v>0</v>
      </c>
    </row>
    <row r="38" spans="2:10">
      <c r="B38" s="23"/>
      <c r="C38" s="39"/>
      <c r="D38" s="39"/>
      <c r="E38" s="39"/>
      <c r="F38" s="39"/>
      <c r="G38" s="39"/>
      <c r="H38" s="39"/>
      <c r="I38" s="39"/>
      <c r="J38" s="39"/>
    </row>
    <row r="39" spans="2:10">
      <c r="B39" s="26" t="s">
        <v>106</v>
      </c>
      <c r="C39" s="39"/>
      <c r="D39" s="39"/>
      <c r="E39" s="39"/>
      <c r="F39" s="39"/>
      <c r="G39" s="39"/>
      <c r="H39" s="39"/>
      <c r="I39" s="39"/>
      <c r="J39" s="39"/>
    </row>
    <row r="40" spans="2:10">
      <c r="B40" s="2" t="s">
        <v>107</v>
      </c>
      <c r="C40" s="91">
        <f>C10/C25</f>
        <v>2.6090909090909089</v>
      </c>
      <c r="D40" s="91">
        <f t="shared" ref="D40:E40" si="13">D10/D25</f>
        <v>2.6451612903225805</v>
      </c>
      <c r="E40" s="91">
        <f t="shared" si="13"/>
        <v>2.6666666666666665</v>
      </c>
      <c r="F40" s="91">
        <f t="shared" ref="F40:J40" ca="1" si="14">F10/F25</f>
        <v>2.6626230107108064</v>
      </c>
      <c r="G40" s="91">
        <f t="shared" ca="1" si="14"/>
        <v>2.7857254995432768</v>
      </c>
      <c r="H40" s="91">
        <f t="shared" ca="1" si="14"/>
        <v>3.1793017911581645</v>
      </c>
      <c r="I40" s="91">
        <f t="shared" ca="1" si="14"/>
        <v>4.0187528256773284</v>
      </c>
      <c r="J40" s="91">
        <f t="shared" ca="1" si="14"/>
        <v>5.0070685523622087</v>
      </c>
    </row>
    <row r="41" spans="2:10">
      <c r="B41" s="2" t="s">
        <v>124</v>
      </c>
      <c r="C41" s="91">
        <f>(C10-C9)/C25</f>
        <v>1.2</v>
      </c>
      <c r="D41" s="91">
        <f>(D10-D9)/D25</f>
        <v>1.2096774193548387</v>
      </c>
      <c r="E41" s="91">
        <f t="shared" ref="E41" si="15">(E10-E9)/E25</f>
        <v>1.2173913043478262</v>
      </c>
      <c r="F41" s="91">
        <f t="shared" ref="F41:J41" ca="1" si="16">(F10-F9)/F25</f>
        <v>1.2042896773774732</v>
      </c>
      <c r="G41" s="91">
        <f t="shared" ca="1" si="16"/>
        <v>1.3273921662099433</v>
      </c>
      <c r="H41" s="91">
        <f t="shared" ca="1" si="16"/>
        <v>1.7209684578248308</v>
      </c>
      <c r="I41" s="91">
        <f t="shared" ca="1" si="16"/>
        <v>2.5604194923439949</v>
      </c>
      <c r="J41" s="91">
        <f t="shared" ca="1" si="16"/>
        <v>3.5487352190288752</v>
      </c>
    </row>
    <row r="42" spans="2:10">
      <c r="B42" s="2" t="s">
        <v>125</v>
      </c>
      <c r="C42" s="91">
        <f>C7/C25</f>
        <v>0.54545454545454541</v>
      </c>
      <c r="D42" s="91">
        <f t="shared" ref="D42:E42" si="17">D7/D25</f>
        <v>0.52419354838709675</v>
      </c>
      <c r="E42" s="91">
        <f t="shared" si="17"/>
        <v>0.50724637681159424</v>
      </c>
      <c r="F42" s="91">
        <f t="shared" ref="F42:J42" ca="1" si="18">F7/F25</f>
        <v>0.40250243847492223</v>
      </c>
      <c r="G42" s="91">
        <f t="shared" ca="1" si="18"/>
        <v>0.52565349439273124</v>
      </c>
      <c r="H42" s="91">
        <f t="shared" ca="1" si="18"/>
        <v>0.91927986583446875</v>
      </c>
      <c r="I42" s="91">
        <f t="shared" ca="1" si="18"/>
        <v>1.7587824546056026</v>
      </c>
      <c r="J42" s="91">
        <f t="shared" ca="1" si="18"/>
        <v>2.7471511709621863</v>
      </c>
    </row>
    <row r="43" spans="2:10">
      <c r="C43" s="39"/>
      <c r="D43" s="39"/>
      <c r="E43" s="39"/>
      <c r="F43" s="39"/>
      <c r="G43" s="39"/>
      <c r="H43" s="39"/>
      <c r="I43" s="39"/>
      <c r="J43" s="39"/>
    </row>
    <row r="44" spans="2:10">
      <c r="B44" s="26" t="s">
        <v>108</v>
      </c>
      <c r="C44" s="39"/>
      <c r="D44" s="39"/>
      <c r="E44" s="39"/>
      <c r="F44" s="39"/>
      <c r="G44" s="39"/>
      <c r="H44" s="39"/>
      <c r="I44" s="39"/>
      <c r="J44" s="39"/>
    </row>
    <row r="45" spans="2:10">
      <c r="B45" s="2" t="s">
        <v>109</v>
      </c>
      <c r="C45" s="92">
        <f>C28/C33</f>
        <v>2.2975929978118161</v>
      </c>
      <c r="D45" s="92">
        <f t="shared" ref="D45:J45" si="19">D28/D33</f>
        <v>2.0661896243291591</v>
      </c>
      <c r="E45" s="92">
        <f t="shared" si="19"/>
        <v>1.9090909090909092</v>
      </c>
      <c r="F45" s="92">
        <f t="shared" ca="1" si="19"/>
        <v>1.0757941128969688</v>
      </c>
      <c r="G45" s="92">
        <f t="shared" ca="1" si="19"/>
        <v>0.68438885000944327</v>
      </c>
      <c r="H45" s="92">
        <f t="shared" ca="1" si="19"/>
        <v>0.464271800546388</v>
      </c>
      <c r="I45" s="92">
        <f t="shared" ca="1" si="19"/>
        <v>0.32741772741840225</v>
      </c>
      <c r="J45" s="92">
        <f t="shared" ca="1" si="19"/>
        <v>0.23682515515782712</v>
      </c>
    </row>
    <row r="46" spans="2:10">
      <c r="C46" s="39"/>
      <c r="D46" s="39"/>
      <c r="E46" s="39"/>
      <c r="F46" s="39"/>
      <c r="G46" s="39"/>
      <c r="H46" s="39"/>
      <c r="I46" s="39"/>
      <c r="J46" s="39"/>
    </row>
    <row r="47" spans="2:10">
      <c r="B47" s="26" t="s">
        <v>110</v>
      </c>
      <c r="C47" s="97">
        <f>'Apex Solutions IS'!C30/'Apex Solutions BS'!C33</f>
        <v>0.4786652078774617</v>
      </c>
      <c r="D47" s="97">
        <f>'Apex Solutions IS'!D30/'Apex Solutions BS'!D33</f>
        <v>0.53779069767441856</v>
      </c>
      <c r="E47" s="97">
        <f>'Apex Solutions IS'!E30/'Apex Solutions BS'!E33</f>
        <v>0.60227272727272729</v>
      </c>
      <c r="F47" s="97">
        <f ca="1">'Apex Solutions IS'!F30/'Apex Solutions BS'!F33</f>
        <v>0.4132032111471079</v>
      </c>
      <c r="G47" s="97">
        <f ca="1">'Apex Solutions IS'!G30/'Apex Solutions BS'!G33</f>
        <v>0.33640799773109303</v>
      </c>
      <c r="H47" s="97">
        <f ca="1">'Apex Solutions IS'!H30/'Apex Solutions BS'!H33</f>
        <v>0.29106830903447706</v>
      </c>
      <c r="I47" s="97">
        <f ca="1">'Apex Solutions IS'!I30/'Apex Solutions BS'!I33</f>
        <v>0.26150595526091774</v>
      </c>
      <c r="J47" s="97">
        <f ca="1">'Apex Solutions IS'!J30/'Apex Solutions BS'!J33</f>
        <v>0.24088052684367783</v>
      </c>
    </row>
    <row r="48" spans="2:10">
      <c r="C48" s="39"/>
      <c r="D48" s="39"/>
      <c r="E48" s="39"/>
      <c r="F48" s="39"/>
      <c r="G48" s="39"/>
      <c r="H48" s="39"/>
      <c r="I48" s="39"/>
      <c r="J48" s="39"/>
    </row>
    <row r="49" spans="3:10">
      <c r="C49" s="39"/>
      <c r="D49" s="39"/>
      <c r="E49" s="39"/>
      <c r="F49" s="39"/>
      <c r="G49" s="39"/>
      <c r="H49" s="39"/>
      <c r="I49" s="39"/>
      <c r="J49" s="39"/>
    </row>
    <row r="50" spans="3:10">
      <c r="C50" s="39"/>
      <c r="D50" s="39"/>
      <c r="E50" s="39"/>
      <c r="F50" s="39"/>
      <c r="G50" s="39"/>
      <c r="H50" s="39"/>
      <c r="I50" s="39"/>
      <c r="J50" s="39"/>
    </row>
    <row r="51" spans="3:10">
      <c r="C51" s="39"/>
      <c r="D51" s="39"/>
      <c r="E51" s="39"/>
      <c r="F51" s="39"/>
      <c r="G51" s="39"/>
      <c r="H51" s="39"/>
      <c r="I51" s="39"/>
      <c r="J51" s="39"/>
    </row>
    <row r="52" spans="3:10">
      <c r="C52" s="39"/>
      <c r="D52" s="39"/>
      <c r="E52" s="39"/>
      <c r="F52" s="39"/>
      <c r="G52" s="39"/>
      <c r="H52" s="39"/>
      <c r="I52" s="39"/>
      <c r="J52" s="39"/>
    </row>
    <row r="53" spans="3:10">
      <c r="C53" s="39"/>
      <c r="D53" s="39"/>
      <c r="E53" s="39"/>
      <c r="F53" s="39"/>
      <c r="G53" s="39"/>
      <c r="H53" s="39"/>
      <c r="I53" s="39"/>
      <c r="J53" s="39"/>
    </row>
    <row r="54" spans="3:10">
      <c r="C54" s="39"/>
      <c r="D54" s="39"/>
      <c r="E54" s="39"/>
      <c r="F54" s="39"/>
      <c r="G54" s="39"/>
      <c r="H54" s="39"/>
      <c r="I54" s="39"/>
      <c r="J54" s="39"/>
    </row>
    <row r="55" spans="3:10">
      <c r="C55" s="39"/>
      <c r="D55" s="39"/>
      <c r="E55" s="39"/>
      <c r="F55" s="39"/>
      <c r="G55" s="39"/>
      <c r="H55" s="39"/>
      <c r="I55" s="39"/>
      <c r="J55" s="39"/>
    </row>
    <row r="56" spans="3:10">
      <c r="C56" s="39"/>
      <c r="D56" s="39"/>
      <c r="E56" s="39"/>
      <c r="F56" s="39"/>
      <c r="G56" s="39"/>
      <c r="H56" s="39"/>
      <c r="I56" s="39"/>
      <c r="J56" s="39"/>
    </row>
    <row r="57" spans="3:10">
      <c r="C57" s="39"/>
      <c r="D57" s="39"/>
      <c r="E57" s="39"/>
      <c r="F57" s="39"/>
      <c r="G57" s="39"/>
      <c r="H57" s="39"/>
      <c r="I57" s="39"/>
      <c r="J57" s="39"/>
    </row>
    <row r="58" spans="3:10">
      <c r="C58" s="39"/>
      <c r="D58" s="39"/>
      <c r="E58" s="39"/>
      <c r="F58" s="39"/>
      <c r="G58" s="39"/>
      <c r="H58" s="39"/>
      <c r="I58" s="39"/>
      <c r="J58" s="39"/>
    </row>
    <row r="59" spans="3:10">
      <c r="C59" s="39"/>
      <c r="D59" s="39"/>
      <c r="E59" s="39"/>
      <c r="F59" s="39"/>
      <c r="G59" s="39"/>
      <c r="H59" s="39"/>
      <c r="I59" s="39"/>
      <c r="J59" s="39"/>
    </row>
    <row r="60" spans="3:10">
      <c r="C60" s="39"/>
      <c r="D60" s="39"/>
      <c r="E60" s="39"/>
      <c r="F60" s="39"/>
      <c r="G60" s="39"/>
      <c r="H60" s="39"/>
      <c r="I60" s="39"/>
      <c r="J60" s="39"/>
    </row>
    <row r="61" spans="3:10">
      <c r="C61" s="39"/>
      <c r="D61" s="39"/>
      <c r="E61" s="39"/>
      <c r="F61" s="39"/>
      <c r="G61" s="39"/>
      <c r="H61" s="39"/>
      <c r="I61" s="39"/>
      <c r="J61" s="39"/>
    </row>
    <row r="62" spans="3:10">
      <c r="C62" s="39"/>
      <c r="D62" s="39"/>
      <c r="E62" s="39"/>
      <c r="F62" s="39"/>
      <c r="G62" s="39"/>
      <c r="H62" s="39"/>
      <c r="I62" s="39"/>
      <c r="J62" s="39"/>
    </row>
    <row r="63" spans="3:10">
      <c r="C63" s="39"/>
      <c r="D63" s="39"/>
      <c r="E63" s="39"/>
      <c r="F63" s="39"/>
      <c r="G63" s="39"/>
      <c r="H63" s="39"/>
      <c r="I63" s="39"/>
      <c r="J63" s="39"/>
    </row>
    <row r="64" spans="3:10">
      <c r="C64" s="39"/>
      <c r="D64" s="39"/>
      <c r="E64" s="39"/>
      <c r="F64" s="39"/>
      <c r="G64" s="39"/>
      <c r="H64" s="39"/>
      <c r="I64" s="39"/>
      <c r="J64" s="39"/>
    </row>
    <row r="65" spans="3:10">
      <c r="C65" s="39"/>
      <c r="D65" s="39"/>
      <c r="E65" s="39"/>
      <c r="F65" s="39"/>
      <c r="G65" s="39"/>
      <c r="H65" s="39"/>
      <c r="I65" s="39"/>
      <c r="J65" s="39"/>
    </row>
    <row r="66" spans="3:10">
      <c r="C66" s="39"/>
      <c r="D66" s="39"/>
      <c r="E66" s="39"/>
      <c r="F66" s="39"/>
      <c r="G66" s="39"/>
      <c r="H66" s="39"/>
      <c r="I66" s="39"/>
      <c r="J66" s="39"/>
    </row>
    <row r="67" spans="3:10">
      <c r="C67" s="39"/>
      <c r="D67" s="39"/>
      <c r="E67" s="39"/>
      <c r="F67" s="39"/>
      <c r="G67" s="39"/>
      <c r="H67" s="39"/>
      <c r="I67" s="39"/>
      <c r="J67" s="39"/>
    </row>
    <row r="68" spans="3:10">
      <c r="C68" s="39"/>
      <c r="D68" s="39"/>
      <c r="E68" s="39"/>
      <c r="F68" s="39"/>
      <c r="G68" s="39"/>
      <c r="H68" s="39"/>
      <c r="I68" s="39"/>
      <c r="J68" s="39"/>
    </row>
    <row r="69" spans="3:10">
      <c r="C69" s="39"/>
      <c r="D69" s="39"/>
      <c r="E69" s="39"/>
      <c r="F69" s="39"/>
      <c r="G69" s="39"/>
      <c r="H69" s="39"/>
      <c r="I69" s="39"/>
      <c r="J69" s="39"/>
    </row>
    <row r="70" spans="3:10">
      <c r="C70" s="39"/>
      <c r="D70" s="39"/>
      <c r="E70" s="39"/>
      <c r="F70" s="39"/>
      <c r="G70" s="39"/>
      <c r="H70" s="39"/>
      <c r="I70" s="39"/>
      <c r="J70" s="39"/>
    </row>
    <row r="71" spans="3:10">
      <c r="C71" s="39"/>
      <c r="D71" s="39"/>
      <c r="E71" s="39"/>
      <c r="F71" s="39"/>
      <c r="G71" s="39"/>
      <c r="H71" s="39"/>
      <c r="I71" s="39"/>
      <c r="J71" s="39"/>
    </row>
    <row r="72" spans="3:10">
      <c r="C72" s="39"/>
      <c r="D72" s="39"/>
      <c r="E72" s="39"/>
      <c r="F72" s="39"/>
      <c r="G72" s="39"/>
      <c r="H72" s="39"/>
      <c r="I72" s="39"/>
      <c r="J72" s="39"/>
    </row>
    <row r="73" spans="3:10">
      <c r="C73" s="39"/>
      <c r="D73" s="39"/>
      <c r="E73" s="39"/>
      <c r="F73" s="39"/>
      <c r="G73" s="39"/>
      <c r="H73" s="39"/>
      <c r="I73" s="39"/>
      <c r="J73" s="39"/>
    </row>
    <row r="74" spans="3:10">
      <c r="C74" s="39"/>
      <c r="D74" s="39"/>
      <c r="E74" s="39"/>
      <c r="F74" s="39"/>
      <c r="G74" s="39"/>
      <c r="H74" s="39"/>
      <c r="I74" s="39"/>
      <c r="J74" s="39"/>
    </row>
    <row r="75" spans="3:10">
      <c r="C75" s="39"/>
      <c r="D75" s="39"/>
      <c r="E75" s="39"/>
      <c r="F75" s="39"/>
      <c r="G75" s="39"/>
      <c r="H75" s="39"/>
      <c r="I75" s="39"/>
      <c r="J75" s="39"/>
    </row>
    <row r="76" spans="3:10">
      <c r="C76" s="39"/>
      <c r="D76" s="39"/>
      <c r="E76" s="39"/>
      <c r="F76" s="39"/>
      <c r="G76" s="39"/>
      <c r="H76" s="39"/>
      <c r="I76" s="39"/>
      <c r="J76" s="39"/>
    </row>
    <row r="77" spans="3:10">
      <c r="C77" s="39"/>
      <c r="D77" s="39"/>
      <c r="E77" s="39"/>
      <c r="F77" s="39"/>
      <c r="G77" s="39"/>
      <c r="H77" s="39"/>
      <c r="I77" s="39"/>
      <c r="J77" s="39"/>
    </row>
    <row r="78" spans="3:10">
      <c r="C78" s="39"/>
      <c r="D78" s="39"/>
      <c r="E78" s="39"/>
      <c r="F78" s="39"/>
      <c r="G78" s="39"/>
      <c r="H78" s="39"/>
      <c r="I78" s="39"/>
      <c r="J78" s="39"/>
    </row>
    <row r="79" spans="3:10">
      <c r="C79" s="39"/>
      <c r="D79" s="39"/>
      <c r="E79" s="39"/>
      <c r="F79" s="39"/>
      <c r="G79" s="39"/>
      <c r="H79" s="39"/>
      <c r="I79" s="39"/>
      <c r="J79" s="39"/>
    </row>
    <row r="80" spans="3:10">
      <c r="C80" s="39"/>
      <c r="D80" s="39"/>
      <c r="E80" s="39"/>
      <c r="F80" s="39"/>
      <c r="G80" s="39"/>
      <c r="H80" s="39"/>
      <c r="I80" s="39"/>
      <c r="J80" s="39"/>
    </row>
    <row r="81" spans="3:10">
      <c r="C81" s="39"/>
      <c r="D81" s="39"/>
      <c r="E81" s="39"/>
      <c r="F81" s="39"/>
      <c r="G81" s="39"/>
      <c r="H81" s="39"/>
      <c r="I81" s="39"/>
      <c r="J81" s="39"/>
    </row>
    <row r="82" spans="3:10">
      <c r="C82" s="39"/>
      <c r="D82" s="39"/>
      <c r="E82" s="39"/>
      <c r="F82" s="39"/>
      <c r="G82" s="39"/>
      <c r="H82" s="39"/>
      <c r="I82" s="39"/>
      <c r="J82" s="39"/>
    </row>
    <row r="83" spans="3:10">
      <c r="C83" s="39"/>
      <c r="D83" s="39"/>
      <c r="E83" s="39"/>
      <c r="F83" s="39"/>
      <c r="G83" s="39"/>
      <c r="H83" s="39"/>
      <c r="I83" s="39"/>
      <c r="J83" s="39"/>
    </row>
    <row r="84" spans="3:10">
      <c r="C84" s="39"/>
      <c r="D84" s="39"/>
      <c r="E84" s="39"/>
      <c r="F84" s="39"/>
      <c r="G84" s="39"/>
      <c r="H84" s="39"/>
      <c r="I84" s="39"/>
      <c r="J84" s="39"/>
    </row>
    <row r="85" spans="3:10">
      <c r="C85" s="39"/>
      <c r="D85" s="39"/>
      <c r="E85" s="39"/>
      <c r="F85" s="39"/>
      <c r="G85" s="39"/>
      <c r="H85" s="39"/>
      <c r="I85" s="39"/>
      <c r="J85" s="39"/>
    </row>
    <row r="86" spans="3:10">
      <c r="C86" s="39"/>
      <c r="D86" s="39"/>
      <c r="E86" s="39"/>
      <c r="F86" s="39"/>
      <c r="G86" s="39"/>
      <c r="H86" s="39"/>
      <c r="I86" s="39"/>
      <c r="J86" s="39"/>
    </row>
    <row r="87" spans="3:10">
      <c r="C87" s="39"/>
      <c r="D87" s="39"/>
      <c r="E87" s="39"/>
      <c r="F87" s="39"/>
      <c r="G87" s="39"/>
      <c r="H87" s="39"/>
      <c r="I87" s="39"/>
      <c r="J87" s="39"/>
    </row>
    <row r="88" spans="3:10">
      <c r="C88" s="39"/>
      <c r="D88" s="39"/>
      <c r="E88" s="39"/>
      <c r="F88" s="39"/>
      <c r="G88" s="39"/>
      <c r="H88" s="39"/>
      <c r="I88" s="39"/>
      <c r="J88" s="39"/>
    </row>
    <row r="89" spans="3:10">
      <c r="C89" s="39"/>
      <c r="D89" s="39"/>
      <c r="E89" s="39"/>
      <c r="F89" s="39"/>
      <c r="G89" s="39"/>
      <c r="H89" s="39"/>
      <c r="I89" s="39"/>
      <c r="J89" s="39"/>
    </row>
    <row r="90" spans="3:10">
      <c r="C90" s="39"/>
      <c r="D90" s="39"/>
      <c r="E90" s="39"/>
      <c r="F90" s="39"/>
      <c r="G90" s="39"/>
      <c r="H90" s="39"/>
      <c r="I90" s="39"/>
      <c r="J90" s="39"/>
    </row>
    <row r="91" spans="3:10">
      <c r="C91" s="39"/>
      <c r="D91" s="39"/>
      <c r="E91" s="39"/>
      <c r="F91" s="39"/>
      <c r="G91" s="39"/>
      <c r="H91" s="39"/>
      <c r="I91" s="39"/>
      <c r="J91" s="39"/>
    </row>
    <row r="92" spans="3:10">
      <c r="C92" s="39"/>
      <c r="D92" s="39"/>
      <c r="E92" s="39"/>
      <c r="F92" s="39"/>
      <c r="G92" s="39"/>
      <c r="H92" s="39"/>
      <c r="I92" s="39"/>
      <c r="J92" s="39"/>
    </row>
    <row r="93" spans="3:10">
      <c r="C93" s="39"/>
      <c r="D93" s="39"/>
      <c r="E93" s="39"/>
      <c r="F93" s="39"/>
      <c r="G93" s="39"/>
      <c r="H93" s="39"/>
      <c r="I93" s="39"/>
      <c r="J93" s="39"/>
    </row>
    <row r="94" spans="3:10">
      <c r="C94" s="39"/>
      <c r="D94" s="39"/>
      <c r="E94" s="39"/>
      <c r="F94" s="39"/>
      <c r="G94" s="39"/>
      <c r="H94" s="39"/>
      <c r="I94" s="39"/>
      <c r="J94" s="39"/>
    </row>
    <row r="95" spans="3:10">
      <c r="C95" s="39"/>
      <c r="D95" s="39"/>
      <c r="E95" s="39"/>
      <c r="F95" s="39"/>
      <c r="G95" s="39"/>
      <c r="H95" s="39"/>
      <c r="I95" s="39"/>
      <c r="J95" s="39"/>
    </row>
    <row r="96" spans="3:10">
      <c r="C96" s="39"/>
      <c r="D96" s="39"/>
      <c r="E96" s="39"/>
      <c r="F96" s="39"/>
      <c r="G96" s="39"/>
      <c r="H96" s="39"/>
      <c r="I96" s="39"/>
      <c r="J96" s="39"/>
    </row>
    <row r="97" spans="3:10">
      <c r="C97" s="39"/>
      <c r="D97" s="39"/>
      <c r="E97" s="39"/>
      <c r="F97" s="39"/>
      <c r="G97" s="39"/>
      <c r="H97" s="39"/>
      <c r="I97" s="39"/>
      <c r="J97" s="39"/>
    </row>
    <row r="98" spans="3:10">
      <c r="C98" s="39"/>
      <c r="D98" s="39"/>
      <c r="E98" s="39"/>
      <c r="F98" s="39"/>
      <c r="G98" s="39"/>
      <c r="H98" s="39"/>
      <c r="I98" s="39"/>
      <c r="J98" s="39"/>
    </row>
    <row r="99" spans="3:10">
      <c r="C99" s="39"/>
      <c r="D99" s="39"/>
      <c r="E99" s="39"/>
      <c r="F99" s="39"/>
      <c r="G99" s="39"/>
      <c r="H99" s="39"/>
      <c r="I99" s="39"/>
      <c r="J99" s="39"/>
    </row>
    <row r="100" spans="3:10">
      <c r="C100" s="39"/>
      <c r="D100" s="39"/>
      <c r="E100" s="39"/>
      <c r="F100" s="39"/>
      <c r="G100" s="39"/>
      <c r="H100" s="39"/>
      <c r="I100" s="39"/>
      <c r="J100" s="39"/>
    </row>
    <row r="101" spans="3:10">
      <c r="C101" s="39"/>
      <c r="D101" s="39"/>
      <c r="E101" s="39"/>
      <c r="F101" s="39"/>
      <c r="G101" s="39"/>
      <c r="H101" s="39"/>
      <c r="I101" s="39"/>
      <c r="J101" s="39"/>
    </row>
    <row r="102" spans="3:10">
      <c r="C102" s="39"/>
      <c r="D102" s="39"/>
      <c r="E102" s="39"/>
      <c r="F102" s="39"/>
      <c r="G102" s="39"/>
      <c r="H102" s="39"/>
      <c r="I102" s="39"/>
      <c r="J102" s="39"/>
    </row>
    <row r="103" spans="3:10">
      <c r="C103" s="39"/>
      <c r="D103" s="39"/>
      <c r="E103" s="39"/>
      <c r="F103" s="39"/>
      <c r="G103" s="39"/>
      <c r="H103" s="39"/>
      <c r="I103" s="39"/>
      <c r="J103" s="39"/>
    </row>
    <row r="104" spans="3:10">
      <c r="C104" s="39"/>
      <c r="D104" s="39"/>
      <c r="E104" s="39"/>
      <c r="F104" s="39"/>
      <c r="G104" s="39"/>
      <c r="H104" s="39"/>
      <c r="I104" s="39"/>
      <c r="J104" s="39"/>
    </row>
    <row r="105" spans="3:10">
      <c r="C105" s="39"/>
      <c r="D105" s="39"/>
      <c r="E105" s="39"/>
      <c r="F105" s="39"/>
      <c r="G105" s="39"/>
      <c r="H105" s="39"/>
      <c r="I105" s="39"/>
      <c r="J105" s="39"/>
    </row>
    <row r="106" spans="3:10">
      <c r="C106" s="39"/>
      <c r="D106" s="39"/>
      <c r="E106" s="39"/>
      <c r="F106" s="39"/>
      <c r="G106" s="39"/>
      <c r="H106" s="39"/>
      <c r="I106" s="39"/>
      <c r="J106" s="39"/>
    </row>
    <row r="107" spans="3:10">
      <c r="C107" s="39"/>
      <c r="D107" s="39"/>
      <c r="E107" s="39"/>
      <c r="F107" s="39"/>
      <c r="G107" s="39"/>
      <c r="H107" s="39"/>
      <c r="I107" s="39"/>
      <c r="J107" s="39"/>
    </row>
    <row r="108" spans="3:10">
      <c r="C108" s="39"/>
      <c r="D108" s="39"/>
      <c r="E108" s="39"/>
      <c r="F108" s="39"/>
      <c r="G108" s="39"/>
      <c r="H108" s="39"/>
      <c r="I108" s="39"/>
      <c r="J108" s="39"/>
    </row>
    <row r="109" spans="3:10">
      <c r="C109" s="39"/>
      <c r="D109" s="39"/>
      <c r="E109" s="39"/>
      <c r="F109" s="39"/>
      <c r="G109" s="39"/>
      <c r="H109" s="39"/>
      <c r="I109" s="39"/>
      <c r="J109" s="39"/>
    </row>
    <row r="110" spans="3:10">
      <c r="C110" s="39"/>
      <c r="D110" s="39"/>
      <c r="E110" s="39"/>
      <c r="F110" s="39"/>
      <c r="G110" s="39"/>
      <c r="H110" s="39"/>
      <c r="I110" s="39"/>
      <c r="J110" s="39"/>
    </row>
    <row r="111" spans="3:10">
      <c r="C111" s="39"/>
      <c r="D111" s="39"/>
      <c r="E111" s="39"/>
      <c r="F111" s="39"/>
      <c r="G111" s="39"/>
      <c r="H111" s="39"/>
      <c r="I111" s="39"/>
      <c r="J111" s="39"/>
    </row>
    <row r="112" spans="3:10">
      <c r="C112" s="39"/>
      <c r="D112" s="39"/>
      <c r="E112" s="39"/>
      <c r="F112" s="39"/>
      <c r="G112" s="39"/>
      <c r="H112" s="39"/>
      <c r="I112" s="39"/>
      <c r="J112" s="39"/>
    </row>
    <row r="113" spans="3:10">
      <c r="C113" s="39"/>
      <c r="D113" s="39"/>
      <c r="E113" s="39"/>
      <c r="F113" s="39"/>
      <c r="G113" s="39"/>
      <c r="H113" s="39"/>
      <c r="I113" s="39"/>
      <c r="J113" s="39"/>
    </row>
    <row r="114" spans="3:10">
      <c r="C114" s="39"/>
      <c r="D114" s="39"/>
      <c r="E114" s="39"/>
      <c r="F114" s="39"/>
      <c r="G114" s="39"/>
      <c r="H114" s="39"/>
      <c r="I114" s="39"/>
      <c r="J114" s="39"/>
    </row>
    <row r="115" spans="3:10">
      <c r="C115" s="39"/>
      <c r="D115" s="39"/>
      <c r="E115" s="39"/>
      <c r="F115" s="39"/>
      <c r="G115" s="39"/>
      <c r="H115" s="39"/>
      <c r="I115" s="39"/>
      <c r="J115" s="39"/>
    </row>
    <row r="116" spans="3:10">
      <c r="C116" s="39"/>
      <c r="D116" s="39"/>
      <c r="E116" s="39"/>
      <c r="F116" s="39"/>
      <c r="G116" s="39"/>
      <c r="H116" s="39"/>
      <c r="I116" s="39"/>
      <c r="J116" s="39"/>
    </row>
    <row r="117" spans="3:10">
      <c r="C117" s="39"/>
      <c r="D117" s="39"/>
      <c r="E117" s="39"/>
      <c r="F117" s="39"/>
      <c r="G117" s="39"/>
      <c r="H117" s="39"/>
      <c r="I117" s="39"/>
      <c r="J117" s="39"/>
    </row>
    <row r="118" spans="3:10">
      <c r="C118" s="39"/>
      <c r="D118" s="39"/>
      <c r="E118" s="39"/>
      <c r="F118" s="39"/>
      <c r="G118" s="39"/>
      <c r="H118" s="39"/>
      <c r="I118" s="39"/>
      <c r="J118" s="39"/>
    </row>
    <row r="119" spans="3:10">
      <c r="C119" s="39"/>
      <c r="D119" s="39"/>
      <c r="E119" s="39"/>
      <c r="F119" s="39"/>
      <c r="G119" s="39"/>
      <c r="H119" s="39"/>
      <c r="I119" s="39"/>
      <c r="J119" s="39"/>
    </row>
    <row r="120" spans="3:10">
      <c r="C120" s="39"/>
      <c r="D120" s="39"/>
      <c r="E120" s="39"/>
      <c r="F120" s="39"/>
      <c r="G120" s="39"/>
      <c r="H120" s="39"/>
      <c r="I120" s="39"/>
      <c r="J120" s="39"/>
    </row>
    <row r="121" spans="3:10">
      <c r="C121" s="39"/>
      <c r="D121" s="39"/>
      <c r="E121" s="39"/>
      <c r="F121" s="39"/>
      <c r="G121" s="39"/>
      <c r="H121" s="39"/>
      <c r="I121" s="39"/>
      <c r="J121" s="39"/>
    </row>
    <row r="122" spans="3:10">
      <c r="C122" s="39"/>
      <c r="D122" s="39"/>
      <c r="E122" s="39"/>
      <c r="F122" s="39"/>
      <c r="G122" s="39"/>
      <c r="H122" s="39"/>
      <c r="I122" s="39"/>
      <c r="J122" s="39"/>
    </row>
    <row r="123" spans="3:10">
      <c r="C123" s="39"/>
      <c r="D123" s="39"/>
      <c r="E123" s="39"/>
      <c r="F123" s="39"/>
      <c r="G123" s="39"/>
      <c r="H123" s="39"/>
      <c r="I123" s="39"/>
      <c r="J123" s="39"/>
    </row>
    <row r="124" spans="3:10">
      <c r="C124" s="39"/>
      <c r="D124" s="39"/>
      <c r="E124" s="39"/>
      <c r="F124" s="39"/>
      <c r="G124" s="39"/>
      <c r="H124" s="39"/>
      <c r="I124" s="39"/>
      <c r="J124" s="39"/>
    </row>
    <row r="125" spans="3:10">
      <c r="C125" s="39"/>
      <c r="D125" s="39"/>
      <c r="E125" s="39"/>
      <c r="F125" s="39"/>
      <c r="G125" s="39"/>
      <c r="H125" s="39"/>
      <c r="I125" s="39"/>
      <c r="J125" s="39"/>
    </row>
    <row r="126" spans="3:10">
      <c r="C126" s="39"/>
      <c r="D126" s="39"/>
      <c r="E126" s="39"/>
      <c r="F126" s="39"/>
      <c r="G126" s="39"/>
      <c r="H126" s="39"/>
      <c r="I126" s="39"/>
      <c r="J126" s="39"/>
    </row>
    <row r="127" spans="3:10">
      <c r="C127" s="39"/>
      <c r="D127" s="39"/>
      <c r="E127" s="39"/>
      <c r="F127" s="39"/>
      <c r="G127" s="39"/>
      <c r="H127" s="39"/>
      <c r="I127" s="39"/>
      <c r="J127" s="39"/>
    </row>
    <row r="128" spans="3:10">
      <c r="C128" s="39"/>
      <c r="D128" s="39"/>
      <c r="E128" s="39"/>
      <c r="F128" s="39"/>
      <c r="G128" s="39"/>
      <c r="H128" s="39"/>
      <c r="I128" s="39"/>
      <c r="J128" s="39"/>
    </row>
    <row r="129" spans="3:10">
      <c r="C129" s="39"/>
      <c r="D129" s="39"/>
      <c r="E129" s="39"/>
      <c r="F129" s="39"/>
      <c r="G129" s="39"/>
      <c r="H129" s="39"/>
      <c r="I129" s="39"/>
      <c r="J129" s="39"/>
    </row>
    <row r="130" spans="3:10">
      <c r="C130" s="39"/>
      <c r="D130" s="39"/>
      <c r="E130" s="39"/>
      <c r="F130" s="39"/>
      <c r="G130" s="39"/>
      <c r="H130" s="39"/>
      <c r="I130" s="39"/>
      <c r="J130" s="39"/>
    </row>
    <row r="131" spans="3:10">
      <c r="C131" s="39"/>
      <c r="D131" s="39"/>
      <c r="E131" s="39"/>
      <c r="F131" s="39"/>
      <c r="G131" s="39"/>
      <c r="H131" s="39"/>
      <c r="I131" s="39"/>
      <c r="J131" s="39"/>
    </row>
    <row r="132" spans="3:10">
      <c r="C132" s="39"/>
      <c r="D132" s="39"/>
      <c r="E132" s="39"/>
      <c r="F132" s="39"/>
      <c r="G132" s="39"/>
      <c r="H132" s="39"/>
      <c r="I132" s="39"/>
      <c r="J132" s="39"/>
    </row>
    <row r="133" spans="3:10">
      <c r="C133" s="39"/>
      <c r="D133" s="39"/>
      <c r="E133" s="39"/>
      <c r="F133" s="39"/>
      <c r="G133" s="39"/>
      <c r="H133" s="39"/>
      <c r="I133" s="39"/>
      <c r="J133" s="39"/>
    </row>
    <row r="134" spans="3:10">
      <c r="C134" s="39"/>
      <c r="D134" s="39"/>
      <c r="E134" s="39"/>
      <c r="F134" s="39"/>
      <c r="G134" s="39"/>
      <c r="H134" s="39"/>
      <c r="I134" s="39"/>
      <c r="J134" s="39"/>
    </row>
    <row r="135" spans="3:10"/>
    <row r="136" spans="3:10"/>
    <row r="137" spans="3:10"/>
    <row r="138" spans="3:10"/>
    <row r="139" spans="3:10"/>
    <row r="140" spans="3:10"/>
    <row r="141" spans="3:10"/>
    <row r="142" spans="3:10"/>
    <row r="143" spans="3:10"/>
    <row r="144" spans="3:10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7EDD-A161-4385-8916-346B23021F91}">
  <sheetPr>
    <tabColor rgb="FF0C4E54"/>
  </sheetPr>
  <dimension ref="A1:J159"/>
  <sheetViews>
    <sheetView showGridLines="0" zoomScale="104" zoomScaleNormal="180" workbookViewId="0">
      <selection activeCell="E17" sqref="E17"/>
    </sheetView>
  </sheetViews>
  <sheetFormatPr defaultColWidth="8.77734375" defaultRowHeight="0" customHeight="1" zeroHeight="1"/>
  <cols>
    <col min="1" max="1" width="3.6640625" style="2" customWidth="1"/>
    <col min="2" max="2" width="53.5546875" style="2" bestFit="1" customWidth="1"/>
    <col min="3" max="4" width="9.5546875" style="2" bestFit="1" customWidth="1"/>
    <col min="5" max="5" width="13.88671875" style="2" customWidth="1"/>
    <col min="6" max="10" width="12.5546875" style="2" customWidth="1"/>
    <col min="11" max="16384" width="8.77734375" style="2"/>
  </cols>
  <sheetData>
    <row r="1" spans="1:10" ht="36.75" customHeight="1">
      <c r="A1" s="45" t="s">
        <v>92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0" ht="14.4">
      <c r="A2" s="12" t="s">
        <v>6</v>
      </c>
      <c r="B2" s="16"/>
      <c r="C2" s="122" t="s">
        <v>165</v>
      </c>
      <c r="D2" s="122" t="s">
        <v>166</v>
      </c>
      <c r="E2" s="122" t="s">
        <v>167</v>
      </c>
      <c r="F2" s="123" t="s">
        <v>168</v>
      </c>
      <c r="G2" s="123" t="s">
        <v>169</v>
      </c>
      <c r="H2" s="123" t="s">
        <v>170</v>
      </c>
      <c r="I2" s="123" t="s">
        <v>171</v>
      </c>
      <c r="J2" s="123" t="s">
        <v>172</v>
      </c>
    </row>
    <row r="3" spans="1:10" ht="14.4">
      <c r="A3" s="13"/>
      <c r="B3" s="30"/>
      <c r="C3" s="30"/>
      <c r="D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D4" s="30"/>
      <c r="E4" s="29"/>
      <c r="F4" s="29"/>
      <c r="G4" s="29"/>
      <c r="H4" s="29"/>
      <c r="I4" s="29"/>
      <c r="J4" s="29"/>
    </row>
    <row r="5" spans="1:10" ht="14.4">
      <c r="A5" s="13"/>
      <c r="B5" s="30"/>
      <c r="C5" s="30"/>
      <c r="D5" s="30"/>
      <c r="E5" s="29"/>
      <c r="F5" s="29"/>
      <c r="G5" s="29"/>
      <c r="H5" s="29"/>
      <c r="I5" s="29"/>
      <c r="J5" s="29"/>
    </row>
    <row r="6" spans="1:10" ht="13.8">
      <c r="B6" s="31" t="s">
        <v>50</v>
      </c>
    </row>
    <row r="7" spans="1:10" ht="13.8">
      <c r="B7" s="2" t="s">
        <v>34</v>
      </c>
      <c r="C7" s="46"/>
      <c r="D7" s="46"/>
      <c r="E7" s="47"/>
      <c r="F7" s="20">
        <f ca="1">'Apex Solutions IS'!F30</f>
        <v>9295.010625065288</v>
      </c>
      <c r="G7" s="20">
        <f ca="1">'Apex Solutions IS'!G30</f>
        <v>11403.846727271593</v>
      </c>
      <c r="H7" s="20">
        <f ca="1">'Apex Solutions IS'!H30</f>
        <v>13917.960240016266</v>
      </c>
      <c r="I7" s="20">
        <f ca="1">'Apex Solutions IS'!I30</f>
        <v>16932.272712426948</v>
      </c>
      <c r="J7" s="20">
        <f ca="1">'Apex Solutions IS'!J30</f>
        <v>20545.902900389072</v>
      </c>
    </row>
    <row r="8" spans="1:10" ht="13.8">
      <c r="B8" s="2" t="s">
        <v>51</v>
      </c>
      <c r="C8" s="46"/>
      <c r="D8" s="46"/>
      <c r="E8" s="47"/>
      <c r="F8" s="20">
        <f>'Depreciation Capex'!F7</f>
        <v>2069.73</v>
      </c>
      <c r="G8" s="20">
        <f>'Depreciation Capex'!G7</f>
        <v>2453.9094</v>
      </c>
      <c r="H8" s="20">
        <f>'Depreciation Capex'!H7</f>
        <v>2909.900772</v>
      </c>
      <c r="I8" s="20">
        <f>'Depreciation Capex'!I7</f>
        <v>3451.2156597599997</v>
      </c>
      <c r="J8" s="20">
        <f>'Depreciation Capex'!J7</f>
        <v>4093.9233151247995</v>
      </c>
    </row>
    <row r="9" spans="1:10" ht="13.8">
      <c r="B9" s="2" t="s">
        <v>52</v>
      </c>
      <c r="C9" s="46"/>
      <c r="D9" s="46"/>
      <c r="E9" s="47"/>
      <c r="F9" s="20">
        <f>'Apex Solutions IS'!F21</f>
        <v>0</v>
      </c>
      <c r="G9" s="20">
        <f>'Apex Solutions IS'!G21</f>
        <v>0</v>
      </c>
      <c r="H9" s="20">
        <f>'Apex Solutions IS'!H21</f>
        <v>0</v>
      </c>
      <c r="I9" s="20">
        <f>'Apex Solutions IS'!I21</f>
        <v>0</v>
      </c>
      <c r="J9" s="20">
        <f>'Apex Solutions IS'!J21</f>
        <v>0</v>
      </c>
    </row>
    <row r="10" spans="1:10" s="26" customFormat="1" ht="13.8">
      <c r="B10" s="26" t="s">
        <v>53</v>
      </c>
      <c r="C10" s="102"/>
      <c r="D10" s="102"/>
      <c r="E10" s="103"/>
      <c r="F10" s="104"/>
      <c r="G10" s="104"/>
      <c r="H10" s="104"/>
      <c r="I10" s="104"/>
      <c r="J10" s="104"/>
    </row>
    <row r="11" spans="1:10" ht="13.8">
      <c r="B11" s="35" t="s">
        <v>54</v>
      </c>
      <c r="C11" s="46"/>
      <c r="D11" s="46"/>
      <c r="E11" s="47"/>
      <c r="F11" s="20">
        <f>-('Working Capital'!F7-'Working Capital'!E7)</f>
        <v>-434.20821917808235</v>
      </c>
      <c r="G11" s="20">
        <f>-('Working Capital'!G7-'Working Capital'!F7)</f>
        <v>-444.40843835616488</v>
      </c>
      <c r="H11" s="20">
        <f>-('Working Capital'!H7-'Working Capital'!G7)</f>
        <v>-527.47860383561601</v>
      </c>
      <c r="I11" s="20">
        <f>-('Working Capital'!I7-'Working Capital'!H7)</f>
        <v>-626.17856118356121</v>
      </c>
      <c r="J11" s="20">
        <f>-('Working Capital'!J7-'Working Capital'!I7)</f>
        <v>-743.46699859550745</v>
      </c>
    </row>
    <row r="12" spans="1:10" ht="13.8">
      <c r="B12" s="35" t="s">
        <v>103</v>
      </c>
      <c r="C12" s="46"/>
      <c r="D12" s="46"/>
      <c r="E12" s="47"/>
      <c r="F12" s="20">
        <f>-('Working Capital'!F8-'Working Capital'!E8)</f>
        <v>-354.71342465753423</v>
      </c>
      <c r="G12" s="20">
        <f>-('Working Capital'!G8-'Working Capital'!F8)</f>
        <v>-808.62649863013667</v>
      </c>
      <c r="H12" s="20">
        <f>-('Working Capital'!H8-'Working Capital'!G8)</f>
        <v>-959.84677523287701</v>
      </c>
      <c r="I12" s="20">
        <f>-('Working Capital'!I8-'Working Capital'!H8)</f>
        <v>-1139.5341054597257</v>
      </c>
      <c r="J12" s="20">
        <f>-('Working Capital'!J8-'Working Capital'!I8)</f>
        <v>-1353.0802641246682</v>
      </c>
    </row>
    <row r="13" spans="1:10" ht="13.8">
      <c r="B13" s="35" t="s">
        <v>55</v>
      </c>
      <c r="C13" s="46"/>
      <c r="D13" s="46"/>
      <c r="E13" s="47"/>
      <c r="F13" s="20">
        <f>'Working Capital'!F9-'Working Capital'!E9</f>
        <v>226.08920547945218</v>
      </c>
      <c r="G13" s="20">
        <f>'Working Capital'!G9-'Working Capital'!F9</f>
        <v>554.4867419178081</v>
      </c>
      <c r="H13" s="20">
        <f>'Working Capital'!H9-'Working Capital'!G9</f>
        <v>658.18064587397203</v>
      </c>
      <c r="I13" s="20">
        <f>'Working Capital'!I9-'Working Capital'!H9</f>
        <v>781.39481517238346</v>
      </c>
      <c r="J13" s="20">
        <f>'Working Capital'!J9-'Working Capital'!I9</f>
        <v>927.82646682834365</v>
      </c>
    </row>
    <row r="14" spans="1:10" ht="13.8">
      <c r="B14" s="27" t="s">
        <v>56</v>
      </c>
      <c r="C14" s="40"/>
      <c r="D14" s="40"/>
      <c r="E14" s="41"/>
      <c r="F14" s="41">
        <f ca="1">SUM(F7:F13)</f>
        <v>10801.908186709123</v>
      </c>
      <c r="G14" s="41">
        <f t="shared" ref="G14:J14" ca="1" si="0">SUM(G7:G13)</f>
        <v>13159.207932203102</v>
      </c>
      <c r="H14" s="41">
        <f t="shared" ca="1" si="0"/>
        <v>15998.716278821745</v>
      </c>
      <c r="I14" s="41">
        <f t="shared" ca="1" si="0"/>
        <v>19399.170520716041</v>
      </c>
      <c r="J14" s="41">
        <f t="shared" ca="1" si="0"/>
        <v>23471.105419622043</v>
      </c>
    </row>
    <row r="15" spans="1:10" ht="13.8">
      <c r="E15" s="28"/>
      <c r="F15" s="28"/>
      <c r="G15" s="28"/>
      <c r="H15" s="28"/>
      <c r="I15" s="28"/>
      <c r="J15" s="28"/>
    </row>
    <row r="16" spans="1:10" ht="13.8">
      <c r="B16" s="31" t="s">
        <v>57</v>
      </c>
      <c r="E16" s="28"/>
      <c r="F16" s="28"/>
      <c r="G16" s="28"/>
      <c r="H16" s="28"/>
      <c r="I16" s="28"/>
      <c r="J16" s="28"/>
    </row>
    <row r="17" spans="2:10" ht="13.8">
      <c r="B17" s="2" t="s">
        <v>58</v>
      </c>
      <c r="C17" s="46"/>
      <c r="D17" s="46"/>
      <c r="E17" s="47"/>
      <c r="F17" s="20">
        <f>-'Depreciation Capex'!F11</f>
        <v>-10000</v>
      </c>
      <c r="G17" s="20">
        <f>-'Depreciation Capex'!G11</f>
        <v>-11500</v>
      </c>
      <c r="H17" s="20">
        <f>-'Depreciation Capex'!H11</f>
        <v>-13000</v>
      </c>
      <c r="I17" s="20">
        <f>-'Depreciation Capex'!I11</f>
        <v>-13500</v>
      </c>
      <c r="J17" s="20">
        <f>-'Depreciation Capex'!J11</f>
        <v>-15000</v>
      </c>
    </row>
    <row r="18" spans="2:10" ht="13.8">
      <c r="B18" s="2" t="s">
        <v>43</v>
      </c>
      <c r="C18" s="46"/>
      <c r="D18" s="46"/>
      <c r="E18" s="47"/>
      <c r="F18" s="20">
        <f>-'Apex Solutions BS'!F17</f>
        <v>0</v>
      </c>
      <c r="G18" s="20">
        <f>-'Apex Solutions BS'!G17</f>
        <v>0</v>
      </c>
      <c r="H18" s="20">
        <f>-'Apex Solutions BS'!H17</f>
        <v>0</v>
      </c>
      <c r="I18" s="20">
        <f>-'Apex Solutions BS'!I17</f>
        <v>0</v>
      </c>
      <c r="J18" s="20">
        <f>-'Apex Solutions BS'!J17</f>
        <v>0</v>
      </c>
    </row>
    <row r="19" spans="2:10" ht="13.8">
      <c r="B19" s="27" t="s">
        <v>59</v>
      </c>
      <c r="C19" s="27"/>
      <c r="D19" s="27"/>
      <c r="E19" s="41"/>
      <c r="F19" s="41">
        <f>SUM(F17:F18)</f>
        <v>-10000</v>
      </c>
      <c r="G19" s="41">
        <f t="shared" ref="G19:J19" si="1">SUM(G17:G18)</f>
        <v>-11500</v>
      </c>
      <c r="H19" s="41">
        <f t="shared" si="1"/>
        <v>-13000</v>
      </c>
      <c r="I19" s="41">
        <f t="shared" si="1"/>
        <v>-13500</v>
      </c>
      <c r="J19" s="41">
        <f t="shared" si="1"/>
        <v>-15000</v>
      </c>
    </row>
    <row r="20" spans="2:10" ht="13.8">
      <c r="E20" s="28"/>
      <c r="F20" s="28"/>
      <c r="G20" s="28"/>
      <c r="H20" s="28"/>
      <c r="I20" s="28"/>
      <c r="J20" s="28"/>
    </row>
    <row r="21" spans="2:10" ht="13.8">
      <c r="B21" s="31" t="s">
        <v>60</v>
      </c>
      <c r="E21" s="28"/>
      <c r="F21" s="28"/>
      <c r="G21" s="28"/>
      <c r="H21" s="28"/>
      <c r="I21" s="28"/>
      <c r="J21" s="28"/>
    </row>
    <row r="22" spans="2:10" ht="13.8">
      <c r="B22" s="2" t="s">
        <v>159</v>
      </c>
      <c r="C22" s="46"/>
      <c r="D22" s="46"/>
      <c r="E22" s="47"/>
      <c r="F22" s="20">
        <f>SUM('Debt Schedule'!F8:F9)</f>
        <v>-1000</v>
      </c>
      <c r="G22" s="20">
        <f>SUM('Debt Schedule'!G8:G9)</f>
        <v>-1000</v>
      </c>
      <c r="H22" s="20">
        <f>SUM('Debt Schedule'!H8:H9)</f>
        <v>-1000</v>
      </c>
      <c r="I22" s="20">
        <f>SUM('Debt Schedule'!I8:I9)</f>
        <v>-1000</v>
      </c>
      <c r="J22" s="20">
        <f>SUM('Debt Schedule'!J8:J9)</f>
        <v>-1000</v>
      </c>
    </row>
    <row r="23" spans="2:10" ht="13.8">
      <c r="B23" s="27" t="s">
        <v>61</v>
      </c>
      <c r="C23" s="40"/>
      <c r="D23" s="40"/>
      <c r="E23" s="41"/>
      <c r="F23" s="41">
        <f>SUM(F22)</f>
        <v>-1000</v>
      </c>
      <c r="G23" s="41">
        <f t="shared" ref="G23:J23" si="2">SUM(G22)</f>
        <v>-1000</v>
      </c>
      <c r="H23" s="41">
        <f t="shared" si="2"/>
        <v>-1000</v>
      </c>
      <c r="I23" s="41">
        <f t="shared" si="2"/>
        <v>-1000</v>
      </c>
      <c r="J23" s="41">
        <f t="shared" si="2"/>
        <v>-1000</v>
      </c>
    </row>
    <row r="24" spans="2:10" ht="13.8">
      <c r="E24" s="28"/>
      <c r="F24" s="28"/>
      <c r="G24" s="28"/>
      <c r="H24" s="28"/>
      <c r="I24" s="28"/>
      <c r="J24" s="28"/>
    </row>
    <row r="25" spans="2:10" ht="13.8">
      <c r="B25" s="42" t="s">
        <v>62</v>
      </c>
      <c r="C25" s="48"/>
      <c r="D25" s="48"/>
      <c r="E25" s="49"/>
      <c r="F25" s="22">
        <f ca="1">SUM(F23+F19+F14)</f>
        <v>-198.09181329087733</v>
      </c>
      <c r="G25" s="22">
        <f ca="1">SUM(G23+G19+G14)</f>
        <v>659.20793220310225</v>
      </c>
      <c r="H25" s="22">
        <f t="shared" ref="H25:I25" ca="1" si="3">SUM(H23+H19+H14)</f>
        <v>1998.7162788217447</v>
      </c>
      <c r="I25" s="22">
        <f t="shared" ca="1" si="3"/>
        <v>4899.1705207160412</v>
      </c>
      <c r="J25" s="22">
        <f ca="1">SUM(J23+J19+J14)</f>
        <v>7471.105419622043</v>
      </c>
    </row>
    <row r="26" spans="2:10" ht="13.8">
      <c r="B26" s="2" t="s">
        <v>63</v>
      </c>
      <c r="C26" s="46"/>
      <c r="D26" s="46"/>
      <c r="E26" s="47"/>
      <c r="F26" s="20">
        <f>E27</f>
        <v>1400</v>
      </c>
      <c r="G26" s="20">
        <f ca="1">F27</f>
        <v>1201.9081867091227</v>
      </c>
      <c r="H26" s="20">
        <f ca="1">G27</f>
        <v>1861.1161189122249</v>
      </c>
      <c r="I26" s="20">
        <f t="shared" ref="I26:J26" ca="1" si="4">H27</f>
        <v>3859.8323977339696</v>
      </c>
      <c r="J26" s="20">
        <f t="shared" ca="1" si="4"/>
        <v>8759.0029184500108</v>
      </c>
    </row>
    <row r="27" spans="2:10" ht="14.4" thickBot="1">
      <c r="B27" s="54" t="s">
        <v>64</v>
      </c>
      <c r="C27" s="54"/>
      <c r="D27" s="54"/>
      <c r="E27" s="55">
        <f>'Apex Solutions BS'!E7</f>
        <v>1400</v>
      </c>
      <c r="F27" s="81">
        <f ca="1">SUM(F25:F26)</f>
        <v>1201.9081867091227</v>
      </c>
      <c r="G27" s="81">
        <f t="shared" ref="G27:J27" ca="1" si="5">SUM(G25:G26)</f>
        <v>1861.1161189122249</v>
      </c>
      <c r="H27" s="81">
        <f t="shared" ca="1" si="5"/>
        <v>3859.8323977339696</v>
      </c>
      <c r="I27" s="81">
        <f t="shared" ca="1" si="5"/>
        <v>8759.0029184500108</v>
      </c>
      <c r="J27" s="81">
        <f t="shared" ca="1" si="5"/>
        <v>16230.108338072054</v>
      </c>
    </row>
    <row r="28" spans="2:10" ht="14.4" thickTop="1">
      <c r="E28" s="28"/>
      <c r="F28" s="28"/>
      <c r="G28" s="28"/>
      <c r="H28" s="28"/>
      <c r="I28" s="28"/>
      <c r="J28" s="28"/>
    </row>
    <row r="29" spans="2:10" ht="13.8">
      <c r="E29" s="28"/>
      <c r="F29" s="28"/>
      <c r="G29" s="28"/>
      <c r="H29" s="28"/>
      <c r="I29" s="28"/>
      <c r="J29" s="28"/>
    </row>
    <row r="30" spans="2:10" ht="13.8">
      <c r="E30" s="28"/>
      <c r="F30" s="28"/>
      <c r="G30" s="28"/>
      <c r="H30" s="28"/>
      <c r="I30" s="28"/>
      <c r="J30" s="28"/>
    </row>
    <row r="31" spans="2:10" ht="13.8">
      <c r="E31" s="28"/>
      <c r="F31" s="28"/>
      <c r="G31" s="28"/>
      <c r="H31" s="28"/>
      <c r="I31" s="28"/>
      <c r="J31" s="28"/>
    </row>
    <row r="32" spans="2:10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9B3-FFE7-41AB-873F-7D9F6D296F48}">
  <dimension ref="A14"/>
  <sheetViews>
    <sheetView showGridLines="0" tabSelected="1" workbookViewId="0"/>
  </sheetViews>
  <sheetFormatPr defaultRowHeight="14.4"/>
  <cols>
    <col min="1" max="1" width="1.88671875" customWidth="1"/>
    <col min="10" max="10" width="1.88671875" customWidth="1"/>
  </cols>
  <sheetData>
    <row r="14" spans="1:1" ht="34.799999999999997">
      <c r="A14" s="144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9E6-723A-4CB6-BF8B-4031A7AACF3A}">
  <sheetPr>
    <tabColor theme="8" tint="0.39997558519241921"/>
  </sheetPr>
  <dimension ref="A1:J14"/>
  <sheetViews>
    <sheetView showGridLines="0" zoomScale="124" zoomScaleNormal="204" workbookViewId="0">
      <selection activeCell="I23" sqref="I23"/>
    </sheetView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11.109375" style="2" bestFit="1" customWidth="1"/>
    <col min="4" max="4" width="14" style="2" customWidth="1"/>
    <col min="5" max="9" width="12.5546875" style="2" customWidth="1"/>
    <col min="10" max="10" width="12.88671875" style="2" bestFit="1" customWidth="1"/>
    <col min="11" max="16384" width="8.77734375" style="2"/>
  </cols>
  <sheetData>
    <row r="1" spans="1:10" ht="36.75" customHeight="1">
      <c r="A1" s="45" t="s">
        <v>93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0" ht="14.4">
      <c r="A2" s="12" t="s">
        <v>6</v>
      </c>
      <c r="B2" s="16"/>
      <c r="C2" s="122" t="s">
        <v>165</v>
      </c>
      <c r="D2" s="122" t="s">
        <v>166</v>
      </c>
      <c r="E2" s="122" t="s">
        <v>167</v>
      </c>
      <c r="F2" s="123" t="s">
        <v>168</v>
      </c>
      <c r="G2" s="123" t="s">
        <v>169</v>
      </c>
      <c r="H2" s="123" t="s">
        <v>170</v>
      </c>
      <c r="I2" s="123" t="s">
        <v>171</v>
      </c>
      <c r="J2" s="123" t="s">
        <v>172</v>
      </c>
    </row>
    <row r="3" spans="1:10" ht="14.4">
      <c r="A3" s="13"/>
      <c r="B3" s="30"/>
      <c r="C3" s="30"/>
      <c r="E3" s="29"/>
      <c r="F3" s="29"/>
      <c r="G3" s="29"/>
      <c r="H3" s="29"/>
      <c r="I3" s="29"/>
      <c r="J3" s="29"/>
    </row>
    <row r="4" spans="1:10" ht="14.4">
      <c r="A4" s="13"/>
      <c r="B4" s="30"/>
      <c r="C4" s="30"/>
      <c r="E4" s="29"/>
      <c r="F4" s="29"/>
      <c r="G4" s="29"/>
      <c r="H4" s="29"/>
      <c r="I4" s="29"/>
      <c r="J4" s="29"/>
    </row>
    <row r="5" spans="1:10" ht="14.4">
      <c r="A5" s="13"/>
      <c r="B5" s="2" t="s">
        <v>88</v>
      </c>
      <c r="C5" s="20">
        <f>'Apex Solutions IS'!C9</f>
        <v>25500</v>
      </c>
      <c r="D5" s="20">
        <f>'Apex Solutions IS'!D9</f>
        <v>31700</v>
      </c>
      <c r="E5" s="20">
        <f>'Apex Solutions IS'!E9</f>
        <v>38800</v>
      </c>
      <c r="F5" s="20">
        <f>'Apex Solutions IS'!F9</f>
        <v>45994</v>
      </c>
      <c r="G5" s="20">
        <f>'Apex Solutions IS'!G9</f>
        <v>54531.320000000007</v>
      </c>
      <c r="H5" s="20">
        <f>'Apex Solutions IS'!H9</f>
        <v>64664.461600000002</v>
      </c>
      <c r="I5" s="20">
        <f>'Apex Solutions IS'!I9</f>
        <v>76693.681327999991</v>
      </c>
      <c r="J5" s="20">
        <f>'Apex Solutions IS'!J9</f>
        <v>90976.073669439997</v>
      </c>
    </row>
    <row r="6" spans="1:10" ht="14.4">
      <c r="A6" s="13"/>
      <c r="C6" s="20"/>
      <c r="D6" s="20"/>
      <c r="E6" s="20"/>
      <c r="F6" s="20"/>
      <c r="G6" s="20"/>
      <c r="H6" s="20"/>
      <c r="I6" s="20"/>
      <c r="J6" s="20"/>
    </row>
    <row r="7" spans="1:10">
      <c r="B7" s="87" t="s">
        <v>36</v>
      </c>
      <c r="C7" s="20">
        <f>'Apex Solutions IS'!C20</f>
        <v>1200</v>
      </c>
      <c r="D7" s="20">
        <f>'Apex Solutions IS'!D20</f>
        <v>1400</v>
      </c>
      <c r="E7" s="20">
        <f>'Apex Solutions IS'!E20</f>
        <v>1700</v>
      </c>
      <c r="F7" s="28">
        <f>F8*F5</f>
        <v>2069.73</v>
      </c>
      <c r="G7" s="28">
        <f t="shared" ref="G7:J7" si="0">G5*G8</f>
        <v>2453.9094</v>
      </c>
      <c r="H7" s="28">
        <f t="shared" si="0"/>
        <v>2909.900772</v>
      </c>
      <c r="I7" s="28">
        <f t="shared" si="0"/>
        <v>3451.2156597599997</v>
      </c>
      <c r="J7" s="28">
        <f t="shared" si="0"/>
        <v>4093.9233151247995</v>
      </c>
    </row>
    <row r="8" spans="1:10">
      <c r="B8" s="35" t="s">
        <v>137</v>
      </c>
      <c r="C8" s="118">
        <f>C7/C5</f>
        <v>4.7058823529411764E-2</v>
      </c>
      <c r="D8" s="118">
        <f t="shared" ref="D8" si="1">D7/D5</f>
        <v>4.4164037854889593E-2</v>
      </c>
      <c r="E8" s="118">
        <f>E7/E5</f>
        <v>4.3814432989690719E-2</v>
      </c>
      <c r="F8" s="118">
        <f>4.5%</f>
        <v>4.4999999999999998E-2</v>
      </c>
      <c r="G8" s="118">
        <f t="shared" ref="G8:J8" si="2">4.5%</f>
        <v>4.4999999999999998E-2</v>
      </c>
      <c r="H8" s="118">
        <f t="shared" si="2"/>
        <v>4.4999999999999998E-2</v>
      </c>
      <c r="I8" s="118">
        <f t="shared" si="2"/>
        <v>4.4999999999999998E-2</v>
      </c>
      <c r="J8" s="118">
        <f t="shared" si="2"/>
        <v>4.4999999999999998E-2</v>
      </c>
    </row>
    <row r="9" spans="1:10" ht="14.4">
      <c r="A9" s="13"/>
      <c r="B9" s="30"/>
      <c r="C9" s="30"/>
      <c r="E9" s="29"/>
      <c r="F9" s="29"/>
      <c r="G9" s="29"/>
      <c r="H9" s="29"/>
      <c r="I9" s="29"/>
      <c r="J9" s="29"/>
    </row>
    <row r="10" spans="1:10">
      <c r="B10" s="2" t="s">
        <v>136</v>
      </c>
      <c r="C10" s="20">
        <f>'Apex Solutions BS'!C13</f>
        <v>24800</v>
      </c>
      <c r="D10" s="20">
        <f>'Apex Solutions BS'!D13</f>
        <v>28100</v>
      </c>
      <c r="E10" s="20">
        <f>'Apex Solutions BS'!E13</f>
        <v>31400</v>
      </c>
      <c r="F10" s="105">
        <f>E13</f>
        <v>31400</v>
      </c>
      <c r="G10" s="105">
        <f t="shared" ref="G10:J10" si="3">F13</f>
        <v>39330.269999999997</v>
      </c>
      <c r="H10" s="105">
        <f t="shared" si="3"/>
        <v>48376.3606</v>
      </c>
      <c r="I10" s="105">
        <f t="shared" si="3"/>
        <v>58466.459827999999</v>
      </c>
      <c r="J10" s="105">
        <f t="shared" si="3"/>
        <v>68515.244168239995</v>
      </c>
    </row>
    <row r="11" spans="1:10">
      <c r="B11" s="2" t="s">
        <v>105</v>
      </c>
      <c r="C11" s="46"/>
      <c r="D11" s="46"/>
      <c r="E11" s="46"/>
      <c r="F11" s="99">
        <v>10000</v>
      </c>
      <c r="G11" s="99">
        <v>11500</v>
      </c>
      <c r="H11" s="99">
        <v>13000</v>
      </c>
      <c r="I11" s="99">
        <v>13500</v>
      </c>
      <c r="J11" s="99">
        <v>15000</v>
      </c>
    </row>
    <row r="12" spans="1:10">
      <c r="B12" s="2" t="s">
        <v>36</v>
      </c>
      <c r="C12" s="46"/>
      <c r="D12" s="46"/>
      <c r="E12" s="46"/>
      <c r="F12" s="94">
        <f>F7</f>
        <v>2069.73</v>
      </c>
      <c r="G12" s="94">
        <f t="shared" ref="G12:J12" si="4">G7</f>
        <v>2453.9094</v>
      </c>
      <c r="H12" s="94">
        <f t="shared" si="4"/>
        <v>2909.900772</v>
      </c>
      <c r="I12" s="94">
        <f t="shared" si="4"/>
        <v>3451.2156597599997</v>
      </c>
      <c r="J12" s="94">
        <f t="shared" si="4"/>
        <v>4093.9233151247995</v>
      </c>
    </row>
    <row r="13" spans="1:10" ht="14.4" thickBot="1">
      <c r="B13" s="88" t="s">
        <v>41</v>
      </c>
      <c r="C13" s="98"/>
      <c r="D13" s="98"/>
      <c r="E13" s="106">
        <f t="shared" ref="E13:J13" si="5">E10+E11-E12</f>
        <v>31400</v>
      </c>
      <c r="F13" s="106">
        <f t="shared" si="5"/>
        <v>39330.269999999997</v>
      </c>
      <c r="G13" s="106">
        <f t="shared" si="5"/>
        <v>48376.3606</v>
      </c>
      <c r="H13" s="106">
        <f t="shared" si="5"/>
        <v>58466.459827999999</v>
      </c>
      <c r="I13" s="106">
        <f t="shared" si="5"/>
        <v>68515.244168239995</v>
      </c>
      <c r="J13" s="106">
        <f t="shared" si="5"/>
        <v>79421.32085311519</v>
      </c>
    </row>
    <row r="14" spans="1:10" ht="14.4" thickTop="1">
      <c r="C14" s="31"/>
      <c r="E14" s="28"/>
      <c r="F14" s="28"/>
      <c r="G14" s="28"/>
      <c r="H14" s="28"/>
      <c r="I14" s="28"/>
      <c r="J14" s="28"/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3D8-738B-4223-9175-94250C92C8CB}">
  <sheetPr>
    <tabColor theme="8" tint="0.39997558519241921"/>
  </sheetPr>
  <dimension ref="A1:L1048543"/>
  <sheetViews>
    <sheetView showGridLines="0" zoomScale="113" zoomScaleNormal="70" workbookViewId="0">
      <pane ySplit="4" topLeftCell="A5" activePane="bottomLeft" state="frozen"/>
      <selection activeCell="I23" sqref="I23"/>
      <selection pane="bottomLeft" activeCell="I23" sqref="I23"/>
    </sheetView>
  </sheetViews>
  <sheetFormatPr defaultColWidth="8.77734375" defaultRowHeight="13.8"/>
  <cols>
    <col min="1" max="1" width="3.6640625" style="2" customWidth="1"/>
    <col min="2" max="2" width="53.5546875" style="2" bestFit="1" customWidth="1"/>
    <col min="3" max="3" width="12" style="2" customWidth="1"/>
    <col min="4" max="4" width="14" style="2" customWidth="1"/>
    <col min="5" max="9" width="12.5546875" style="2" customWidth="1"/>
    <col min="10" max="10" width="10.6640625" style="2" bestFit="1" customWidth="1"/>
    <col min="11" max="11" width="11.6640625" style="2" bestFit="1" customWidth="1"/>
    <col min="12" max="16384" width="8.77734375" style="2"/>
  </cols>
  <sheetData>
    <row r="1" spans="1:12" ht="36.75" customHeight="1">
      <c r="A1" s="45" t="s">
        <v>94</v>
      </c>
      <c r="B1" s="15"/>
      <c r="C1" s="145" t="s">
        <v>0</v>
      </c>
      <c r="D1" s="145"/>
      <c r="E1" s="145"/>
      <c r="F1" s="145" t="s">
        <v>1</v>
      </c>
      <c r="G1" s="145"/>
      <c r="H1" s="145"/>
      <c r="I1" s="145"/>
      <c r="J1" s="145"/>
    </row>
    <row r="2" spans="1:12" ht="14.4">
      <c r="A2" s="12" t="s">
        <v>6</v>
      </c>
      <c r="B2" s="16"/>
      <c r="C2" s="122" t="s">
        <v>165</v>
      </c>
      <c r="D2" s="122" t="s">
        <v>166</v>
      </c>
      <c r="E2" s="122" t="s">
        <v>167</v>
      </c>
      <c r="F2" s="123" t="s">
        <v>168</v>
      </c>
      <c r="G2" s="123" t="s">
        <v>169</v>
      </c>
      <c r="H2" s="123" t="s">
        <v>170</v>
      </c>
      <c r="I2" s="123" t="s">
        <v>171</v>
      </c>
      <c r="J2" s="123" t="s">
        <v>172</v>
      </c>
    </row>
    <row r="3" spans="1:12" ht="14.4">
      <c r="A3" s="13"/>
      <c r="B3" s="30"/>
      <c r="C3" s="30"/>
      <c r="E3" s="29"/>
      <c r="F3" s="29"/>
      <c r="G3" s="29"/>
      <c r="H3" s="29"/>
      <c r="I3" s="29"/>
      <c r="J3" s="29"/>
    </row>
    <row r="4" spans="1:12" ht="14.4">
      <c r="A4" s="13"/>
      <c r="B4" s="30"/>
      <c r="C4" s="30"/>
      <c r="E4" s="29"/>
      <c r="F4" s="29"/>
      <c r="G4" s="29"/>
      <c r="H4" s="29"/>
      <c r="I4" s="29"/>
      <c r="J4" s="29"/>
    </row>
    <row r="5" spans="1:12" ht="14.4">
      <c r="A5" s="13"/>
      <c r="B5" s="30"/>
      <c r="C5" s="30"/>
      <c r="E5" s="29"/>
      <c r="F5" s="29"/>
      <c r="G5" s="29"/>
      <c r="H5" s="29"/>
      <c r="I5" s="29"/>
      <c r="J5" s="29"/>
    </row>
    <row r="6" spans="1:12">
      <c r="B6" s="26" t="s">
        <v>45</v>
      </c>
      <c r="C6" s="31"/>
      <c r="E6" s="22"/>
      <c r="F6" s="22"/>
      <c r="G6" s="22"/>
      <c r="H6" s="22"/>
      <c r="I6" s="22"/>
      <c r="J6" s="22"/>
    </row>
    <row r="7" spans="1:12">
      <c r="B7" s="2" t="s">
        <v>28</v>
      </c>
      <c r="C7" s="82">
        <f>'Apex Solutions BS'!C8</f>
        <v>1440</v>
      </c>
      <c r="D7" s="82">
        <f>'Apex Solutions BS'!D8</f>
        <v>1700</v>
      </c>
      <c r="E7" s="82">
        <f>'Apex Solutions BS'!E8</f>
        <v>1960</v>
      </c>
      <c r="F7" s="60">
        <f>F11/F15</f>
        <v>2394.2082191780823</v>
      </c>
      <c r="G7" s="60">
        <f>G11/G15</f>
        <v>2838.6166575342472</v>
      </c>
      <c r="H7" s="60">
        <f t="shared" ref="H7:J7" si="0">H11/H15</f>
        <v>3366.0952613698632</v>
      </c>
      <c r="I7" s="60">
        <f t="shared" si="0"/>
        <v>3992.2738225534245</v>
      </c>
      <c r="J7" s="60">
        <f t="shared" si="0"/>
        <v>4735.7408211489319</v>
      </c>
    </row>
    <row r="8" spans="1:12">
      <c r="B8" s="2" t="s">
        <v>29</v>
      </c>
      <c r="C8" s="82">
        <f>'Apex Solutions BS'!C9</f>
        <v>3100</v>
      </c>
      <c r="D8" s="82">
        <f>'Apex Solutions BS'!D9</f>
        <v>3560</v>
      </c>
      <c r="E8" s="82">
        <f>'Apex Solutions BS'!E9</f>
        <v>4000</v>
      </c>
      <c r="F8" s="60">
        <f>F12/F16</f>
        <v>4354.7134246575342</v>
      </c>
      <c r="G8" s="60">
        <f t="shared" ref="G8:J8" si="1">G12/G16</f>
        <v>5163.3399232876709</v>
      </c>
      <c r="H8" s="60">
        <f t="shared" si="1"/>
        <v>6123.1866985205479</v>
      </c>
      <c r="I8" s="60">
        <f>I12/I16</f>
        <v>7262.7208039802736</v>
      </c>
      <c r="J8" s="60">
        <f t="shared" si="1"/>
        <v>8615.8010681049418</v>
      </c>
    </row>
    <row r="9" spans="1:12">
      <c r="B9" s="2" t="s">
        <v>46</v>
      </c>
      <c r="C9" s="82">
        <f>'Apex Solutions BS'!C24</f>
        <v>2200</v>
      </c>
      <c r="D9" s="82">
        <f>'Apex Solutions BS'!D24</f>
        <v>2480</v>
      </c>
      <c r="E9" s="82">
        <f>'Apex Solutions BS'!E24</f>
        <v>2760</v>
      </c>
      <c r="F9" s="60">
        <f>F12/F17</f>
        <v>2986.0892054794522</v>
      </c>
      <c r="G9" s="60">
        <f t="shared" ref="G9:J9" si="2">G12/G17</f>
        <v>3540.5759473972603</v>
      </c>
      <c r="H9" s="60">
        <f t="shared" si="2"/>
        <v>4198.7565932712323</v>
      </c>
      <c r="I9" s="60">
        <f t="shared" si="2"/>
        <v>4980.1514084436158</v>
      </c>
      <c r="J9" s="60">
        <f t="shared" si="2"/>
        <v>5907.9778752719594</v>
      </c>
    </row>
    <row r="10" spans="1:12">
      <c r="C10" s="39"/>
      <c r="D10" s="39"/>
      <c r="E10" s="39"/>
      <c r="F10" s="39"/>
      <c r="G10" s="39"/>
      <c r="H10" s="39"/>
      <c r="I10" s="39"/>
      <c r="J10" s="39"/>
    </row>
    <row r="11" spans="1:12">
      <c r="B11" s="26" t="s">
        <v>49</v>
      </c>
      <c r="C11" s="83">
        <f>'Apex Solutions IS'!C9</f>
        <v>25500</v>
      </c>
      <c r="D11" s="83">
        <f>'Apex Solutions IS'!D9</f>
        <v>31700</v>
      </c>
      <c r="E11" s="83">
        <f>'Apex Solutions IS'!E9</f>
        <v>38800</v>
      </c>
      <c r="F11" s="83">
        <f>'Apex Solutions IS'!F9</f>
        <v>45994</v>
      </c>
      <c r="G11" s="83">
        <f>'Apex Solutions IS'!G9</f>
        <v>54531.320000000007</v>
      </c>
      <c r="H11" s="83">
        <f>'Apex Solutions IS'!H9</f>
        <v>64664.461600000002</v>
      </c>
      <c r="I11" s="83">
        <f>'Apex Solutions IS'!I9</f>
        <v>76693.681327999991</v>
      </c>
      <c r="J11" s="83">
        <f>'Apex Solutions IS'!J9</f>
        <v>90976.073669439997</v>
      </c>
    </row>
    <row r="12" spans="1:12">
      <c r="B12" s="26" t="s">
        <v>25</v>
      </c>
      <c r="C12" s="83">
        <f>'Apex Solutions IS'!C14</f>
        <v>12500</v>
      </c>
      <c r="D12" s="83">
        <f>'Apex Solutions IS'!D14</f>
        <v>15550</v>
      </c>
      <c r="E12" s="83">
        <f>'Apex Solutions IS'!E14</f>
        <v>19100</v>
      </c>
      <c r="F12" s="83">
        <f>'Apex Solutions IS'!F14</f>
        <v>22706.720000000001</v>
      </c>
      <c r="G12" s="83">
        <f>'Apex Solutions IS'!G14</f>
        <v>26923.1296</v>
      </c>
      <c r="H12" s="83">
        <f>'Apex Solutions IS'!H14</f>
        <v>31928.044927999999</v>
      </c>
      <c r="I12" s="83">
        <f>'Apex Solutions IS'!I14</f>
        <v>37869.901335039998</v>
      </c>
      <c r="J12" s="83">
        <f>'Apex Solutions IS'!J14</f>
        <v>44925.248426547194</v>
      </c>
    </row>
    <row r="13" spans="1:12">
      <c r="C13" s="39"/>
      <c r="D13" s="39"/>
      <c r="E13" s="39"/>
      <c r="F13" s="39"/>
      <c r="G13" s="39"/>
      <c r="H13" s="39"/>
      <c r="I13" s="39"/>
      <c r="J13" s="39"/>
    </row>
    <row r="14" spans="1:12">
      <c r="B14" s="86" t="s">
        <v>47</v>
      </c>
      <c r="C14" s="39"/>
      <c r="D14" s="39"/>
      <c r="E14" s="39"/>
      <c r="F14" s="39"/>
      <c r="G14" s="39"/>
      <c r="H14" s="39"/>
      <c r="I14" s="39"/>
      <c r="J14" s="39"/>
    </row>
    <row r="15" spans="1:12">
      <c r="B15" s="2" t="s">
        <v>116</v>
      </c>
      <c r="C15" s="107">
        <f>C11/C7</f>
        <v>17.708333333333332</v>
      </c>
      <c r="D15" s="107">
        <f t="shared" ref="D15" si="3">D11/D7</f>
        <v>18.647058823529413</v>
      </c>
      <c r="E15" s="107">
        <f>E11/E7</f>
        <v>19.795918367346939</v>
      </c>
      <c r="F15" s="107">
        <f>$L$16/F19</f>
        <v>19.210526315789473</v>
      </c>
      <c r="G15" s="107">
        <f>$L$16/G19</f>
        <v>19.210526315789473</v>
      </c>
      <c r="H15" s="107">
        <f>$L$16/H19</f>
        <v>19.210526315789473</v>
      </c>
      <c r="I15" s="107">
        <f t="shared" ref="I15:J15" si="4">$L$16/I19</f>
        <v>19.210526315789473</v>
      </c>
      <c r="J15" s="107">
        <f t="shared" si="4"/>
        <v>19.210526315789473</v>
      </c>
      <c r="L15" s="119" t="s">
        <v>164</v>
      </c>
    </row>
    <row r="16" spans="1:12">
      <c r="B16" s="2" t="s">
        <v>111</v>
      </c>
      <c r="C16" s="107">
        <f>C12/C8</f>
        <v>4.032258064516129</v>
      </c>
      <c r="D16" s="107">
        <f t="shared" ref="D16:E16" si="5">D12/D8</f>
        <v>4.367977528089888</v>
      </c>
      <c r="E16" s="107">
        <f t="shared" si="5"/>
        <v>4.7750000000000004</v>
      </c>
      <c r="F16" s="107">
        <f>$L$16/F20</f>
        <v>5.2142857142857144</v>
      </c>
      <c r="G16" s="107">
        <f t="shared" ref="G16:J16" si="6">$L$16/G20</f>
        <v>5.2142857142857144</v>
      </c>
      <c r="H16" s="107">
        <f t="shared" si="6"/>
        <v>5.2142857142857144</v>
      </c>
      <c r="I16" s="107">
        <f t="shared" si="6"/>
        <v>5.2142857142857144</v>
      </c>
      <c r="J16" s="107">
        <f t="shared" si="6"/>
        <v>5.2142857142857144</v>
      </c>
      <c r="L16" s="120">
        <v>365</v>
      </c>
    </row>
    <row r="17" spans="2:10">
      <c r="B17" s="2" t="s">
        <v>112</v>
      </c>
      <c r="C17" s="107">
        <f>C12/C9</f>
        <v>5.6818181818181817</v>
      </c>
      <c r="D17" s="107">
        <f t="shared" ref="D17:E17" si="7">D12/D9</f>
        <v>6.270161290322581</v>
      </c>
      <c r="E17" s="107">
        <f t="shared" si="7"/>
        <v>6.9202898550724639</v>
      </c>
      <c r="F17" s="107">
        <f>$L$16/F21</f>
        <v>7.604166666666667</v>
      </c>
      <c r="G17" s="107">
        <f t="shared" ref="G17:J17" si="8">$L$16/G21</f>
        <v>7.604166666666667</v>
      </c>
      <c r="H17" s="107">
        <f t="shared" si="8"/>
        <v>7.604166666666667</v>
      </c>
      <c r="I17" s="107">
        <f t="shared" si="8"/>
        <v>7.604166666666667</v>
      </c>
      <c r="J17" s="107">
        <f t="shared" si="8"/>
        <v>7.604166666666667</v>
      </c>
    </row>
    <row r="18" spans="2:10">
      <c r="C18" s="39"/>
      <c r="D18" s="39"/>
      <c r="E18" s="39"/>
      <c r="F18" s="39"/>
      <c r="G18" s="39"/>
      <c r="H18" s="39"/>
      <c r="I18" s="39"/>
      <c r="J18" s="39"/>
    </row>
    <row r="19" spans="2:10">
      <c r="B19" s="2" t="s">
        <v>113</v>
      </c>
      <c r="C19" s="100">
        <f>365/C15</f>
        <v>20.611764705882354</v>
      </c>
      <c r="D19" s="100">
        <f t="shared" ref="D19:E19" si="9">365/D15</f>
        <v>19.574132492113563</v>
      </c>
      <c r="E19" s="100">
        <f t="shared" si="9"/>
        <v>18.438144329896907</v>
      </c>
      <c r="F19" s="125">
        <v>19</v>
      </c>
      <c r="G19" s="124">
        <f>$F$19</f>
        <v>19</v>
      </c>
      <c r="H19" s="124">
        <f t="shared" ref="H19:J19" si="10">$F$19</f>
        <v>19</v>
      </c>
      <c r="I19" s="124">
        <f t="shared" si="10"/>
        <v>19</v>
      </c>
      <c r="J19" s="124">
        <f t="shared" si="10"/>
        <v>19</v>
      </c>
    </row>
    <row r="20" spans="2:10">
      <c r="B20" s="2" t="s">
        <v>114</v>
      </c>
      <c r="C20" s="100">
        <f t="shared" ref="C20:E20" si="11">365/C16</f>
        <v>90.52</v>
      </c>
      <c r="D20" s="100">
        <f t="shared" si="11"/>
        <v>83.562700964630224</v>
      </c>
      <c r="E20" s="100">
        <f t="shared" si="11"/>
        <v>76.43979057591622</v>
      </c>
      <c r="F20" s="125">
        <v>70</v>
      </c>
      <c r="G20" s="124">
        <f>$F$20</f>
        <v>70</v>
      </c>
      <c r="H20" s="124">
        <f t="shared" ref="H20:J20" si="12">$F$20</f>
        <v>70</v>
      </c>
      <c r="I20" s="124">
        <f t="shared" si="12"/>
        <v>70</v>
      </c>
      <c r="J20" s="124">
        <f t="shared" si="12"/>
        <v>70</v>
      </c>
    </row>
    <row r="21" spans="2:10">
      <c r="B21" s="2" t="s">
        <v>115</v>
      </c>
      <c r="C21" s="100">
        <f>365/C17</f>
        <v>64.239999999999995</v>
      </c>
      <c r="D21" s="100">
        <f t="shared" ref="D21:E21" si="13">365/D17</f>
        <v>58.212218649517681</v>
      </c>
      <c r="E21" s="100">
        <f t="shared" si="13"/>
        <v>52.7434554973822</v>
      </c>
      <c r="F21" s="125">
        <v>48</v>
      </c>
      <c r="G21" s="124">
        <f>$F$21</f>
        <v>48</v>
      </c>
      <c r="H21" s="124">
        <f t="shared" ref="H21:J21" si="14">$F$21</f>
        <v>48</v>
      </c>
      <c r="I21" s="124">
        <f t="shared" si="14"/>
        <v>48</v>
      </c>
      <c r="J21" s="124">
        <f t="shared" si="14"/>
        <v>48</v>
      </c>
    </row>
    <row r="22" spans="2:10">
      <c r="B22" s="43" t="s">
        <v>48</v>
      </c>
      <c r="C22" s="101">
        <f>(C19+C20)-C21</f>
        <v>46.891764705882352</v>
      </c>
      <c r="D22" s="101">
        <f t="shared" ref="D22:J22" si="15">(D19+D20)-D21</f>
        <v>44.924614807226106</v>
      </c>
      <c r="E22" s="101">
        <f t="shared" si="15"/>
        <v>42.134479408430934</v>
      </c>
      <c r="F22" s="101">
        <f t="shared" si="15"/>
        <v>41</v>
      </c>
      <c r="G22" s="101">
        <f t="shared" si="15"/>
        <v>41</v>
      </c>
      <c r="H22" s="101">
        <f t="shared" si="15"/>
        <v>41</v>
      </c>
      <c r="I22" s="101">
        <f t="shared" si="15"/>
        <v>41</v>
      </c>
      <c r="J22" s="101">
        <f t="shared" si="15"/>
        <v>41</v>
      </c>
    </row>
    <row r="33" spans="2:6">
      <c r="B33" s="26"/>
    </row>
    <row r="34" spans="2:6">
      <c r="B34" s="26"/>
    </row>
    <row r="47" spans="2:6">
      <c r="F47" s="2" t="s">
        <v>42</v>
      </c>
    </row>
    <row r="2385" spans="6:6">
      <c r="F2385" s="2" t="s">
        <v>42</v>
      </c>
    </row>
    <row r="2386" spans="6:6">
      <c r="F2386" s="2" t="s">
        <v>42</v>
      </c>
    </row>
    <row r="2685" spans="6:6">
      <c r="F2685" s="2" t="s">
        <v>42</v>
      </c>
    </row>
    <row r="2686" spans="6:6">
      <c r="F2686" s="2" t="s">
        <v>42</v>
      </c>
    </row>
    <row r="2687" spans="6:6">
      <c r="F2687" s="2" t="s">
        <v>42</v>
      </c>
    </row>
    <row r="2688" spans="6:6">
      <c r="F2688" s="2" t="s">
        <v>42</v>
      </c>
    </row>
    <row r="1048543" spans="6:6">
      <c r="F104854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Sequence</vt:lpstr>
      <vt:lpstr>Index</vt:lpstr>
      <vt:lpstr>Assumptions</vt:lpstr>
      <vt:lpstr>Apex Solutions IS</vt:lpstr>
      <vt:lpstr>Apex Solutions BS</vt:lpstr>
      <vt:lpstr>Apex Solutions CF</vt:lpstr>
      <vt:lpstr>Supporting Sheets &lt;&lt;&lt;</vt:lpstr>
      <vt:lpstr>Depreciation Capex</vt:lpstr>
      <vt:lpstr>Working Capital</vt:lpstr>
      <vt:lpstr>Debt Schedule</vt:lpstr>
    </vt:vector>
  </TitlesOfParts>
  <Company>WallstreetMojo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Merger Model - Wallstreetmojo</dc:title>
  <dc:subject>wallstreetmojo.com</dc:subject>
  <dc:creator>Dheeraj Vaidya, CFA, FRM</dc:creator>
  <cp:keywords>M&amp;A Modeling Course by Wallstreetmojo</cp:keywords>
  <dc:description>wallstreetmojo.com</dc:description>
  <cp:lastModifiedBy>subi s sabu</cp:lastModifiedBy>
  <dcterms:created xsi:type="dcterms:W3CDTF">2013-06-17T08:47:06Z</dcterms:created>
  <dcterms:modified xsi:type="dcterms:W3CDTF">2025-04-12T05:56:52Z</dcterms:modified>
</cp:coreProperties>
</file>