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24226"/>
  <mc:AlternateContent xmlns:mc="http://schemas.openxmlformats.org/markup-compatibility/2006">
    <mc:Choice Requires="x15">
      <x15ac:absPath xmlns:x15ac="http://schemas.microsoft.com/office/spreadsheetml/2010/11/ac" url="C:\Users\DParks\Documents\RAM Folder Tool\Major Mechanical\2022\October\"/>
    </mc:Choice>
  </mc:AlternateContent>
  <xr:revisionPtr revIDLastSave="0" documentId="8_{391DCBDA-89A6-45E9-8CC4-57D8B08F24B5}" xr6:coauthVersionLast="36" xr6:coauthVersionMax="36" xr10:uidLastSave="{00000000-0000-0000-0000-000000000000}"/>
  <bookViews>
    <workbookView xWindow="0" yWindow="0" windowWidth="28800" windowHeight="11625" activeTab="3" xr2:uid="{00000000-000D-0000-FFFF-FFFF00000000}"/>
  </bookViews>
  <sheets>
    <sheet name="EDL Data" sheetId="1" r:id="rId1"/>
    <sheet name="Summary" sheetId="3" r:id="rId2"/>
    <sheet name="MCIA Cases" sheetId="15" r:id="rId3"/>
    <sheet name="MCIA Corrective Actions" sheetId="16" r:id="rId4"/>
    <sheet name="Document" sheetId="2" state="hidden" r:id="rId5"/>
    <sheet name="2017" sheetId="4" state="hidden" r:id="rId6"/>
    <sheet name="2018" sheetId="11" state="hidden" r:id="rId7"/>
    <sheet name="2019" sheetId="12" state="hidden" r:id="rId8"/>
    <sheet name="2020" sheetId="13" state="hidden" r:id="rId9"/>
    <sheet name="2021" sheetId="14" state="hidden" r:id="rId10"/>
    <sheet name="2022" sheetId="17" r:id="rId11"/>
  </sheets>
  <definedNames>
    <definedName name="_xlnm._FilterDatabase" localSheetId="5" hidden="1">'2017'!$B$3:$P$3</definedName>
    <definedName name="_xlnm._FilterDatabase" localSheetId="6" hidden="1">'2018'!$A$3:$P$3</definedName>
    <definedName name="_xlnm._FilterDatabase" localSheetId="7" hidden="1">'2019'!$B$3:$P$3</definedName>
    <definedName name="_xlnm._FilterDatabase" localSheetId="8" hidden="1">'2020'!$B$3:$P$3</definedName>
    <definedName name="_xlnm._FilterDatabase" localSheetId="9" hidden="1">'2021'!$B$2:$Q$40</definedName>
    <definedName name="_xlnm._FilterDatabase" localSheetId="2" hidden="1">'MCIA Cases'!$A$1:$AF$158</definedName>
    <definedName name="_xlnm._FilterDatabase" localSheetId="3" hidden="1">'MCIA Corrective Actions'!$A$1:$O$391</definedName>
    <definedName name="_xlnm.Print_Area" localSheetId="0">'EDL Data'!$B$1:$M$140</definedName>
  </definedNames>
  <calcPr calcId="191029"/>
</workbook>
</file>

<file path=xl/calcChain.xml><?xml version="1.0" encoding="utf-8"?>
<calcChain xmlns="http://schemas.openxmlformats.org/spreadsheetml/2006/main">
  <c r="T47" i="17" l="1"/>
  <c r="T48" i="17"/>
  <c r="T49" i="17"/>
  <c r="T51" i="17"/>
  <c r="U48" i="17"/>
  <c r="V48" i="17"/>
  <c r="U49" i="17"/>
  <c r="V49" i="17"/>
  <c r="U50" i="17"/>
  <c r="V50" i="17"/>
  <c r="U51" i="17"/>
  <c r="V51" i="17"/>
  <c r="B40" i="17"/>
  <c r="C40" i="17"/>
  <c r="D40" i="17"/>
  <c r="U40" i="17" s="1"/>
  <c r="E40" i="17"/>
  <c r="F40" i="17"/>
  <c r="G40" i="17"/>
  <c r="H40" i="17" s="1"/>
  <c r="I40" i="17"/>
  <c r="K40" i="17"/>
  <c r="L40" i="17"/>
  <c r="V40" i="17" s="1"/>
  <c r="M40" i="17"/>
  <c r="N40" i="17"/>
  <c r="T40" i="17" s="1"/>
  <c r="O40" i="17"/>
  <c r="B41" i="17"/>
  <c r="C41" i="17"/>
  <c r="D41" i="17"/>
  <c r="U41" i="17" s="1"/>
  <c r="E41" i="17"/>
  <c r="F41" i="17"/>
  <c r="G41" i="17"/>
  <c r="H41" i="17" s="1"/>
  <c r="I41" i="17"/>
  <c r="K41" i="17"/>
  <c r="L41" i="17"/>
  <c r="V41" i="17" s="1"/>
  <c r="M41" i="17"/>
  <c r="N41" i="17"/>
  <c r="T41" i="17" s="1"/>
  <c r="O41" i="17"/>
  <c r="B42" i="17"/>
  <c r="C42" i="17"/>
  <c r="D42" i="17"/>
  <c r="U42" i="17" s="1"/>
  <c r="E42" i="17"/>
  <c r="F42" i="17"/>
  <c r="G42" i="17"/>
  <c r="H42" i="17" s="1"/>
  <c r="I42" i="17"/>
  <c r="K42" i="17"/>
  <c r="L42" i="17"/>
  <c r="V42" i="17" s="1"/>
  <c r="M42" i="17"/>
  <c r="N42" i="17"/>
  <c r="T42" i="17" s="1"/>
  <c r="O42" i="17"/>
  <c r="B43" i="17"/>
  <c r="C43" i="17"/>
  <c r="D43" i="17"/>
  <c r="U43" i="17" s="1"/>
  <c r="E43" i="17"/>
  <c r="F43" i="17"/>
  <c r="G43" i="17"/>
  <c r="H43" i="17" s="1"/>
  <c r="I43" i="17"/>
  <c r="K43" i="17"/>
  <c r="L43" i="17"/>
  <c r="V43" i="17" s="1"/>
  <c r="M43" i="17"/>
  <c r="N43" i="17"/>
  <c r="T43" i="17" s="1"/>
  <c r="O43" i="17"/>
  <c r="B44" i="17"/>
  <c r="C44" i="17"/>
  <c r="D44" i="17"/>
  <c r="U44" i="17" s="1"/>
  <c r="E44" i="17"/>
  <c r="F44" i="17"/>
  <c r="G44" i="17"/>
  <c r="H44" i="17" s="1"/>
  <c r="I44" i="17"/>
  <c r="K44" i="17"/>
  <c r="L44" i="17"/>
  <c r="V44" i="17" s="1"/>
  <c r="M44" i="17"/>
  <c r="N44" i="17"/>
  <c r="T44" i="17" s="1"/>
  <c r="O44" i="17"/>
  <c r="B45" i="17"/>
  <c r="C45" i="17"/>
  <c r="D45" i="17"/>
  <c r="U45" i="17" s="1"/>
  <c r="E45" i="17"/>
  <c r="F45" i="17"/>
  <c r="G45" i="17"/>
  <c r="H45" i="17" s="1"/>
  <c r="I45" i="17"/>
  <c r="K45" i="17"/>
  <c r="L45" i="17"/>
  <c r="V45" i="17" s="1"/>
  <c r="M45" i="17"/>
  <c r="N45" i="17"/>
  <c r="T45" i="17" s="1"/>
  <c r="O45" i="17"/>
  <c r="B46" i="17"/>
  <c r="C46" i="17"/>
  <c r="D46" i="17"/>
  <c r="U46" i="17" s="1"/>
  <c r="E46" i="17"/>
  <c r="F46" i="17"/>
  <c r="G46" i="17"/>
  <c r="H46" i="17" s="1"/>
  <c r="I46" i="17"/>
  <c r="K46" i="17"/>
  <c r="L46" i="17"/>
  <c r="V46" i="17" s="1"/>
  <c r="M46" i="17"/>
  <c r="N46" i="17"/>
  <c r="T46" i="17" s="1"/>
  <c r="O46" i="17"/>
  <c r="W45" i="17" l="1"/>
  <c r="W49" i="17"/>
  <c r="W42" i="17"/>
  <c r="W50" i="17"/>
  <c r="W51" i="17"/>
  <c r="W48" i="17"/>
  <c r="W43" i="17"/>
  <c r="W41" i="17"/>
  <c r="W44" i="17"/>
  <c r="W46" i="17"/>
  <c r="W40" i="17"/>
  <c r="B27" i="17" l="1"/>
  <c r="B28" i="17"/>
  <c r="B29" i="17"/>
  <c r="B30" i="17"/>
  <c r="B31" i="17"/>
  <c r="B32" i="17"/>
  <c r="B33" i="17"/>
  <c r="B34" i="17"/>
  <c r="B35" i="17"/>
  <c r="B36" i="17"/>
  <c r="B37" i="17"/>
  <c r="B38" i="17"/>
  <c r="C27" i="17"/>
  <c r="C28" i="17"/>
  <c r="C29" i="17"/>
  <c r="C30" i="17"/>
  <c r="C31" i="17"/>
  <c r="C32" i="17"/>
  <c r="C33" i="17"/>
  <c r="C34" i="17"/>
  <c r="C35" i="17"/>
  <c r="C36" i="17"/>
  <c r="C37" i="17"/>
  <c r="C38" i="17"/>
  <c r="D27" i="17"/>
  <c r="U27" i="17" s="1"/>
  <c r="D28" i="17"/>
  <c r="U28" i="17" s="1"/>
  <c r="D29" i="17"/>
  <c r="U29" i="17" s="1"/>
  <c r="D30" i="17"/>
  <c r="U30" i="17" s="1"/>
  <c r="D31" i="17"/>
  <c r="U31" i="17" s="1"/>
  <c r="D32" i="17"/>
  <c r="U32" i="17" s="1"/>
  <c r="D33" i="17"/>
  <c r="U33" i="17" s="1"/>
  <c r="D34" i="17"/>
  <c r="U34" i="17" s="1"/>
  <c r="D35" i="17"/>
  <c r="U35" i="17" s="1"/>
  <c r="D36" i="17"/>
  <c r="U36" i="17" s="1"/>
  <c r="D37" i="17"/>
  <c r="U37" i="17" s="1"/>
  <c r="D38" i="17"/>
  <c r="U38" i="17" s="1"/>
  <c r="E27" i="17"/>
  <c r="E28" i="17"/>
  <c r="E29" i="17"/>
  <c r="E30" i="17"/>
  <c r="E31" i="17"/>
  <c r="E32" i="17"/>
  <c r="E33" i="17"/>
  <c r="E34" i="17"/>
  <c r="E35" i="17"/>
  <c r="E36" i="17"/>
  <c r="E37" i="17"/>
  <c r="E38" i="17"/>
  <c r="F27" i="17"/>
  <c r="F28" i="17"/>
  <c r="F29" i="17"/>
  <c r="F30" i="17"/>
  <c r="F31" i="17"/>
  <c r="F32" i="17"/>
  <c r="F33" i="17"/>
  <c r="F34" i="17"/>
  <c r="F35" i="17"/>
  <c r="F36" i="17"/>
  <c r="F37" i="17"/>
  <c r="F38" i="17"/>
  <c r="G27" i="17"/>
  <c r="H27" i="17" s="1"/>
  <c r="G28" i="17"/>
  <c r="H28" i="17" s="1"/>
  <c r="G29" i="17"/>
  <c r="H29" i="17" s="1"/>
  <c r="G30" i="17"/>
  <c r="H30" i="17" s="1"/>
  <c r="G31" i="17"/>
  <c r="H31" i="17" s="1"/>
  <c r="G32" i="17"/>
  <c r="H32" i="17" s="1"/>
  <c r="G33" i="17"/>
  <c r="H33" i="17" s="1"/>
  <c r="G34" i="17"/>
  <c r="H34" i="17" s="1"/>
  <c r="G35" i="17"/>
  <c r="H35" i="17" s="1"/>
  <c r="G36" i="17"/>
  <c r="H36" i="17" s="1"/>
  <c r="G37" i="17"/>
  <c r="H37" i="17" s="1"/>
  <c r="G38" i="17"/>
  <c r="H38" i="17" s="1"/>
  <c r="I27" i="17"/>
  <c r="I28" i="17"/>
  <c r="I29" i="17"/>
  <c r="I30" i="17"/>
  <c r="I31" i="17"/>
  <c r="I32" i="17"/>
  <c r="I33" i="17"/>
  <c r="I34" i="17"/>
  <c r="I35" i="17"/>
  <c r="I36" i="17"/>
  <c r="I37" i="17"/>
  <c r="I38" i="17"/>
  <c r="K27" i="17"/>
  <c r="K28" i="17"/>
  <c r="K29" i="17"/>
  <c r="K30" i="17"/>
  <c r="K31" i="17"/>
  <c r="K32" i="17"/>
  <c r="K33" i="17"/>
  <c r="K34" i="17"/>
  <c r="K35" i="17"/>
  <c r="K36" i="17"/>
  <c r="K37" i="17"/>
  <c r="K38" i="17"/>
  <c r="L27" i="17"/>
  <c r="V27" i="17" s="1"/>
  <c r="L28" i="17"/>
  <c r="V28" i="17" s="1"/>
  <c r="L29" i="17"/>
  <c r="V29" i="17" s="1"/>
  <c r="L30" i="17"/>
  <c r="V30" i="17" s="1"/>
  <c r="L31" i="17"/>
  <c r="V31" i="17" s="1"/>
  <c r="L32" i="17"/>
  <c r="V32" i="17" s="1"/>
  <c r="L33" i="17"/>
  <c r="V33" i="17" s="1"/>
  <c r="L34" i="17"/>
  <c r="V34" i="17" s="1"/>
  <c r="L35" i="17"/>
  <c r="V35" i="17" s="1"/>
  <c r="L36" i="17"/>
  <c r="V36" i="17" s="1"/>
  <c r="L37" i="17"/>
  <c r="V37" i="17" s="1"/>
  <c r="L38" i="17"/>
  <c r="V38" i="17" s="1"/>
  <c r="M27" i="17"/>
  <c r="M28" i="17"/>
  <c r="M29" i="17"/>
  <c r="M30" i="17"/>
  <c r="M31" i="17"/>
  <c r="M32" i="17"/>
  <c r="M33" i="17"/>
  <c r="M34" i="17"/>
  <c r="M35" i="17"/>
  <c r="M36" i="17"/>
  <c r="M37" i="17"/>
  <c r="M38" i="17"/>
  <c r="N27" i="17"/>
  <c r="T27" i="17" s="1"/>
  <c r="N28" i="17"/>
  <c r="T28" i="17" s="1"/>
  <c r="N29" i="17"/>
  <c r="T29" i="17" s="1"/>
  <c r="N30" i="17"/>
  <c r="T30" i="17" s="1"/>
  <c r="N31" i="17"/>
  <c r="T31" i="17" s="1"/>
  <c r="N32" i="17"/>
  <c r="T32" i="17" s="1"/>
  <c r="N33" i="17"/>
  <c r="T33" i="17" s="1"/>
  <c r="N34" i="17"/>
  <c r="T34" i="17" s="1"/>
  <c r="N35" i="17"/>
  <c r="T35" i="17" s="1"/>
  <c r="N36" i="17"/>
  <c r="T36" i="17" s="1"/>
  <c r="N37" i="17"/>
  <c r="T37" i="17" s="1"/>
  <c r="N38" i="17"/>
  <c r="T38" i="17" s="1"/>
  <c r="O27" i="17"/>
  <c r="O28" i="17"/>
  <c r="O29" i="17"/>
  <c r="O30" i="17"/>
  <c r="O31" i="17"/>
  <c r="O32" i="17"/>
  <c r="O33" i="17"/>
  <c r="O34" i="17"/>
  <c r="O35" i="17"/>
  <c r="O36" i="17"/>
  <c r="O37" i="17"/>
  <c r="O38" i="17"/>
  <c r="W34" i="17" l="1"/>
  <c r="W33" i="17"/>
  <c r="W32" i="17"/>
  <c r="W31" i="17"/>
  <c r="W38" i="17"/>
  <c r="W30" i="17"/>
  <c r="W37" i="17"/>
  <c r="W29" i="17"/>
  <c r="W36" i="17"/>
  <c r="W28" i="17"/>
  <c r="W35" i="17"/>
  <c r="W27" i="17"/>
  <c r="H127" i="17"/>
  <c r="H126" i="17"/>
  <c r="H122" i="17"/>
  <c r="H123" i="17"/>
  <c r="H124" i="17"/>
  <c r="H125" i="17"/>
  <c r="H121" i="17"/>
  <c r="H117" i="17"/>
  <c r="H118" i="17"/>
  <c r="H119" i="17"/>
  <c r="H120" i="17"/>
  <c r="H116" i="17"/>
  <c r="H112" i="17"/>
  <c r="H113" i="17"/>
  <c r="H114" i="17"/>
  <c r="H115" i="17"/>
  <c r="H111" i="17"/>
  <c r="J105" i="17"/>
  <c r="J127" i="17" s="1"/>
  <c r="J104" i="17"/>
  <c r="J126" i="17" s="1"/>
  <c r="J100" i="17"/>
  <c r="J125" i="17" s="1"/>
  <c r="J99" i="17"/>
  <c r="J124" i="17" s="1"/>
  <c r="J98" i="17"/>
  <c r="J123" i="17" s="1"/>
  <c r="J97" i="17"/>
  <c r="J122" i="17" s="1"/>
  <c r="J96" i="17"/>
  <c r="J121" i="17" s="1"/>
  <c r="J92" i="17"/>
  <c r="J120" i="17" s="1"/>
  <c r="J91" i="17"/>
  <c r="J119" i="17" s="1"/>
  <c r="J90" i="17"/>
  <c r="J118" i="17" s="1"/>
  <c r="J89" i="17"/>
  <c r="J117" i="17" s="1"/>
  <c r="J88" i="17"/>
  <c r="J116" i="17" s="1"/>
  <c r="J84" i="17"/>
  <c r="J115" i="17" s="1"/>
  <c r="J83" i="17"/>
  <c r="J114" i="17" s="1"/>
  <c r="J82" i="17"/>
  <c r="J113" i="17" s="1"/>
  <c r="J81" i="17"/>
  <c r="J112" i="17" s="1"/>
  <c r="J80" i="17"/>
  <c r="J111" i="17" s="1"/>
  <c r="I105" i="17"/>
  <c r="I127" i="17" s="1"/>
  <c r="I104" i="17"/>
  <c r="I126" i="17" s="1"/>
  <c r="I100" i="17"/>
  <c r="I125" i="17" s="1"/>
  <c r="I99" i="17"/>
  <c r="I124" i="17" s="1"/>
  <c r="I98" i="17"/>
  <c r="I123" i="17" s="1"/>
  <c r="I97" i="17"/>
  <c r="I122" i="17" s="1"/>
  <c r="I96" i="17"/>
  <c r="I121" i="17" s="1"/>
  <c r="I92" i="17"/>
  <c r="I120" i="17" s="1"/>
  <c r="I91" i="17"/>
  <c r="I119" i="17" s="1"/>
  <c r="I90" i="17"/>
  <c r="I118" i="17" s="1"/>
  <c r="I89" i="17"/>
  <c r="I117" i="17" s="1"/>
  <c r="I88" i="17"/>
  <c r="I116" i="17" s="1"/>
  <c r="I84" i="17"/>
  <c r="I115" i="17" s="1"/>
  <c r="I83" i="17"/>
  <c r="I114" i="17" s="1"/>
  <c r="I82" i="17"/>
  <c r="I113" i="17" s="1"/>
  <c r="I81" i="17"/>
  <c r="I112" i="17" s="1"/>
  <c r="I80" i="17"/>
  <c r="I111" i="17" s="1"/>
  <c r="B39" i="17" l="1"/>
  <c r="C39" i="17"/>
  <c r="D39" i="17"/>
  <c r="U39" i="17" s="1"/>
  <c r="E39" i="17"/>
  <c r="F39" i="17"/>
  <c r="G39" i="17"/>
  <c r="H39" i="17" s="1"/>
  <c r="I39" i="17"/>
  <c r="K39" i="17"/>
  <c r="L39" i="17"/>
  <c r="V39" i="17" s="1"/>
  <c r="M39" i="17"/>
  <c r="N39" i="17"/>
  <c r="T39" i="17" s="1"/>
  <c r="O39" i="17"/>
  <c r="W39" i="17" l="1"/>
  <c r="B26" i="17"/>
  <c r="C26" i="17"/>
  <c r="D26" i="17"/>
  <c r="U26" i="17" s="1"/>
  <c r="E26" i="17"/>
  <c r="F26" i="17"/>
  <c r="G26" i="17"/>
  <c r="H26" i="17" s="1"/>
  <c r="I26" i="17"/>
  <c r="K26" i="17"/>
  <c r="L26" i="17"/>
  <c r="V26" i="17" s="1"/>
  <c r="M26" i="17"/>
  <c r="N26" i="17"/>
  <c r="T26" i="17" s="1"/>
  <c r="O26" i="17"/>
  <c r="B25" i="17"/>
  <c r="C25" i="17"/>
  <c r="D25" i="17"/>
  <c r="U25" i="17" s="1"/>
  <c r="E25" i="17"/>
  <c r="F25" i="17"/>
  <c r="G25" i="17"/>
  <c r="H25" i="17" s="1"/>
  <c r="I25" i="17"/>
  <c r="K25" i="17"/>
  <c r="L25" i="17"/>
  <c r="V25" i="17" s="1"/>
  <c r="M25" i="17"/>
  <c r="N25" i="17"/>
  <c r="T25" i="17" s="1"/>
  <c r="O25" i="17"/>
  <c r="B24" i="17"/>
  <c r="C24" i="17"/>
  <c r="D24" i="17"/>
  <c r="U24" i="17" s="1"/>
  <c r="E24" i="17"/>
  <c r="F24" i="17"/>
  <c r="G24" i="17"/>
  <c r="H24" i="17" s="1"/>
  <c r="I24" i="17"/>
  <c r="K24" i="17"/>
  <c r="L24" i="17"/>
  <c r="V24" i="17" s="1"/>
  <c r="M24" i="17"/>
  <c r="N24" i="17"/>
  <c r="T24" i="17" s="1"/>
  <c r="O24" i="17"/>
  <c r="B23" i="17"/>
  <c r="C23" i="17"/>
  <c r="D23" i="17"/>
  <c r="U23" i="17" s="1"/>
  <c r="E23" i="17"/>
  <c r="F23" i="17"/>
  <c r="G23" i="17"/>
  <c r="H23" i="17" s="1"/>
  <c r="I23" i="17"/>
  <c r="K23" i="17"/>
  <c r="L23" i="17"/>
  <c r="V23" i="17" s="1"/>
  <c r="M23" i="17"/>
  <c r="N23" i="17"/>
  <c r="T23" i="17" s="1"/>
  <c r="O23" i="17"/>
  <c r="B22" i="17"/>
  <c r="C22" i="17"/>
  <c r="D22" i="17"/>
  <c r="U22" i="17" s="1"/>
  <c r="E22" i="17"/>
  <c r="F22" i="17"/>
  <c r="G22" i="17"/>
  <c r="H22" i="17" s="1"/>
  <c r="I22" i="17"/>
  <c r="K22" i="17"/>
  <c r="L22" i="17"/>
  <c r="V22" i="17" s="1"/>
  <c r="M22" i="17"/>
  <c r="N22" i="17"/>
  <c r="T22" i="17" s="1"/>
  <c r="O22" i="17"/>
  <c r="B21" i="17"/>
  <c r="C21" i="17"/>
  <c r="D21" i="17"/>
  <c r="U21" i="17" s="1"/>
  <c r="E21" i="17"/>
  <c r="F21" i="17"/>
  <c r="G21" i="17"/>
  <c r="H21" i="17" s="1"/>
  <c r="I21" i="17"/>
  <c r="K21" i="17"/>
  <c r="L21" i="17"/>
  <c r="V21" i="17" s="1"/>
  <c r="M21" i="17"/>
  <c r="N21" i="17"/>
  <c r="T21" i="17" s="1"/>
  <c r="O21" i="17"/>
  <c r="B20" i="17"/>
  <c r="C20" i="17"/>
  <c r="D20" i="17"/>
  <c r="U20" i="17" s="1"/>
  <c r="E20" i="17"/>
  <c r="F20" i="17"/>
  <c r="G20" i="17"/>
  <c r="H20" i="17" s="1"/>
  <c r="I20" i="17"/>
  <c r="K20" i="17"/>
  <c r="L20" i="17"/>
  <c r="V20" i="17" s="1"/>
  <c r="M20" i="17"/>
  <c r="N20" i="17"/>
  <c r="T20" i="17" s="1"/>
  <c r="O20" i="17"/>
  <c r="B19" i="17"/>
  <c r="C19" i="17"/>
  <c r="D19" i="17"/>
  <c r="U19" i="17" s="1"/>
  <c r="E19" i="17"/>
  <c r="F19" i="17"/>
  <c r="G19" i="17"/>
  <c r="H19" i="17" s="1"/>
  <c r="I19" i="17"/>
  <c r="K19" i="17"/>
  <c r="L19" i="17"/>
  <c r="V19" i="17" s="1"/>
  <c r="M19" i="17"/>
  <c r="N19" i="17"/>
  <c r="T19" i="17" s="1"/>
  <c r="O19" i="17"/>
  <c r="W19" i="17" l="1"/>
  <c r="W21" i="17"/>
  <c r="W23" i="17"/>
  <c r="W20" i="17"/>
  <c r="W22" i="17"/>
  <c r="W24" i="17"/>
  <c r="W25" i="17"/>
  <c r="W26" i="17"/>
  <c r="B16" i="17"/>
  <c r="B17" i="17"/>
  <c r="B18" i="17"/>
  <c r="C16" i="17"/>
  <c r="C17" i="17"/>
  <c r="C18" i="17"/>
  <c r="D16" i="17"/>
  <c r="U16" i="17" s="1"/>
  <c r="D17" i="17"/>
  <c r="U17" i="17" s="1"/>
  <c r="D18" i="17"/>
  <c r="U18" i="17" s="1"/>
  <c r="E16" i="17"/>
  <c r="E17" i="17"/>
  <c r="E18" i="17"/>
  <c r="F16" i="17"/>
  <c r="F17" i="17"/>
  <c r="F18" i="17"/>
  <c r="G16" i="17"/>
  <c r="H16" i="17" s="1"/>
  <c r="G17" i="17"/>
  <c r="H17" i="17" s="1"/>
  <c r="G18" i="17"/>
  <c r="H18" i="17" s="1"/>
  <c r="I16" i="17"/>
  <c r="I17" i="17"/>
  <c r="I18" i="17"/>
  <c r="K16" i="17"/>
  <c r="K17" i="17"/>
  <c r="K18" i="17"/>
  <c r="L16" i="17"/>
  <c r="V16" i="17" s="1"/>
  <c r="L17" i="17"/>
  <c r="V17" i="17" s="1"/>
  <c r="L18" i="17"/>
  <c r="V18" i="17" s="1"/>
  <c r="M16" i="17"/>
  <c r="M17" i="17"/>
  <c r="M18" i="17"/>
  <c r="N16" i="17"/>
  <c r="T16" i="17" s="1"/>
  <c r="N17" i="17"/>
  <c r="T17" i="17" s="1"/>
  <c r="N18" i="17"/>
  <c r="T18" i="17" s="1"/>
  <c r="O16" i="17"/>
  <c r="O17" i="17"/>
  <c r="O18" i="17"/>
  <c r="W18" i="17" l="1"/>
  <c r="W16" i="17"/>
  <c r="W17" i="17"/>
  <c r="B7" i="17"/>
  <c r="B8" i="17"/>
  <c r="B9" i="17"/>
  <c r="B10" i="17"/>
  <c r="B11" i="17"/>
  <c r="B12" i="17"/>
  <c r="B13" i="17"/>
  <c r="B14" i="17"/>
  <c r="B15" i="17"/>
  <c r="C7" i="17"/>
  <c r="C8" i="17"/>
  <c r="C9" i="17"/>
  <c r="C10" i="17"/>
  <c r="C11" i="17"/>
  <c r="C12" i="17"/>
  <c r="C13" i="17"/>
  <c r="C14" i="17"/>
  <c r="C15" i="17"/>
  <c r="D7" i="17"/>
  <c r="U7" i="17" s="1"/>
  <c r="D8" i="17"/>
  <c r="U8" i="17" s="1"/>
  <c r="D9" i="17"/>
  <c r="U9" i="17" s="1"/>
  <c r="D10" i="17"/>
  <c r="U10" i="17" s="1"/>
  <c r="D11" i="17"/>
  <c r="U11" i="17" s="1"/>
  <c r="D12" i="17"/>
  <c r="U12" i="17" s="1"/>
  <c r="D13" i="17"/>
  <c r="U13" i="17" s="1"/>
  <c r="D14" i="17"/>
  <c r="U14" i="17" s="1"/>
  <c r="D15" i="17"/>
  <c r="U15" i="17" s="1"/>
  <c r="E7" i="17"/>
  <c r="E8" i="17"/>
  <c r="E9" i="17"/>
  <c r="E10" i="17"/>
  <c r="E11" i="17"/>
  <c r="E12" i="17"/>
  <c r="E13" i="17"/>
  <c r="E14" i="17"/>
  <c r="E15" i="17"/>
  <c r="F7" i="17"/>
  <c r="F8" i="17"/>
  <c r="F9" i="17"/>
  <c r="F10" i="17"/>
  <c r="F11" i="17"/>
  <c r="F12" i="17"/>
  <c r="F13" i="17"/>
  <c r="F14" i="17"/>
  <c r="F15" i="17"/>
  <c r="G7" i="17"/>
  <c r="H7" i="17" s="1"/>
  <c r="G8" i="17"/>
  <c r="H8" i="17" s="1"/>
  <c r="G9" i="17"/>
  <c r="H9" i="17" s="1"/>
  <c r="G10" i="17"/>
  <c r="H10" i="17" s="1"/>
  <c r="G11" i="17"/>
  <c r="H11" i="17" s="1"/>
  <c r="G12" i="17"/>
  <c r="H12" i="17" s="1"/>
  <c r="G13" i="17"/>
  <c r="H13" i="17" s="1"/>
  <c r="G14" i="17"/>
  <c r="H14" i="17" s="1"/>
  <c r="G15" i="17"/>
  <c r="H15" i="17" s="1"/>
  <c r="I7" i="17"/>
  <c r="I8" i="17"/>
  <c r="I9" i="17"/>
  <c r="I10" i="17"/>
  <c r="I11" i="17"/>
  <c r="I12" i="17"/>
  <c r="I13" i="17"/>
  <c r="I14" i="17"/>
  <c r="I15" i="17"/>
  <c r="K7" i="17"/>
  <c r="K8" i="17"/>
  <c r="K9" i="17"/>
  <c r="K10" i="17"/>
  <c r="K11" i="17"/>
  <c r="K12" i="17"/>
  <c r="K13" i="17"/>
  <c r="K14" i="17"/>
  <c r="K15" i="17"/>
  <c r="L7" i="17"/>
  <c r="V7" i="17" s="1"/>
  <c r="L8" i="17"/>
  <c r="V8" i="17" s="1"/>
  <c r="L9" i="17"/>
  <c r="V9" i="17" s="1"/>
  <c r="L10" i="17"/>
  <c r="V10" i="17" s="1"/>
  <c r="L11" i="17"/>
  <c r="V11" i="17" s="1"/>
  <c r="L12" i="17"/>
  <c r="V12" i="17" s="1"/>
  <c r="L13" i="17"/>
  <c r="V13" i="17" s="1"/>
  <c r="L14" i="17"/>
  <c r="V14" i="17" s="1"/>
  <c r="L15" i="17"/>
  <c r="V15" i="17" s="1"/>
  <c r="M7" i="17"/>
  <c r="M8" i="17"/>
  <c r="M9" i="17"/>
  <c r="M10" i="17"/>
  <c r="M11" i="17"/>
  <c r="M12" i="17"/>
  <c r="M13" i="17"/>
  <c r="M14" i="17"/>
  <c r="M15" i="17"/>
  <c r="N7" i="17"/>
  <c r="T7" i="17" s="1"/>
  <c r="N8" i="17"/>
  <c r="T8" i="17" s="1"/>
  <c r="N9" i="17"/>
  <c r="T9" i="17" s="1"/>
  <c r="N10" i="17"/>
  <c r="T10" i="17" s="1"/>
  <c r="N11" i="17"/>
  <c r="T11" i="17" s="1"/>
  <c r="N12" i="17"/>
  <c r="T12" i="17" s="1"/>
  <c r="N13" i="17"/>
  <c r="N14" i="17"/>
  <c r="T14" i="17" s="1"/>
  <c r="N15" i="17"/>
  <c r="T15" i="17" s="1"/>
  <c r="O7" i="17"/>
  <c r="O8" i="17"/>
  <c r="O9" i="17"/>
  <c r="O10" i="17"/>
  <c r="O11" i="17"/>
  <c r="O12" i="17"/>
  <c r="O13" i="17"/>
  <c r="O14" i="17"/>
  <c r="O15" i="17"/>
  <c r="L50" i="17"/>
  <c r="I6" i="17"/>
  <c r="I5" i="17"/>
  <c r="I4" i="17"/>
  <c r="I3" i="17"/>
  <c r="I50" i="17"/>
  <c r="C50" i="17"/>
  <c r="T13" i="17" l="1"/>
  <c r="W10" i="17"/>
  <c r="W9" i="17"/>
  <c r="W8" i="17"/>
  <c r="W15" i="17"/>
  <c r="W7" i="17"/>
  <c r="W14" i="17"/>
  <c r="W13" i="17"/>
  <c r="W12" i="17"/>
  <c r="W11" i="17"/>
  <c r="J106" i="17"/>
  <c r="I93" i="17"/>
  <c r="I85" i="17"/>
  <c r="B4" i="17"/>
  <c r="B5" i="17"/>
  <c r="B6" i="17"/>
  <c r="C4" i="17"/>
  <c r="C5" i="17"/>
  <c r="C6" i="17"/>
  <c r="D4" i="17"/>
  <c r="U4" i="17" s="1"/>
  <c r="D5" i="17"/>
  <c r="U5" i="17" s="1"/>
  <c r="D6" i="17"/>
  <c r="U6" i="17" s="1"/>
  <c r="E4" i="17"/>
  <c r="E5" i="17"/>
  <c r="E6" i="17"/>
  <c r="F4" i="17"/>
  <c r="F5" i="17"/>
  <c r="F6" i="17"/>
  <c r="G4" i="17"/>
  <c r="H4" i="17" s="1"/>
  <c r="G5" i="17"/>
  <c r="H5" i="17" s="1"/>
  <c r="G6" i="17"/>
  <c r="H6" i="17" s="1"/>
  <c r="K4" i="17"/>
  <c r="L4" i="17"/>
  <c r="V4" i="17" s="1"/>
  <c r="M4" i="17"/>
  <c r="N4" i="17"/>
  <c r="T4" i="17" s="1"/>
  <c r="O4" i="17"/>
  <c r="W4" i="17" l="1"/>
  <c r="I101" i="17"/>
  <c r="J85" i="17"/>
  <c r="J101" i="17"/>
  <c r="J93" i="17"/>
  <c r="I106" i="17"/>
  <c r="I108" i="17" l="1"/>
  <c r="J108" i="17"/>
  <c r="C69" i="17"/>
  <c r="B50" i="17"/>
  <c r="C73" i="17"/>
  <c r="C72" i="17"/>
  <c r="C71" i="17"/>
  <c r="P50" i="17"/>
  <c r="O50" i="17"/>
  <c r="N50" i="17"/>
  <c r="M50" i="17"/>
  <c r="K50" i="17"/>
  <c r="O6" i="17"/>
  <c r="N6" i="17"/>
  <c r="T6" i="17" s="1"/>
  <c r="M6" i="17"/>
  <c r="L6" i="17"/>
  <c r="V6" i="17" s="1"/>
  <c r="W6" i="17" s="1"/>
  <c r="K6" i="17"/>
  <c r="O5" i="17"/>
  <c r="N5" i="17"/>
  <c r="T5" i="17" s="1"/>
  <c r="M5" i="17"/>
  <c r="L5" i="17"/>
  <c r="V5" i="17" s="1"/>
  <c r="W5" i="17" s="1"/>
  <c r="K5" i="17"/>
  <c r="P3" i="17"/>
  <c r="O3" i="17"/>
  <c r="N3" i="17"/>
  <c r="T3" i="17" s="1"/>
  <c r="M3" i="17"/>
  <c r="L3" i="17"/>
  <c r="V3" i="17" s="1"/>
  <c r="K3" i="17"/>
  <c r="G3" i="17"/>
  <c r="H3" i="17" s="1"/>
  <c r="F3" i="17"/>
  <c r="E3" i="17"/>
  <c r="D3" i="17"/>
  <c r="U3" i="17" s="1"/>
  <c r="C3" i="17"/>
  <c r="B3" i="17"/>
  <c r="T50" i="17" l="1"/>
  <c r="C66" i="17"/>
  <c r="W3" i="17"/>
  <c r="C70" i="17" s="1"/>
  <c r="C67" i="17"/>
  <c r="C68" i="17" s="1"/>
  <c r="C65" i="17"/>
  <c r="C64" i="17"/>
  <c r="C63" i="17"/>
  <c r="C62" i="17"/>
  <c r="L77" i="14"/>
  <c r="L78" i="14"/>
  <c r="L79" i="14"/>
  <c r="L80" i="14"/>
  <c r="V80" i="14" s="1"/>
  <c r="L81" i="14"/>
  <c r="V81" i="14" s="1"/>
  <c r="L82" i="14"/>
  <c r="V82" i="14" s="1"/>
  <c r="L83" i="14"/>
  <c r="V83" i="14" s="1"/>
  <c r="L84" i="14"/>
  <c r="V84" i="14" s="1"/>
  <c r="K77" i="14"/>
  <c r="K78" i="14"/>
  <c r="K79" i="14"/>
  <c r="K80" i="14"/>
  <c r="K81" i="14"/>
  <c r="K82" i="14"/>
  <c r="K83" i="14"/>
  <c r="K84" i="14"/>
  <c r="E303" i="1"/>
  <c r="E304" i="1"/>
  <c r="E305" i="1"/>
  <c r="E306" i="1"/>
  <c r="E307" i="1"/>
  <c r="B74" i="17" l="1"/>
  <c r="C61" i="17"/>
  <c r="K105" i="14"/>
  <c r="L105" i="14"/>
  <c r="M105" i="14"/>
  <c r="N105" i="14"/>
  <c r="O105" i="14"/>
  <c r="K106" i="14"/>
  <c r="L106" i="14"/>
  <c r="M106" i="14"/>
  <c r="N106" i="14"/>
  <c r="O106" i="14"/>
  <c r="K107" i="14"/>
  <c r="L107" i="14"/>
  <c r="M107" i="14"/>
  <c r="N107" i="14"/>
  <c r="O107" i="14"/>
  <c r="B105" i="14"/>
  <c r="C105" i="14"/>
  <c r="I105" i="14"/>
  <c r="B106" i="14"/>
  <c r="C106" i="14"/>
  <c r="I106" i="14"/>
  <c r="B107" i="14"/>
  <c r="C107" i="14"/>
  <c r="I107"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K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V74" i="14" s="1"/>
  <c r="L75" i="14"/>
  <c r="V75" i="14" s="1"/>
  <c r="L76" i="14"/>
  <c r="V76" i="14" s="1"/>
  <c r="V77"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M21" i="14"/>
  <c r="M20" i="14"/>
  <c r="M19" i="14"/>
  <c r="M18" i="14"/>
  <c r="M17" i="14"/>
  <c r="M16" i="14"/>
  <c r="M15" i="14"/>
  <c r="M14" i="14"/>
  <c r="M13" i="14"/>
  <c r="M12" i="14"/>
  <c r="M11" i="14"/>
  <c r="M10" i="14"/>
  <c r="M9" i="14"/>
  <c r="M8" i="14"/>
  <c r="M7" i="14"/>
  <c r="M6" i="14"/>
  <c r="M5" i="14"/>
  <c r="M4" i="14"/>
  <c r="O81" i="14"/>
  <c r="N81" i="14"/>
  <c r="O80" i="14"/>
  <c r="N80" i="14"/>
  <c r="O79" i="14"/>
  <c r="N79" i="14"/>
  <c r="O78" i="14"/>
  <c r="N78" i="14"/>
  <c r="O77" i="14"/>
  <c r="N77" i="14"/>
  <c r="O76" i="14"/>
  <c r="N76" i="14"/>
  <c r="O75" i="14"/>
  <c r="N75" i="14"/>
  <c r="O74" i="14"/>
  <c r="N74" i="14"/>
  <c r="O73" i="14"/>
  <c r="N73" i="14"/>
  <c r="O72" i="14"/>
  <c r="N72" i="14"/>
  <c r="O71" i="14"/>
  <c r="N71" i="14"/>
  <c r="O70" i="14"/>
  <c r="N70" i="14"/>
  <c r="O69" i="14"/>
  <c r="N69" i="14"/>
  <c r="O68" i="14"/>
  <c r="N68" i="14"/>
  <c r="O67" i="14"/>
  <c r="N67" i="14"/>
  <c r="O66" i="14"/>
  <c r="N66" i="14"/>
  <c r="O65" i="14"/>
  <c r="N65" i="14"/>
  <c r="O64" i="14"/>
  <c r="N64" i="14"/>
  <c r="O63" i="14"/>
  <c r="N63" i="14"/>
  <c r="O62" i="14"/>
  <c r="N62" i="14"/>
  <c r="O61" i="14"/>
  <c r="N61" i="14"/>
  <c r="O60" i="14"/>
  <c r="N60" i="14"/>
  <c r="O59" i="14"/>
  <c r="N59" i="14"/>
  <c r="O58" i="14"/>
  <c r="N58" i="14"/>
  <c r="O57" i="14"/>
  <c r="N57" i="14"/>
  <c r="O56" i="14"/>
  <c r="N56" i="14"/>
  <c r="O55" i="14"/>
  <c r="N55" i="14"/>
  <c r="O54" i="14"/>
  <c r="N54" i="14"/>
  <c r="O53" i="14"/>
  <c r="N53" i="14"/>
  <c r="O52" i="14"/>
  <c r="N52" i="14"/>
  <c r="O51" i="14"/>
  <c r="N51" i="14"/>
  <c r="O50" i="14"/>
  <c r="N50" i="14"/>
  <c r="O49" i="14"/>
  <c r="N49" i="14"/>
  <c r="O48" i="14"/>
  <c r="N48" i="14"/>
  <c r="O47" i="14"/>
  <c r="N47" i="14"/>
  <c r="O46" i="14"/>
  <c r="N46" i="14"/>
  <c r="O45" i="14"/>
  <c r="N45" i="14"/>
  <c r="O44" i="14"/>
  <c r="N44" i="14"/>
  <c r="O43" i="14"/>
  <c r="N43" i="14"/>
  <c r="O42" i="14"/>
  <c r="N42" i="14"/>
  <c r="O41" i="14"/>
  <c r="N41" i="14"/>
  <c r="O40" i="14"/>
  <c r="N40" i="14"/>
  <c r="O39" i="14"/>
  <c r="N39" i="14"/>
  <c r="O38" i="14"/>
  <c r="N38" i="14"/>
  <c r="O37" i="14"/>
  <c r="N37" i="14"/>
  <c r="O36" i="14"/>
  <c r="N36" i="14"/>
  <c r="O35" i="14"/>
  <c r="N35" i="14"/>
  <c r="O34" i="14"/>
  <c r="N34" i="14"/>
  <c r="O33" i="14"/>
  <c r="N33" i="14"/>
  <c r="O32" i="14"/>
  <c r="N32" i="14"/>
  <c r="O31" i="14"/>
  <c r="N31" i="14"/>
  <c r="O30" i="14"/>
  <c r="N30" i="14"/>
  <c r="O29" i="14"/>
  <c r="N29" i="14"/>
  <c r="O28" i="14"/>
  <c r="N28" i="14"/>
  <c r="O27" i="14"/>
  <c r="N27" i="14"/>
  <c r="O26" i="14"/>
  <c r="N26" i="14"/>
  <c r="O25" i="14"/>
  <c r="N25" i="14"/>
  <c r="O24" i="14"/>
  <c r="N24" i="14"/>
  <c r="O23" i="14"/>
  <c r="N23" i="14"/>
  <c r="O22" i="14"/>
  <c r="N22" i="14"/>
  <c r="O21" i="14"/>
  <c r="N21" i="14"/>
  <c r="O20" i="14"/>
  <c r="N20" i="14"/>
  <c r="O19" i="14"/>
  <c r="N19" i="14"/>
  <c r="O18" i="14"/>
  <c r="N18" i="14"/>
  <c r="O17" i="14"/>
  <c r="N17" i="14"/>
  <c r="O16" i="14"/>
  <c r="N16" i="14"/>
  <c r="O15" i="14"/>
  <c r="N15" i="14"/>
  <c r="O14" i="14"/>
  <c r="N14" i="14"/>
  <c r="O13" i="14"/>
  <c r="N13" i="14"/>
  <c r="O12" i="14"/>
  <c r="N12" i="14"/>
  <c r="O11" i="14"/>
  <c r="N11" i="14"/>
  <c r="O10" i="14"/>
  <c r="N10" i="14"/>
  <c r="O9" i="14"/>
  <c r="N9" i="14"/>
  <c r="O8" i="14"/>
  <c r="N8" i="14"/>
  <c r="O7" i="14"/>
  <c r="N7" i="14"/>
  <c r="O6" i="14"/>
  <c r="N6" i="14"/>
  <c r="O5" i="14"/>
  <c r="N5" i="14"/>
  <c r="O4" i="14"/>
  <c r="N4" i="14"/>
  <c r="L104" i="14"/>
  <c r="I104" i="14"/>
  <c r="C104" i="14"/>
  <c r="B104" i="14"/>
  <c r="U14" i="14"/>
  <c r="U97" i="14"/>
  <c r="U98" i="14"/>
  <c r="U99" i="14"/>
  <c r="U100" i="14"/>
  <c r="U101" i="14"/>
  <c r="U102" i="14"/>
  <c r="U103" i="14"/>
  <c r="U104" i="14"/>
  <c r="U105" i="14"/>
  <c r="U106" i="14"/>
  <c r="C129" i="14"/>
  <c r="C130" i="14"/>
  <c r="C131" i="14"/>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B79" i="14"/>
  <c r="C79" i="14"/>
  <c r="D79" i="14"/>
  <c r="U79" i="14" s="1"/>
  <c r="E79" i="14"/>
  <c r="F79" i="14"/>
  <c r="G79" i="14"/>
  <c r="H79" i="14" s="1"/>
  <c r="V79" i="14"/>
  <c r="B80" i="14"/>
  <c r="C80" i="14"/>
  <c r="D80" i="14"/>
  <c r="U80" i="14" s="1"/>
  <c r="W80" i="14" s="1"/>
  <c r="E80" i="14"/>
  <c r="F80" i="14"/>
  <c r="G80" i="14"/>
  <c r="H80" i="14" s="1"/>
  <c r="B81" i="14"/>
  <c r="C81" i="14"/>
  <c r="D81" i="14"/>
  <c r="U81" i="14" s="1"/>
  <c r="W81" i="14" s="1"/>
  <c r="E81" i="14"/>
  <c r="F81" i="14"/>
  <c r="G81" i="14"/>
  <c r="H81" i="14" s="1"/>
  <c r="B82" i="14"/>
  <c r="C82" i="14"/>
  <c r="D82" i="14"/>
  <c r="U82" i="14" s="1"/>
  <c r="W82" i="14" s="1"/>
  <c r="E82" i="14"/>
  <c r="F82" i="14"/>
  <c r="G82" i="14"/>
  <c r="H82" i="14" s="1"/>
  <c r="I82" i="14"/>
  <c r="M82" i="14"/>
  <c r="N82" i="14"/>
  <c r="O82" i="14"/>
  <c r="B83" i="14"/>
  <c r="C83" i="14"/>
  <c r="D83" i="14"/>
  <c r="U83" i="14" s="1"/>
  <c r="W83" i="14" s="1"/>
  <c r="E83" i="14"/>
  <c r="F83" i="14"/>
  <c r="G83" i="14"/>
  <c r="H83" i="14" s="1"/>
  <c r="I83" i="14"/>
  <c r="M83" i="14"/>
  <c r="N83" i="14"/>
  <c r="O83" i="14"/>
  <c r="B84" i="14"/>
  <c r="C84" i="14"/>
  <c r="D84" i="14"/>
  <c r="U84" i="14" s="1"/>
  <c r="W84" i="14" s="1"/>
  <c r="E84" i="14"/>
  <c r="F84" i="14"/>
  <c r="G84" i="14"/>
  <c r="H84" i="14" s="1"/>
  <c r="I84" i="14"/>
  <c r="M84" i="14"/>
  <c r="N84" i="14"/>
  <c r="O84" i="14"/>
  <c r="B73" i="14"/>
  <c r="C73" i="14"/>
  <c r="D73" i="14"/>
  <c r="U73" i="14" s="1"/>
  <c r="E73" i="14"/>
  <c r="F73" i="14"/>
  <c r="G73" i="14"/>
  <c r="H73" i="14" s="1"/>
  <c r="V73" i="14"/>
  <c r="B74" i="14"/>
  <c r="C74" i="14"/>
  <c r="D74" i="14"/>
  <c r="U74" i="14" s="1"/>
  <c r="E74" i="14"/>
  <c r="F74" i="14"/>
  <c r="G74" i="14"/>
  <c r="H74" i="14" s="1"/>
  <c r="B75" i="14"/>
  <c r="C75" i="14"/>
  <c r="D75" i="14"/>
  <c r="U75" i="14" s="1"/>
  <c r="E75" i="14"/>
  <c r="F75" i="14"/>
  <c r="G75" i="14"/>
  <c r="H75" i="14" s="1"/>
  <c r="B76" i="14"/>
  <c r="C76" i="14"/>
  <c r="D76" i="14"/>
  <c r="U76" i="14" s="1"/>
  <c r="E76" i="14"/>
  <c r="F76" i="14"/>
  <c r="G76" i="14"/>
  <c r="H76" i="14" s="1"/>
  <c r="B77" i="14"/>
  <c r="C77" i="14"/>
  <c r="D77" i="14"/>
  <c r="U77" i="14" s="1"/>
  <c r="E77" i="14"/>
  <c r="F77" i="14"/>
  <c r="G77" i="14"/>
  <c r="H77" i="14" s="1"/>
  <c r="B78" i="14"/>
  <c r="C78" i="14"/>
  <c r="D78" i="14"/>
  <c r="U78" i="14" s="1"/>
  <c r="E78" i="14"/>
  <c r="F78" i="14"/>
  <c r="G78" i="14"/>
  <c r="H78" i="14" s="1"/>
  <c r="V78" i="14"/>
  <c r="W77" i="14" l="1"/>
  <c r="W76" i="14"/>
  <c r="W79" i="14"/>
  <c r="W75" i="14"/>
  <c r="W78" i="14"/>
  <c r="W74" i="14"/>
  <c r="W73" i="14"/>
  <c r="G5" i="3"/>
  <c r="B64" i="14"/>
  <c r="C64" i="14"/>
  <c r="D64" i="14"/>
  <c r="U64" i="14" s="1"/>
  <c r="E64" i="14"/>
  <c r="F64" i="14"/>
  <c r="G64" i="14"/>
  <c r="H64" i="14" s="1"/>
  <c r="V64" i="14"/>
  <c r="B65" i="14"/>
  <c r="C65" i="14"/>
  <c r="D65" i="14"/>
  <c r="U65" i="14" s="1"/>
  <c r="E65" i="14"/>
  <c r="F65" i="14"/>
  <c r="G65" i="14"/>
  <c r="H65" i="14" s="1"/>
  <c r="V65" i="14"/>
  <c r="B66" i="14"/>
  <c r="C66" i="14"/>
  <c r="D66" i="14"/>
  <c r="U66" i="14" s="1"/>
  <c r="E66" i="14"/>
  <c r="F66" i="14"/>
  <c r="G66" i="14"/>
  <c r="H66" i="14" s="1"/>
  <c r="V66" i="14"/>
  <c r="B67" i="14"/>
  <c r="C67" i="14"/>
  <c r="D67" i="14"/>
  <c r="U67" i="14" s="1"/>
  <c r="E67" i="14"/>
  <c r="F67" i="14"/>
  <c r="G67" i="14"/>
  <c r="H67" i="14" s="1"/>
  <c r="V67" i="14"/>
  <c r="B68" i="14"/>
  <c r="C68" i="14"/>
  <c r="D68" i="14"/>
  <c r="U68" i="14" s="1"/>
  <c r="E68" i="14"/>
  <c r="F68" i="14"/>
  <c r="G68" i="14"/>
  <c r="H68" i="14" s="1"/>
  <c r="V68" i="14"/>
  <c r="B69" i="14"/>
  <c r="C69" i="14"/>
  <c r="D69" i="14"/>
  <c r="U69" i="14" s="1"/>
  <c r="E69" i="14"/>
  <c r="F69" i="14"/>
  <c r="G69" i="14"/>
  <c r="H69" i="14" s="1"/>
  <c r="V69" i="14"/>
  <c r="B70" i="14"/>
  <c r="C70" i="14"/>
  <c r="D70" i="14"/>
  <c r="U70" i="14" s="1"/>
  <c r="E70" i="14"/>
  <c r="F70" i="14"/>
  <c r="G70" i="14"/>
  <c r="H70" i="14" s="1"/>
  <c r="V70" i="14"/>
  <c r="B71" i="14"/>
  <c r="C71" i="14"/>
  <c r="D71" i="14"/>
  <c r="U71" i="14" s="1"/>
  <c r="E71" i="14"/>
  <c r="F71" i="14"/>
  <c r="G71" i="14"/>
  <c r="H71" i="14" s="1"/>
  <c r="V71" i="14"/>
  <c r="B72" i="14"/>
  <c r="C72" i="14"/>
  <c r="D72" i="14"/>
  <c r="U72" i="14" s="1"/>
  <c r="E72" i="14"/>
  <c r="F72" i="14"/>
  <c r="G72" i="14"/>
  <c r="H72" i="14" s="1"/>
  <c r="V72" i="14"/>
  <c r="W65" i="14" l="1"/>
  <c r="W66" i="14"/>
  <c r="W67" i="14"/>
  <c r="W68" i="14"/>
  <c r="W69" i="14"/>
  <c r="W71" i="14"/>
  <c r="W70" i="14"/>
  <c r="W72" i="14"/>
  <c r="W64" i="14"/>
  <c r="I85" i="14"/>
  <c r="I86" i="14"/>
  <c r="I87" i="14"/>
  <c r="I88" i="14"/>
  <c r="I89" i="14"/>
  <c r="I90" i="14"/>
  <c r="I91" i="14"/>
  <c r="I92" i="14"/>
  <c r="I93" i="14"/>
  <c r="I96" i="14"/>
  <c r="I97" i="14"/>
  <c r="I98" i="14"/>
  <c r="I99" i="14"/>
  <c r="I100" i="14"/>
  <c r="I101" i="14"/>
  <c r="I102" i="14"/>
  <c r="I103" i="14"/>
  <c r="V5" i="14"/>
  <c r="V6" i="14"/>
  <c r="V7" i="14"/>
  <c r="V8" i="14"/>
  <c r="V9" i="14"/>
  <c r="V10" i="14"/>
  <c r="V11" i="14"/>
  <c r="V12" i="14"/>
  <c r="V13" i="14"/>
  <c r="V14" i="14"/>
  <c r="W14" i="14" s="1"/>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105" i="14"/>
  <c r="W105" i="14" s="1"/>
  <c r="V104" i="14"/>
  <c r="W104" i="14" s="1"/>
  <c r="K104" i="14"/>
  <c r="B57" i="14" l="1"/>
  <c r="C57" i="14"/>
  <c r="D57" i="14"/>
  <c r="U57" i="14" s="1"/>
  <c r="W57" i="14" s="1"/>
  <c r="E57" i="14"/>
  <c r="F57" i="14"/>
  <c r="G57" i="14"/>
  <c r="H57" i="14" s="1"/>
  <c r="B58" i="14"/>
  <c r="C58" i="14"/>
  <c r="D58" i="14"/>
  <c r="U58" i="14" s="1"/>
  <c r="W58" i="14" s="1"/>
  <c r="E58" i="14"/>
  <c r="F58" i="14"/>
  <c r="G58" i="14"/>
  <c r="H58" i="14" s="1"/>
  <c r="B59" i="14"/>
  <c r="C59" i="14"/>
  <c r="D59" i="14"/>
  <c r="U59" i="14" s="1"/>
  <c r="W59" i="14" s="1"/>
  <c r="E59" i="14"/>
  <c r="F59" i="14"/>
  <c r="G59" i="14"/>
  <c r="H59" i="14" s="1"/>
  <c r="B60" i="14"/>
  <c r="C60" i="14"/>
  <c r="D60" i="14"/>
  <c r="U60" i="14" s="1"/>
  <c r="W60" i="14" s="1"/>
  <c r="E60" i="14"/>
  <c r="F60" i="14"/>
  <c r="G60" i="14"/>
  <c r="H60" i="14" s="1"/>
  <c r="B61" i="14"/>
  <c r="C61" i="14"/>
  <c r="D61" i="14"/>
  <c r="U61" i="14" s="1"/>
  <c r="W61" i="14" s="1"/>
  <c r="E61" i="14"/>
  <c r="F61" i="14"/>
  <c r="G61" i="14"/>
  <c r="H61" i="14" s="1"/>
  <c r="B62" i="14"/>
  <c r="C62" i="14"/>
  <c r="D62" i="14"/>
  <c r="U62" i="14" s="1"/>
  <c r="W62" i="14" s="1"/>
  <c r="E62" i="14"/>
  <c r="F62" i="14"/>
  <c r="G62" i="14"/>
  <c r="H62" i="14" s="1"/>
  <c r="B63" i="14"/>
  <c r="C63" i="14"/>
  <c r="D63" i="14"/>
  <c r="U63" i="14" s="1"/>
  <c r="W63" i="14" s="1"/>
  <c r="E63" i="14"/>
  <c r="F63" i="14"/>
  <c r="G63" i="14"/>
  <c r="H63" i="14" s="1"/>
  <c r="T105" i="14"/>
  <c r="P105" i="14"/>
  <c r="V106" i="14" l="1"/>
  <c r="W106" i="14" s="1"/>
  <c r="T106" i="14"/>
  <c r="P106" i="14"/>
  <c r="B49" i="14"/>
  <c r="C49" i="14"/>
  <c r="D49" i="14"/>
  <c r="U49" i="14" s="1"/>
  <c r="W49" i="14" s="1"/>
  <c r="E49" i="14"/>
  <c r="F49" i="14"/>
  <c r="G49" i="14"/>
  <c r="H49" i="14" s="1"/>
  <c r="B50" i="14"/>
  <c r="C50" i="14"/>
  <c r="D50" i="14"/>
  <c r="U50" i="14" s="1"/>
  <c r="W50" i="14" s="1"/>
  <c r="E50" i="14"/>
  <c r="F50" i="14"/>
  <c r="G50" i="14"/>
  <c r="H50" i="14" s="1"/>
  <c r="B51" i="14"/>
  <c r="C51" i="14"/>
  <c r="D51" i="14"/>
  <c r="U51" i="14" s="1"/>
  <c r="W51" i="14" s="1"/>
  <c r="E51" i="14"/>
  <c r="F51" i="14"/>
  <c r="G51" i="14"/>
  <c r="H51" i="14" s="1"/>
  <c r="B52" i="14"/>
  <c r="C52" i="14"/>
  <c r="D52" i="14"/>
  <c r="U52" i="14" s="1"/>
  <c r="W52" i="14" s="1"/>
  <c r="E52" i="14"/>
  <c r="F52" i="14"/>
  <c r="G52" i="14"/>
  <c r="H52" i="14" s="1"/>
  <c r="B53" i="14"/>
  <c r="C53" i="14"/>
  <c r="D53" i="14"/>
  <c r="U53" i="14" s="1"/>
  <c r="W53" i="14" s="1"/>
  <c r="E53" i="14"/>
  <c r="F53" i="14"/>
  <c r="G53" i="14"/>
  <c r="H53" i="14" s="1"/>
  <c r="B54" i="14"/>
  <c r="C54" i="14"/>
  <c r="D54" i="14"/>
  <c r="U54" i="14" s="1"/>
  <c r="W54" i="14" s="1"/>
  <c r="E54" i="14"/>
  <c r="F54" i="14"/>
  <c r="G54" i="14"/>
  <c r="H54" i="14" s="1"/>
  <c r="B55" i="14"/>
  <c r="C55" i="14"/>
  <c r="D55" i="14"/>
  <c r="U55" i="14" s="1"/>
  <c r="W55" i="14" s="1"/>
  <c r="E55" i="14"/>
  <c r="F55" i="14"/>
  <c r="G55" i="14"/>
  <c r="H55" i="14" s="1"/>
  <c r="B56" i="14"/>
  <c r="C56" i="14"/>
  <c r="D56" i="14"/>
  <c r="U56" i="14" s="1"/>
  <c r="W56" i="14" s="1"/>
  <c r="E56" i="14"/>
  <c r="F56" i="14"/>
  <c r="G56" i="14"/>
  <c r="H56" i="14" s="1"/>
  <c r="K86" i="14"/>
  <c r="L86" i="14"/>
  <c r="M86" i="14"/>
  <c r="N86" i="14"/>
  <c r="O86" i="14"/>
  <c r="K87" i="14"/>
  <c r="L87" i="14"/>
  <c r="M87" i="14"/>
  <c r="N87" i="14"/>
  <c r="O87" i="14"/>
  <c r="K88" i="14"/>
  <c r="L88" i="14"/>
  <c r="M88" i="14"/>
  <c r="N88" i="14"/>
  <c r="O88" i="14"/>
  <c r="K89" i="14"/>
  <c r="L89" i="14"/>
  <c r="M89" i="14"/>
  <c r="N89" i="14"/>
  <c r="O89" i="14"/>
  <c r="K90" i="14"/>
  <c r="L90" i="14"/>
  <c r="M90" i="14"/>
  <c r="N90" i="14"/>
  <c r="O90" i="14"/>
  <c r="K91" i="14"/>
  <c r="L91" i="14"/>
  <c r="M91" i="14"/>
  <c r="N91" i="14"/>
  <c r="O91" i="14"/>
  <c r="K92" i="14"/>
  <c r="L92" i="14"/>
  <c r="M92" i="14"/>
  <c r="N92" i="14"/>
  <c r="O92" i="14"/>
  <c r="M104" i="14" l="1"/>
  <c r="N104" i="14"/>
  <c r="O104" i="14"/>
  <c r="P104" i="14"/>
  <c r="T41" i="14"/>
  <c r="T42" i="14"/>
  <c r="T43" i="14"/>
  <c r="T44" i="14"/>
  <c r="T45" i="14"/>
  <c r="T46" i="14"/>
  <c r="T47" i="14"/>
  <c r="T48" i="14"/>
  <c r="E41" i="14"/>
  <c r="F41" i="14"/>
  <c r="G41" i="14"/>
  <c r="H41" i="14" s="1"/>
  <c r="E42" i="14"/>
  <c r="F42" i="14"/>
  <c r="G42" i="14"/>
  <c r="H42" i="14" s="1"/>
  <c r="E43" i="14"/>
  <c r="F43" i="14"/>
  <c r="G43" i="14"/>
  <c r="H43" i="14" s="1"/>
  <c r="E44" i="14"/>
  <c r="F44" i="14"/>
  <c r="G44" i="14"/>
  <c r="H44" i="14" s="1"/>
  <c r="E45" i="14"/>
  <c r="F45" i="14"/>
  <c r="G45" i="14"/>
  <c r="H45" i="14" s="1"/>
  <c r="E46" i="14"/>
  <c r="F46" i="14"/>
  <c r="G46" i="14"/>
  <c r="H46" i="14" s="1"/>
  <c r="E47" i="14"/>
  <c r="F47" i="14"/>
  <c r="G47" i="14"/>
  <c r="H47" i="14" s="1"/>
  <c r="E48" i="14"/>
  <c r="F48" i="14"/>
  <c r="G48" i="14"/>
  <c r="H48" i="14" s="1"/>
  <c r="D41" i="14"/>
  <c r="U41" i="14" s="1"/>
  <c r="W41" i="14" s="1"/>
  <c r="D42" i="14"/>
  <c r="U42" i="14" s="1"/>
  <c r="W42" i="14" s="1"/>
  <c r="D43" i="14"/>
  <c r="U43" i="14" s="1"/>
  <c r="W43" i="14" s="1"/>
  <c r="D44" i="14"/>
  <c r="U44" i="14" s="1"/>
  <c r="W44" i="14" s="1"/>
  <c r="D45" i="14"/>
  <c r="U45" i="14" s="1"/>
  <c r="W45" i="14" s="1"/>
  <c r="D46" i="14"/>
  <c r="U46" i="14" s="1"/>
  <c r="W46" i="14" s="1"/>
  <c r="D47" i="14"/>
  <c r="U47" i="14" s="1"/>
  <c r="W47" i="14" s="1"/>
  <c r="D48" i="14"/>
  <c r="U48" i="14" s="1"/>
  <c r="W48" i="14" s="1"/>
  <c r="C41" i="14"/>
  <c r="C42" i="14"/>
  <c r="C43" i="14"/>
  <c r="C44" i="14"/>
  <c r="C45" i="14"/>
  <c r="C46" i="14"/>
  <c r="C47" i="14"/>
  <c r="C48" i="14"/>
  <c r="B42" i="14"/>
  <c r="B43" i="14"/>
  <c r="B44" i="14"/>
  <c r="B45" i="14"/>
  <c r="B46" i="14"/>
  <c r="B47" i="14"/>
  <c r="B48" i="14"/>
  <c r="B41" i="14"/>
  <c r="T104" i="14" l="1"/>
  <c r="C127" i="14"/>
  <c r="O102" i="14"/>
  <c r="T32" i="14"/>
  <c r="P32" i="14"/>
  <c r="T33" i="14"/>
  <c r="P33" i="14"/>
  <c r="T34" i="14"/>
  <c r="P34" i="14"/>
  <c r="T35" i="14"/>
  <c r="P35" i="14"/>
  <c r="T36" i="14"/>
  <c r="P36" i="14"/>
  <c r="T37" i="14"/>
  <c r="P37" i="14"/>
  <c r="T38" i="14"/>
  <c r="P38" i="14"/>
  <c r="T39" i="14"/>
  <c r="P39" i="14"/>
  <c r="T40" i="14"/>
  <c r="P40" i="14"/>
  <c r="B34" i="14" l="1"/>
  <c r="C34" i="14"/>
  <c r="D34" i="14"/>
  <c r="U34" i="14" s="1"/>
  <c r="W34" i="14" s="1"/>
  <c r="E34" i="14"/>
  <c r="F34" i="14"/>
  <c r="G34" i="14"/>
  <c r="H34" i="14" s="1"/>
  <c r="B35" i="14"/>
  <c r="C35" i="14"/>
  <c r="D35" i="14"/>
  <c r="U35" i="14" s="1"/>
  <c r="W35" i="14" s="1"/>
  <c r="E35" i="14"/>
  <c r="F35" i="14"/>
  <c r="G35" i="14"/>
  <c r="H35" i="14" s="1"/>
  <c r="B36" i="14"/>
  <c r="C36" i="14"/>
  <c r="D36" i="14"/>
  <c r="U36" i="14" s="1"/>
  <c r="W36" i="14" s="1"/>
  <c r="E36" i="14"/>
  <c r="F36" i="14"/>
  <c r="G36" i="14"/>
  <c r="H36" i="14" s="1"/>
  <c r="B37" i="14"/>
  <c r="C37" i="14"/>
  <c r="D37" i="14"/>
  <c r="U37" i="14" s="1"/>
  <c r="W37" i="14" s="1"/>
  <c r="E37" i="14"/>
  <c r="F37" i="14"/>
  <c r="G37" i="14"/>
  <c r="H37" i="14" s="1"/>
  <c r="B38" i="14"/>
  <c r="C38" i="14"/>
  <c r="D38" i="14"/>
  <c r="U38" i="14" s="1"/>
  <c r="W38" i="14" s="1"/>
  <c r="E38" i="14"/>
  <c r="F38" i="14"/>
  <c r="G38" i="14"/>
  <c r="H38" i="14" s="1"/>
  <c r="B39" i="14"/>
  <c r="C39" i="14"/>
  <c r="D39" i="14"/>
  <c r="U39" i="14" s="1"/>
  <c r="W39" i="14" s="1"/>
  <c r="E39" i="14"/>
  <c r="F39" i="14"/>
  <c r="G39" i="14"/>
  <c r="H39" i="14" s="1"/>
  <c r="B40" i="14"/>
  <c r="C40" i="14"/>
  <c r="D40" i="14"/>
  <c r="U40" i="14" s="1"/>
  <c r="W40" i="14" s="1"/>
  <c r="E40" i="14"/>
  <c r="F40" i="14"/>
  <c r="G40" i="14"/>
  <c r="H40" i="14" s="1"/>
  <c r="B33" i="14" l="1"/>
  <c r="C33" i="14"/>
  <c r="D33" i="14"/>
  <c r="U33" i="14" s="1"/>
  <c r="W33" i="14" s="1"/>
  <c r="E33" i="14"/>
  <c r="F33" i="14"/>
  <c r="G33" i="14"/>
  <c r="H33" i="14" s="1"/>
  <c r="K103" i="14" l="1"/>
  <c r="L103" i="14"/>
  <c r="V103" i="14" s="1"/>
  <c r="W103" i="14" s="1"/>
  <c r="M103" i="14"/>
  <c r="N103" i="14"/>
  <c r="O103" i="14"/>
  <c r="P103" i="14"/>
  <c r="B103" i="14"/>
  <c r="C103" i="14"/>
  <c r="T103" i="14" l="1"/>
  <c r="B16" i="14"/>
  <c r="C16" i="14"/>
  <c r="D16" i="14"/>
  <c r="U16" i="14" s="1"/>
  <c r="W16" i="14" s="1"/>
  <c r="E16" i="14"/>
  <c r="G16" i="14"/>
  <c r="H16" i="14" s="1"/>
  <c r="F16" i="14"/>
  <c r="T16" i="14"/>
  <c r="P16" i="14"/>
  <c r="B17" i="14"/>
  <c r="C17" i="14"/>
  <c r="D17" i="14"/>
  <c r="U17" i="14" s="1"/>
  <c r="W17" i="14" s="1"/>
  <c r="E17" i="14"/>
  <c r="G17" i="14"/>
  <c r="H17" i="14" s="1"/>
  <c r="F17" i="14"/>
  <c r="T17" i="14"/>
  <c r="P17" i="14"/>
  <c r="B18" i="14"/>
  <c r="C18" i="14"/>
  <c r="D18" i="14"/>
  <c r="U18" i="14" s="1"/>
  <c r="W18" i="14" s="1"/>
  <c r="E18" i="14"/>
  <c r="G18" i="14"/>
  <c r="H18" i="14" s="1"/>
  <c r="F18" i="14"/>
  <c r="T18" i="14"/>
  <c r="P18" i="14"/>
  <c r="B19" i="14"/>
  <c r="C19" i="14"/>
  <c r="D19" i="14"/>
  <c r="U19" i="14" s="1"/>
  <c r="W19" i="14" s="1"/>
  <c r="E19" i="14"/>
  <c r="G19" i="14"/>
  <c r="H19" i="14" s="1"/>
  <c r="F19" i="14"/>
  <c r="T19" i="14"/>
  <c r="P19" i="14"/>
  <c r="B20" i="14"/>
  <c r="C20" i="14"/>
  <c r="D20" i="14"/>
  <c r="U20" i="14" s="1"/>
  <c r="W20" i="14" s="1"/>
  <c r="E20" i="14"/>
  <c r="G20" i="14"/>
  <c r="H20" i="14" s="1"/>
  <c r="F20" i="14"/>
  <c r="T20" i="14"/>
  <c r="P20" i="14"/>
  <c r="B21" i="14"/>
  <c r="C21" i="14"/>
  <c r="D21" i="14"/>
  <c r="U21" i="14" s="1"/>
  <c r="W21" i="14" s="1"/>
  <c r="E21" i="14"/>
  <c r="G21" i="14"/>
  <c r="H21" i="14" s="1"/>
  <c r="F21" i="14"/>
  <c r="T21" i="14"/>
  <c r="P21" i="14"/>
  <c r="B22" i="14"/>
  <c r="C22" i="14"/>
  <c r="D22" i="14"/>
  <c r="U22" i="14" s="1"/>
  <c r="W22" i="14" s="1"/>
  <c r="E22" i="14"/>
  <c r="G22" i="14"/>
  <c r="H22" i="14" s="1"/>
  <c r="F22" i="14"/>
  <c r="T22" i="14"/>
  <c r="P22" i="14"/>
  <c r="B23" i="14"/>
  <c r="C23" i="14"/>
  <c r="D23" i="14"/>
  <c r="U23" i="14" s="1"/>
  <c r="W23" i="14" s="1"/>
  <c r="E23" i="14"/>
  <c r="G23" i="14"/>
  <c r="H23" i="14" s="1"/>
  <c r="F23" i="14"/>
  <c r="T23" i="14"/>
  <c r="P23" i="14"/>
  <c r="B24" i="14"/>
  <c r="C24" i="14"/>
  <c r="D24" i="14"/>
  <c r="U24" i="14" s="1"/>
  <c r="W24" i="14" s="1"/>
  <c r="E24" i="14"/>
  <c r="G24" i="14"/>
  <c r="H24" i="14" s="1"/>
  <c r="F24" i="14"/>
  <c r="T24" i="14"/>
  <c r="P24" i="14"/>
  <c r="B25" i="14"/>
  <c r="C25" i="14"/>
  <c r="D25" i="14"/>
  <c r="U25" i="14" s="1"/>
  <c r="W25" i="14" s="1"/>
  <c r="E25" i="14"/>
  <c r="G25" i="14"/>
  <c r="H25" i="14" s="1"/>
  <c r="F25" i="14"/>
  <c r="P25" i="14"/>
  <c r="B26" i="14"/>
  <c r="C26" i="14"/>
  <c r="D26" i="14"/>
  <c r="U26" i="14" s="1"/>
  <c r="W26" i="14" s="1"/>
  <c r="E26" i="14"/>
  <c r="G26" i="14"/>
  <c r="H26" i="14" s="1"/>
  <c r="F26" i="14"/>
  <c r="T26" i="14"/>
  <c r="P26" i="14"/>
  <c r="B27" i="14"/>
  <c r="C27" i="14"/>
  <c r="D27" i="14"/>
  <c r="U27" i="14" s="1"/>
  <c r="W27" i="14" s="1"/>
  <c r="E27" i="14"/>
  <c r="G27" i="14"/>
  <c r="H27" i="14" s="1"/>
  <c r="F27" i="14"/>
  <c r="T27" i="14"/>
  <c r="P27" i="14"/>
  <c r="B28" i="14"/>
  <c r="C28" i="14"/>
  <c r="D28" i="14"/>
  <c r="U28" i="14" s="1"/>
  <c r="W28" i="14" s="1"/>
  <c r="E28" i="14"/>
  <c r="G28" i="14"/>
  <c r="H28" i="14" s="1"/>
  <c r="F28" i="14"/>
  <c r="T28" i="14"/>
  <c r="P28" i="14"/>
  <c r="B29" i="14"/>
  <c r="C29" i="14"/>
  <c r="D29" i="14"/>
  <c r="U29" i="14" s="1"/>
  <c r="W29" i="14" s="1"/>
  <c r="E29" i="14"/>
  <c r="G29" i="14"/>
  <c r="H29" i="14" s="1"/>
  <c r="F29" i="14"/>
  <c r="T29" i="14"/>
  <c r="P29" i="14"/>
  <c r="B30" i="14"/>
  <c r="C30" i="14"/>
  <c r="D30" i="14"/>
  <c r="U30" i="14" s="1"/>
  <c r="W30" i="14" s="1"/>
  <c r="E30" i="14"/>
  <c r="G30" i="14"/>
  <c r="H30" i="14" s="1"/>
  <c r="F30" i="14"/>
  <c r="T30" i="14"/>
  <c r="P30" i="14"/>
  <c r="B31" i="14"/>
  <c r="C31" i="14"/>
  <c r="D31" i="14"/>
  <c r="U31" i="14" s="1"/>
  <c r="W31" i="14" s="1"/>
  <c r="E31" i="14"/>
  <c r="G31" i="14"/>
  <c r="H31" i="14" s="1"/>
  <c r="F31" i="14"/>
  <c r="T31" i="14"/>
  <c r="P31" i="14"/>
  <c r="B32" i="14"/>
  <c r="C32" i="14"/>
  <c r="D32" i="14"/>
  <c r="U32" i="14" s="1"/>
  <c r="W32" i="14" s="1"/>
  <c r="E32" i="14"/>
  <c r="G32" i="14"/>
  <c r="H32" i="14" s="1"/>
  <c r="F32" i="14"/>
  <c r="T25" i="14" l="1"/>
  <c r="G15" i="3"/>
  <c r="G16" i="3" s="1"/>
  <c r="G18" i="3"/>
  <c r="G43" i="3"/>
  <c r="G44" i="3" s="1"/>
  <c r="G42" i="3"/>
  <c r="G14" i="3"/>
  <c r="G39" i="3"/>
  <c r="G40" i="3" s="1"/>
  <c r="G38" i="3"/>
  <c r="G35" i="3"/>
  <c r="G36" i="3" s="1"/>
  <c r="G34" i="3"/>
  <c r="G31" i="3"/>
  <c r="G32" i="3" s="1"/>
  <c r="G30" i="3"/>
  <c r="G27" i="3"/>
  <c r="G28" i="3" s="1"/>
  <c r="G26" i="3"/>
  <c r="G23" i="3"/>
  <c r="G24" i="3" s="1"/>
  <c r="G22" i="3"/>
  <c r="G9" i="3"/>
  <c r="G10" i="3" s="1"/>
  <c r="G11" i="3" s="1"/>
  <c r="G19" i="3"/>
  <c r="G20" i="3" s="1"/>
  <c r="G8" i="3"/>
  <c r="K102" i="14"/>
  <c r="L102" i="14"/>
  <c r="V102" i="14" s="1"/>
  <c r="W102" i="14" s="1"/>
  <c r="M102" i="14"/>
  <c r="N102" i="14"/>
  <c r="T102" i="14" s="1"/>
  <c r="P102" i="14"/>
  <c r="B102" i="14"/>
  <c r="C102" i="14"/>
  <c r="B98" i="14" l="1"/>
  <c r="B99" i="14"/>
  <c r="B100" i="14"/>
  <c r="B101" i="14"/>
  <c r="K98" i="14" l="1"/>
  <c r="L98" i="14"/>
  <c r="V98" i="14" s="1"/>
  <c r="W98" i="14" s="1"/>
  <c r="M98" i="14"/>
  <c r="N98" i="14"/>
  <c r="O98" i="14"/>
  <c r="P98" i="14"/>
  <c r="C98" i="14"/>
  <c r="T98" i="14" l="1"/>
  <c r="C101" i="14"/>
  <c r="K101" i="14"/>
  <c r="L101" i="14"/>
  <c r="V101" i="14" s="1"/>
  <c r="W101" i="14" s="1"/>
  <c r="M101" i="14"/>
  <c r="N101" i="14"/>
  <c r="T101" i="14" s="1"/>
  <c r="O101" i="14"/>
  <c r="P101" i="14"/>
  <c r="H37" i="4" l="1"/>
  <c r="B12" i="14" l="1"/>
  <c r="C12" i="14"/>
  <c r="D12" i="14"/>
  <c r="U12" i="14" s="1"/>
  <c r="W12" i="14" s="1"/>
  <c r="E12" i="14"/>
  <c r="G12" i="14"/>
  <c r="H12" i="14" s="1"/>
  <c r="F12" i="14"/>
  <c r="T12" i="14"/>
  <c r="P12" i="14"/>
  <c r="B13" i="14"/>
  <c r="C13" i="14"/>
  <c r="D13" i="14"/>
  <c r="U13" i="14" s="1"/>
  <c r="W13" i="14" s="1"/>
  <c r="E13" i="14"/>
  <c r="G13" i="14"/>
  <c r="H13" i="14" s="1"/>
  <c r="F13" i="14"/>
  <c r="T13" i="14"/>
  <c r="P13" i="14"/>
  <c r="B14" i="14"/>
  <c r="C14" i="14"/>
  <c r="E14" i="14"/>
  <c r="G14" i="14"/>
  <c r="H14" i="14" s="1"/>
  <c r="F14" i="14"/>
  <c r="T14" i="14"/>
  <c r="P14" i="14"/>
  <c r="B15" i="14"/>
  <c r="C15" i="14"/>
  <c r="D15" i="14"/>
  <c r="U15" i="14" s="1"/>
  <c r="W15" i="14" s="1"/>
  <c r="E15" i="14"/>
  <c r="G15" i="14"/>
  <c r="H15" i="14" s="1"/>
  <c r="F15" i="14"/>
  <c r="T15" i="14"/>
  <c r="P15" i="14"/>
  <c r="B50" i="4" l="1"/>
  <c r="B51" i="4"/>
  <c r="B52" i="4"/>
  <c r="B53" i="4"/>
  <c r="B54" i="4"/>
  <c r="B57" i="4"/>
  <c r="B59" i="4"/>
  <c r="B60" i="4"/>
  <c r="B61" i="4"/>
  <c r="B67" i="4"/>
  <c r="B68" i="4"/>
  <c r="B69" i="4"/>
  <c r="B70"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49" i="4"/>
  <c r="B73" i="11"/>
  <c r="B74" i="11"/>
  <c r="B75" i="11"/>
  <c r="B76" i="11"/>
  <c r="B77" i="11"/>
  <c r="B78" i="11"/>
  <c r="B79" i="11"/>
  <c r="B80" i="11"/>
  <c r="B81" i="11"/>
  <c r="B72" i="11"/>
  <c r="B71" i="12"/>
  <c r="B72" i="12"/>
  <c r="B73" i="12"/>
  <c r="B74" i="12"/>
  <c r="B75" i="12"/>
  <c r="B76" i="12"/>
  <c r="B78" i="12"/>
  <c r="B79" i="12"/>
  <c r="B81" i="12"/>
  <c r="B82" i="12"/>
  <c r="B83" i="12"/>
  <c r="B85" i="12"/>
  <c r="B86" i="12"/>
  <c r="B87" i="12"/>
  <c r="B88" i="12"/>
  <c r="B70" i="12"/>
  <c r="B54" i="13"/>
  <c r="B55" i="13"/>
  <c r="B56" i="13"/>
  <c r="B57" i="13"/>
  <c r="B58" i="13"/>
  <c r="B59" i="13"/>
  <c r="B60" i="13"/>
  <c r="B61" i="13"/>
  <c r="B62" i="13"/>
  <c r="B63" i="13"/>
  <c r="B64" i="13"/>
  <c r="B67" i="13"/>
  <c r="B68" i="13"/>
  <c r="B53" i="13"/>
  <c r="C50" i="4" l="1"/>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49" i="4"/>
  <c r="I49" i="4"/>
  <c r="J49" i="4"/>
  <c r="K49" i="4"/>
  <c r="L49" i="4"/>
  <c r="M49" i="4"/>
  <c r="N49" i="4"/>
  <c r="O49" i="4"/>
  <c r="I50" i="4"/>
  <c r="J50" i="4"/>
  <c r="K50" i="4"/>
  <c r="L50" i="4"/>
  <c r="M50" i="4"/>
  <c r="N50" i="4"/>
  <c r="O50" i="4"/>
  <c r="I51" i="4"/>
  <c r="J51" i="4"/>
  <c r="K51" i="4"/>
  <c r="L51" i="4"/>
  <c r="M51" i="4"/>
  <c r="N51" i="4"/>
  <c r="O51" i="4"/>
  <c r="I52" i="4"/>
  <c r="J52" i="4"/>
  <c r="K52" i="4"/>
  <c r="L52" i="4"/>
  <c r="M52" i="4"/>
  <c r="N52" i="4"/>
  <c r="O52" i="4"/>
  <c r="I53" i="4"/>
  <c r="J53" i="4"/>
  <c r="K53" i="4"/>
  <c r="L53" i="4"/>
  <c r="M53" i="4"/>
  <c r="N53" i="4"/>
  <c r="O53" i="4"/>
  <c r="I54" i="4"/>
  <c r="J54" i="4"/>
  <c r="K54" i="4"/>
  <c r="L54" i="4"/>
  <c r="M54" i="4"/>
  <c r="N54" i="4"/>
  <c r="O54" i="4"/>
  <c r="I55" i="4"/>
  <c r="J55" i="4"/>
  <c r="K55" i="4"/>
  <c r="L55" i="4"/>
  <c r="M55" i="4"/>
  <c r="N55" i="4"/>
  <c r="O55" i="4"/>
  <c r="I56" i="4"/>
  <c r="J56" i="4"/>
  <c r="K56" i="4"/>
  <c r="L56" i="4"/>
  <c r="M56" i="4"/>
  <c r="N56" i="4"/>
  <c r="O56" i="4"/>
  <c r="I57" i="4"/>
  <c r="J57" i="4"/>
  <c r="K57" i="4"/>
  <c r="L57" i="4"/>
  <c r="M57" i="4"/>
  <c r="N57" i="4"/>
  <c r="O57" i="4"/>
  <c r="I58" i="4"/>
  <c r="J58" i="4"/>
  <c r="K58" i="4"/>
  <c r="L58" i="4"/>
  <c r="M58" i="4"/>
  <c r="N58" i="4"/>
  <c r="O58" i="4"/>
  <c r="I59" i="4"/>
  <c r="J59" i="4"/>
  <c r="K59" i="4"/>
  <c r="L59" i="4"/>
  <c r="M59" i="4"/>
  <c r="N59" i="4"/>
  <c r="O59" i="4"/>
  <c r="I60" i="4"/>
  <c r="J60" i="4"/>
  <c r="K60" i="4"/>
  <c r="L60" i="4"/>
  <c r="M60" i="4"/>
  <c r="N60" i="4"/>
  <c r="O60" i="4"/>
  <c r="I61" i="4"/>
  <c r="J61" i="4"/>
  <c r="K61" i="4"/>
  <c r="L61" i="4"/>
  <c r="M61" i="4"/>
  <c r="N61" i="4"/>
  <c r="O61" i="4"/>
  <c r="I62" i="4"/>
  <c r="J62" i="4"/>
  <c r="K62" i="4"/>
  <c r="L62" i="4"/>
  <c r="M62" i="4"/>
  <c r="N62" i="4"/>
  <c r="O62" i="4"/>
  <c r="I63" i="4"/>
  <c r="J63" i="4"/>
  <c r="K63" i="4"/>
  <c r="L63" i="4"/>
  <c r="M63" i="4"/>
  <c r="N63" i="4"/>
  <c r="O63" i="4"/>
  <c r="I64" i="4"/>
  <c r="J64" i="4"/>
  <c r="K64" i="4"/>
  <c r="L64" i="4"/>
  <c r="M64" i="4"/>
  <c r="N64" i="4"/>
  <c r="O64" i="4"/>
  <c r="I65" i="4"/>
  <c r="J65" i="4"/>
  <c r="K65" i="4"/>
  <c r="L65" i="4"/>
  <c r="M65" i="4"/>
  <c r="N65" i="4"/>
  <c r="O65" i="4"/>
  <c r="I66" i="4"/>
  <c r="J66" i="4"/>
  <c r="K66" i="4"/>
  <c r="L66" i="4"/>
  <c r="M66" i="4"/>
  <c r="N66" i="4"/>
  <c r="O66" i="4"/>
  <c r="I67" i="4"/>
  <c r="J67" i="4"/>
  <c r="K67" i="4"/>
  <c r="L67" i="4"/>
  <c r="M67" i="4"/>
  <c r="N67" i="4"/>
  <c r="O67" i="4"/>
  <c r="I68" i="4"/>
  <c r="J68" i="4"/>
  <c r="K68" i="4"/>
  <c r="L68" i="4"/>
  <c r="M68" i="4"/>
  <c r="N68" i="4"/>
  <c r="O68" i="4"/>
  <c r="I69" i="4"/>
  <c r="J69" i="4"/>
  <c r="K69" i="4"/>
  <c r="L69" i="4"/>
  <c r="M69" i="4"/>
  <c r="N69" i="4"/>
  <c r="O69" i="4"/>
  <c r="I70" i="4"/>
  <c r="J70" i="4"/>
  <c r="K70" i="4"/>
  <c r="L70" i="4"/>
  <c r="M70" i="4"/>
  <c r="N70" i="4"/>
  <c r="O70" i="4"/>
  <c r="I71" i="4"/>
  <c r="J71" i="4"/>
  <c r="K71" i="4"/>
  <c r="L71" i="4"/>
  <c r="M71" i="4"/>
  <c r="N71" i="4"/>
  <c r="O71" i="4"/>
  <c r="I72" i="4"/>
  <c r="J72" i="4"/>
  <c r="K72" i="4"/>
  <c r="L72" i="4"/>
  <c r="M72" i="4"/>
  <c r="N72" i="4"/>
  <c r="O72" i="4"/>
  <c r="I73" i="4"/>
  <c r="J73" i="4"/>
  <c r="K73" i="4"/>
  <c r="L73" i="4"/>
  <c r="M73" i="4"/>
  <c r="N73" i="4"/>
  <c r="O73" i="4"/>
  <c r="I74" i="4"/>
  <c r="J74" i="4"/>
  <c r="K74" i="4"/>
  <c r="L74" i="4"/>
  <c r="M74" i="4"/>
  <c r="N74" i="4"/>
  <c r="O74" i="4"/>
  <c r="I75" i="4"/>
  <c r="J75" i="4"/>
  <c r="K75" i="4"/>
  <c r="L75" i="4"/>
  <c r="M75" i="4"/>
  <c r="N75" i="4"/>
  <c r="O75" i="4"/>
  <c r="I76" i="4"/>
  <c r="J76" i="4"/>
  <c r="K76" i="4"/>
  <c r="L76" i="4"/>
  <c r="M76" i="4"/>
  <c r="N76" i="4"/>
  <c r="O76" i="4"/>
  <c r="I77" i="4"/>
  <c r="J77" i="4"/>
  <c r="K77" i="4"/>
  <c r="L77" i="4"/>
  <c r="M77" i="4"/>
  <c r="N77" i="4"/>
  <c r="O77" i="4"/>
  <c r="I78" i="4"/>
  <c r="J78" i="4"/>
  <c r="K78" i="4"/>
  <c r="L78" i="4"/>
  <c r="M78" i="4"/>
  <c r="N78" i="4"/>
  <c r="O78" i="4"/>
  <c r="I79" i="4"/>
  <c r="J79" i="4"/>
  <c r="K79" i="4"/>
  <c r="L79" i="4"/>
  <c r="M79" i="4"/>
  <c r="N79" i="4"/>
  <c r="O79" i="4"/>
  <c r="I80" i="4"/>
  <c r="J80" i="4"/>
  <c r="K80" i="4"/>
  <c r="L80" i="4"/>
  <c r="M80" i="4"/>
  <c r="N80" i="4"/>
  <c r="O80" i="4"/>
  <c r="I81" i="4"/>
  <c r="J81" i="4"/>
  <c r="K81" i="4"/>
  <c r="L81" i="4"/>
  <c r="M81" i="4"/>
  <c r="N81" i="4"/>
  <c r="O81" i="4"/>
  <c r="I82" i="4"/>
  <c r="J82" i="4"/>
  <c r="K82" i="4"/>
  <c r="L82" i="4"/>
  <c r="M82" i="4"/>
  <c r="N82" i="4"/>
  <c r="O82" i="4"/>
  <c r="I83" i="4"/>
  <c r="J83" i="4"/>
  <c r="K83" i="4"/>
  <c r="L83" i="4"/>
  <c r="M83" i="4"/>
  <c r="N83" i="4"/>
  <c r="O83" i="4"/>
  <c r="I84" i="4"/>
  <c r="J84" i="4"/>
  <c r="K84" i="4"/>
  <c r="L84" i="4"/>
  <c r="M84" i="4"/>
  <c r="N84" i="4"/>
  <c r="O84" i="4"/>
  <c r="I85" i="4"/>
  <c r="J85" i="4"/>
  <c r="K85" i="4"/>
  <c r="L85" i="4"/>
  <c r="M85" i="4"/>
  <c r="N85" i="4"/>
  <c r="O85" i="4"/>
  <c r="I86" i="4"/>
  <c r="J86" i="4"/>
  <c r="K86" i="4"/>
  <c r="L86" i="4"/>
  <c r="M86" i="4"/>
  <c r="N86" i="4"/>
  <c r="O86" i="4"/>
  <c r="I87" i="4"/>
  <c r="J87" i="4"/>
  <c r="K87" i="4"/>
  <c r="L87" i="4"/>
  <c r="M87" i="4"/>
  <c r="N87" i="4"/>
  <c r="O87" i="4"/>
  <c r="I88" i="4"/>
  <c r="J88" i="4"/>
  <c r="K88" i="4"/>
  <c r="L88" i="4"/>
  <c r="M88" i="4"/>
  <c r="N88" i="4"/>
  <c r="O88" i="4"/>
  <c r="I89" i="4"/>
  <c r="J89" i="4"/>
  <c r="K89" i="4"/>
  <c r="L89" i="4"/>
  <c r="M89" i="4"/>
  <c r="N89" i="4"/>
  <c r="O89" i="4"/>
  <c r="I90" i="4"/>
  <c r="J90" i="4"/>
  <c r="K90" i="4"/>
  <c r="L90" i="4"/>
  <c r="M90" i="4"/>
  <c r="N90" i="4"/>
  <c r="O90" i="4"/>
  <c r="I91" i="4"/>
  <c r="J91" i="4"/>
  <c r="K91" i="4"/>
  <c r="L91" i="4"/>
  <c r="M91" i="4"/>
  <c r="N91" i="4"/>
  <c r="O91" i="4"/>
  <c r="I92" i="4"/>
  <c r="J92" i="4"/>
  <c r="K92" i="4"/>
  <c r="L92" i="4"/>
  <c r="M92" i="4"/>
  <c r="N92" i="4"/>
  <c r="O92" i="4"/>
  <c r="I93" i="4"/>
  <c r="J93" i="4"/>
  <c r="K93" i="4"/>
  <c r="L93" i="4"/>
  <c r="M93" i="4"/>
  <c r="N93" i="4"/>
  <c r="O93" i="4"/>
  <c r="I94" i="4"/>
  <c r="J94" i="4"/>
  <c r="K94" i="4"/>
  <c r="L94" i="4"/>
  <c r="M94" i="4"/>
  <c r="N94" i="4"/>
  <c r="O94" i="4"/>
  <c r="I95" i="4"/>
  <c r="J95" i="4"/>
  <c r="K95" i="4"/>
  <c r="L95" i="4"/>
  <c r="M95" i="4"/>
  <c r="N95" i="4"/>
  <c r="O95" i="4"/>
  <c r="I96" i="4"/>
  <c r="J96" i="4"/>
  <c r="K96" i="4"/>
  <c r="L96" i="4"/>
  <c r="M96" i="4"/>
  <c r="N96" i="4"/>
  <c r="O96" i="4"/>
  <c r="I97" i="4"/>
  <c r="J97" i="4"/>
  <c r="K97" i="4"/>
  <c r="L97" i="4"/>
  <c r="M97" i="4"/>
  <c r="N97" i="4"/>
  <c r="O97" i="4"/>
  <c r="I98" i="4"/>
  <c r="J98" i="4"/>
  <c r="K98" i="4"/>
  <c r="L98" i="4"/>
  <c r="M98" i="4"/>
  <c r="N98" i="4"/>
  <c r="O98" i="4"/>
  <c r="I99" i="4"/>
  <c r="J99" i="4"/>
  <c r="K99" i="4"/>
  <c r="L99" i="4"/>
  <c r="M99" i="4"/>
  <c r="N99" i="4"/>
  <c r="O99" i="4"/>
  <c r="I100" i="4"/>
  <c r="J100" i="4"/>
  <c r="K100" i="4"/>
  <c r="L100" i="4"/>
  <c r="M100" i="4"/>
  <c r="N100" i="4"/>
  <c r="O100" i="4"/>
  <c r="I101" i="4"/>
  <c r="J101" i="4"/>
  <c r="K101" i="4"/>
  <c r="L101" i="4"/>
  <c r="M101" i="4"/>
  <c r="N101" i="4"/>
  <c r="O101" i="4"/>
  <c r="I102" i="4"/>
  <c r="J102" i="4"/>
  <c r="K102" i="4"/>
  <c r="L102" i="4"/>
  <c r="M102" i="4"/>
  <c r="N102" i="4"/>
  <c r="O102" i="4"/>
  <c r="I103" i="4"/>
  <c r="J103" i="4"/>
  <c r="K103" i="4"/>
  <c r="L103" i="4"/>
  <c r="M103" i="4"/>
  <c r="N103" i="4"/>
  <c r="O103" i="4"/>
  <c r="I104" i="4"/>
  <c r="J104" i="4"/>
  <c r="K104" i="4"/>
  <c r="L104" i="4"/>
  <c r="M104" i="4"/>
  <c r="N104" i="4"/>
  <c r="O104" i="4"/>
  <c r="I105" i="4"/>
  <c r="J105" i="4"/>
  <c r="K105" i="4"/>
  <c r="L105" i="4"/>
  <c r="M105" i="4"/>
  <c r="N105" i="4"/>
  <c r="O105" i="4"/>
  <c r="I106" i="4"/>
  <c r="J106" i="4"/>
  <c r="K106" i="4"/>
  <c r="L106" i="4"/>
  <c r="M106" i="4"/>
  <c r="N106" i="4"/>
  <c r="O106" i="4"/>
  <c r="I107" i="4"/>
  <c r="J107" i="4"/>
  <c r="K107" i="4"/>
  <c r="L107" i="4"/>
  <c r="M107" i="4"/>
  <c r="N107" i="4"/>
  <c r="O107" i="4"/>
  <c r="I108" i="4"/>
  <c r="J108" i="4"/>
  <c r="K108" i="4"/>
  <c r="L108" i="4"/>
  <c r="M108" i="4"/>
  <c r="N108" i="4"/>
  <c r="O108" i="4"/>
  <c r="I109" i="4"/>
  <c r="J109" i="4"/>
  <c r="K109" i="4"/>
  <c r="L109" i="4"/>
  <c r="M109" i="4"/>
  <c r="N109" i="4"/>
  <c r="O109" i="4"/>
  <c r="I110" i="4"/>
  <c r="J110" i="4"/>
  <c r="K110" i="4"/>
  <c r="L110" i="4"/>
  <c r="M110" i="4"/>
  <c r="N110" i="4"/>
  <c r="O110" i="4"/>
  <c r="I111" i="4"/>
  <c r="J111" i="4"/>
  <c r="K111" i="4"/>
  <c r="L111" i="4"/>
  <c r="M111" i="4"/>
  <c r="N111" i="4"/>
  <c r="O111" i="4"/>
  <c r="H5" i="4"/>
  <c r="I5" i="4" s="1"/>
  <c r="H6" i="4"/>
  <c r="N6" i="4" s="1"/>
  <c r="H7" i="4"/>
  <c r="N7" i="4" s="1"/>
  <c r="H8" i="4"/>
  <c r="N8" i="4" s="1"/>
  <c r="H9" i="4"/>
  <c r="N9" i="4" s="1"/>
  <c r="H10" i="4"/>
  <c r="N10" i="4" s="1"/>
  <c r="H11" i="4"/>
  <c r="N11" i="4" s="1"/>
  <c r="H12" i="4"/>
  <c r="N12" i="4" s="1"/>
  <c r="H13" i="4"/>
  <c r="N13" i="4" s="1"/>
  <c r="H14" i="4"/>
  <c r="N14" i="4" s="1"/>
  <c r="H15" i="4"/>
  <c r="N15" i="4" s="1"/>
  <c r="H16" i="4"/>
  <c r="N16" i="4" s="1"/>
  <c r="H17" i="4"/>
  <c r="N17" i="4" s="1"/>
  <c r="H18" i="4"/>
  <c r="N18" i="4" s="1"/>
  <c r="H19" i="4"/>
  <c r="N19" i="4" s="1"/>
  <c r="H20" i="4"/>
  <c r="N20" i="4" s="1"/>
  <c r="H21" i="4"/>
  <c r="N21" i="4" s="1"/>
  <c r="H22" i="4"/>
  <c r="N22" i="4" s="1"/>
  <c r="H23" i="4"/>
  <c r="N23" i="4" s="1"/>
  <c r="H24" i="4"/>
  <c r="N24" i="4" s="1"/>
  <c r="H25" i="4"/>
  <c r="N25" i="4" s="1"/>
  <c r="H26" i="4"/>
  <c r="N26" i="4" s="1"/>
  <c r="H27" i="4"/>
  <c r="N27" i="4" s="1"/>
  <c r="H28" i="4"/>
  <c r="N28" i="4" s="1"/>
  <c r="H29" i="4"/>
  <c r="N29" i="4" s="1"/>
  <c r="H30" i="4"/>
  <c r="N30" i="4" s="1"/>
  <c r="H31" i="4"/>
  <c r="N31" i="4" s="1"/>
  <c r="H32" i="4"/>
  <c r="N32" i="4" s="1"/>
  <c r="H33" i="4"/>
  <c r="N33" i="4" s="1"/>
  <c r="H34" i="4"/>
  <c r="N34" i="4" s="1"/>
  <c r="H35" i="4"/>
  <c r="N35" i="4" s="1"/>
  <c r="H36" i="4"/>
  <c r="N36" i="4" s="1"/>
  <c r="N37" i="4"/>
  <c r="H38" i="4"/>
  <c r="N38" i="4" s="1"/>
  <c r="H39" i="4"/>
  <c r="N39" i="4" s="1"/>
  <c r="H40" i="4"/>
  <c r="N40" i="4" s="1"/>
  <c r="H41" i="4"/>
  <c r="N41" i="4" s="1"/>
  <c r="H42" i="4"/>
  <c r="N42" i="4" s="1"/>
  <c r="H43" i="4"/>
  <c r="N43" i="4" s="1"/>
  <c r="H44" i="4"/>
  <c r="N44" i="4" s="1"/>
  <c r="H45" i="4"/>
  <c r="N45" i="4" s="1"/>
  <c r="H46" i="4"/>
  <c r="N46" i="4" s="1"/>
  <c r="H47" i="4"/>
  <c r="J47" i="4" s="1"/>
  <c r="H4" i="4"/>
  <c r="M4" i="4" s="1"/>
  <c r="C73" i="11"/>
  <c r="C74" i="11"/>
  <c r="C75" i="11"/>
  <c r="C76" i="11"/>
  <c r="C77" i="11"/>
  <c r="C78" i="11"/>
  <c r="C79" i="11"/>
  <c r="C80" i="11"/>
  <c r="C81" i="11"/>
  <c r="C72" i="11"/>
  <c r="I72" i="11"/>
  <c r="J72" i="11"/>
  <c r="K72" i="11"/>
  <c r="L72" i="11"/>
  <c r="M72" i="11"/>
  <c r="N72" i="11"/>
  <c r="O72" i="11"/>
  <c r="I73" i="11"/>
  <c r="J73" i="11"/>
  <c r="K73" i="11"/>
  <c r="L73" i="11"/>
  <c r="M73" i="11"/>
  <c r="N73" i="11"/>
  <c r="O73" i="11"/>
  <c r="I74" i="11"/>
  <c r="J74" i="11"/>
  <c r="K74" i="11"/>
  <c r="L74" i="11"/>
  <c r="M74" i="11"/>
  <c r="N74" i="11"/>
  <c r="O74" i="11"/>
  <c r="I75" i="11"/>
  <c r="J75" i="11"/>
  <c r="K75" i="11"/>
  <c r="L75" i="11"/>
  <c r="M75" i="11"/>
  <c r="N75" i="11"/>
  <c r="O75" i="11"/>
  <c r="I76" i="11"/>
  <c r="J76" i="11"/>
  <c r="K76" i="11"/>
  <c r="L76" i="11"/>
  <c r="M76" i="11"/>
  <c r="N76" i="11"/>
  <c r="O76" i="11"/>
  <c r="I77" i="11"/>
  <c r="J77" i="11"/>
  <c r="K77" i="11"/>
  <c r="L77" i="11"/>
  <c r="M77" i="11"/>
  <c r="N77" i="11"/>
  <c r="O77" i="11"/>
  <c r="I78" i="11"/>
  <c r="J78" i="11"/>
  <c r="K78" i="11"/>
  <c r="L78" i="11"/>
  <c r="M78" i="11"/>
  <c r="N78" i="11"/>
  <c r="O78" i="11"/>
  <c r="I79" i="11"/>
  <c r="J79" i="11"/>
  <c r="K79" i="11"/>
  <c r="L79" i="11"/>
  <c r="M79" i="11"/>
  <c r="N79" i="11"/>
  <c r="O79" i="11"/>
  <c r="I80" i="11"/>
  <c r="J80" i="11"/>
  <c r="K80" i="11"/>
  <c r="L80" i="11"/>
  <c r="M80" i="11"/>
  <c r="N80" i="11"/>
  <c r="O80" i="11"/>
  <c r="I81" i="11"/>
  <c r="J81" i="11"/>
  <c r="K81" i="11"/>
  <c r="L81" i="11"/>
  <c r="M81" i="11"/>
  <c r="N81" i="11"/>
  <c r="O81" i="11"/>
  <c r="H5" i="11"/>
  <c r="J5" i="11" s="1"/>
  <c r="H6" i="11"/>
  <c r="I6" i="11" s="1"/>
  <c r="H7" i="11"/>
  <c r="J7" i="11" s="1"/>
  <c r="H8" i="11"/>
  <c r="I8" i="11" s="1"/>
  <c r="H9" i="11"/>
  <c r="J9" i="11" s="1"/>
  <c r="H10" i="11"/>
  <c r="I10" i="11" s="1"/>
  <c r="H11" i="11"/>
  <c r="J11" i="11" s="1"/>
  <c r="H12" i="11"/>
  <c r="I12" i="11" s="1"/>
  <c r="H13" i="11"/>
  <c r="J13" i="11" s="1"/>
  <c r="H14" i="11"/>
  <c r="I14" i="11" s="1"/>
  <c r="H15" i="11"/>
  <c r="J15" i="11" s="1"/>
  <c r="H16" i="11"/>
  <c r="I16" i="11" s="1"/>
  <c r="H17" i="11"/>
  <c r="J17" i="11" s="1"/>
  <c r="H18" i="11"/>
  <c r="I18" i="11" s="1"/>
  <c r="H19" i="11"/>
  <c r="J19" i="11" s="1"/>
  <c r="H20" i="11"/>
  <c r="I20" i="11" s="1"/>
  <c r="H21" i="11"/>
  <c r="J21" i="11" s="1"/>
  <c r="H22" i="11"/>
  <c r="I22" i="11" s="1"/>
  <c r="H23" i="11"/>
  <c r="J23" i="11" s="1"/>
  <c r="H24" i="11"/>
  <c r="I24" i="11" s="1"/>
  <c r="H25" i="11"/>
  <c r="J25" i="11" s="1"/>
  <c r="H26" i="11"/>
  <c r="I26" i="11" s="1"/>
  <c r="H27" i="11"/>
  <c r="J27" i="11" s="1"/>
  <c r="H28" i="11"/>
  <c r="I28" i="11" s="1"/>
  <c r="H29" i="11"/>
  <c r="J29" i="11" s="1"/>
  <c r="H30" i="11"/>
  <c r="I30" i="11" s="1"/>
  <c r="H31" i="11"/>
  <c r="J31" i="11" s="1"/>
  <c r="H32" i="11"/>
  <c r="I32" i="11" s="1"/>
  <c r="H33" i="11"/>
  <c r="J33" i="11" s="1"/>
  <c r="H34" i="11"/>
  <c r="I34" i="11" s="1"/>
  <c r="H35" i="11"/>
  <c r="J35" i="11" s="1"/>
  <c r="H36" i="11"/>
  <c r="I36" i="11" s="1"/>
  <c r="H37" i="11"/>
  <c r="J37" i="11" s="1"/>
  <c r="H38" i="11"/>
  <c r="I38" i="11" s="1"/>
  <c r="H39" i="11"/>
  <c r="J39" i="11" s="1"/>
  <c r="H40" i="11"/>
  <c r="I40" i="11" s="1"/>
  <c r="H41" i="11"/>
  <c r="J41" i="11" s="1"/>
  <c r="H42" i="11"/>
  <c r="I42" i="11" s="1"/>
  <c r="H43" i="11"/>
  <c r="I43" i="11" s="1"/>
  <c r="H44" i="11"/>
  <c r="I44" i="11" s="1"/>
  <c r="H45" i="11"/>
  <c r="J45" i="11" s="1"/>
  <c r="H46" i="11"/>
  <c r="I46" i="11" s="1"/>
  <c r="H47" i="11"/>
  <c r="J47" i="11" s="1"/>
  <c r="H48" i="11"/>
  <c r="I48" i="11" s="1"/>
  <c r="H49" i="11"/>
  <c r="J49" i="11" s="1"/>
  <c r="H50" i="11"/>
  <c r="I50" i="11" s="1"/>
  <c r="H51" i="11"/>
  <c r="J51" i="11" s="1"/>
  <c r="H52" i="11"/>
  <c r="I52" i="11" s="1"/>
  <c r="H53" i="11"/>
  <c r="J53" i="11" s="1"/>
  <c r="H54" i="11"/>
  <c r="J54" i="11" s="1"/>
  <c r="H55" i="11"/>
  <c r="I55" i="11" s="1"/>
  <c r="H56" i="11"/>
  <c r="K56" i="11" s="1"/>
  <c r="H57" i="11"/>
  <c r="I57" i="11" s="1"/>
  <c r="H58" i="11"/>
  <c r="J58" i="11" s="1"/>
  <c r="H59" i="11"/>
  <c r="I59" i="11" s="1"/>
  <c r="H60" i="11"/>
  <c r="J60" i="11" s="1"/>
  <c r="H61" i="11"/>
  <c r="J61" i="11" s="1"/>
  <c r="H62" i="11"/>
  <c r="O62" i="11" s="1"/>
  <c r="H63" i="11"/>
  <c r="K63" i="11" s="1"/>
  <c r="H64" i="11"/>
  <c r="J64" i="11" s="1"/>
  <c r="H65" i="11"/>
  <c r="I65" i="11" s="1"/>
  <c r="H66" i="11"/>
  <c r="J66" i="11" s="1"/>
  <c r="H67" i="11"/>
  <c r="I67" i="11" s="1"/>
  <c r="H68" i="11"/>
  <c r="I68" i="11" s="1"/>
  <c r="H69" i="11"/>
  <c r="J69" i="11" s="1"/>
  <c r="H70" i="11"/>
  <c r="K70" i="11" s="1"/>
  <c r="H4" i="11"/>
  <c r="O4" i="11" s="1"/>
  <c r="C71" i="12"/>
  <c r="C72" i="12"/>
  <c r="C73" i="12"/>
  <c r="C74" i="12"/>
  <c r="C75" i="12"/>
  <c r="C76" i="12"/>
  <c r="C77" i="12"/>
  <c r="C78" i="12"/>
  <c r="C79" i="12"/>
  <c r="C80" i="12"/>
  <c r="C81" i="12"/>
  <c r="C82" i="12"/>
  <c r="C83" i="12"/>
  <c r="C84" i="12"/>
  <c r="C85" i="12"/>
  <c r="C86" i="12"/>
  <c r="C87" i="12"/>
  <c r="C88" i="12"/>
  <c r="C89" i="12"/>
  <c r="C70" i="12"/>
  <c r="I70" i="12"/>
  <c r="J70" i="12"/>
  <c r="K70" i="12"/>
  <c r="L70" i="12"/>
  <c r="M70" i="12"/>
  <c r="N70" i="12"/>
  <c r="O70" i="12"/>
  <c r="I71" i="12"/>
  <c r="J71" i="12"/>
  <c r="K71" i="12"/>
  <c r="L71" i="12"/>
  <c r="M71" i="12"/>
  <c r="N71" i="12"/>
  <c r="O71" i="12"/>
  <c r="I72" i="12"/>
  <c r="J72" i="12"/>
  <c r="K72" i="12"/>
  <c r="L72" i="12"/>
  <c r="M72" i="12"/>
  <c r="N72" i="12"/>
  <c r="O72" i="12"/>
  <c r="I73" i="12"/>
  <c r="J73" i="12"/>
  <c r="K73" i="12"/>
  <c r="L73" i="12"/>
  <c r="M73" i="12"/>
  <c r="N73" i="12"/>
  <c r="O73" i="12"/>
  <c r="I74" i="12"/>
  <c r="J74" i="12"/>
  <c r="K74" i="12"/>
  <c r="L74" i="12"/>
  <c r="M74" i="12"/>
  <c r="N74" i="12"/>
  <c r="O74" i="12"/>
  <c r="I75" i="12"/>
  <c r="J75" i="12"/>
  <c r="K75" i="12"/>
  <c r="L75" i="12"/>
  <c r="M75" i="12"/>
  <c r="N75" i="12"/>
  <c r="O75" i="12"/>
  <c r="I76" i="12"/>
  <c r="J76" i="12"/>
  <c r="K76" i="12"/>
  <c r="L76" i="12"/>
  <c r="M76" i="12"/>
  <c r="N76" i="12"/>
  <c r="O76" i="12"/>
  <c r="I77" i="12"/>
  <c r="J77" i="12"/>
  <c r="K77" i="12"/>
  <c r="L77" i="12"/>
  <c r="M77" i="12"/>
  <c r="N77" i="12"/>
  <c r="O77" i="12"/>
  <c r="I78" i="12"/>
  <c r="J78" i="12"/>
  <c r="K78" i="12"/>
  <c r="L78" i="12"/>
  <c r="M78" i="12"/>
  <c r="N78" i="12"/>
  <c r="O78" i="12"/>
  <c r="I79" i="12"/>
  <c r="J79" i="12"/>
  <c r="K79" i="12"/>
  <c r="L79" i="12"/>
  <c r="M79" i="12"/>
  <c r="N79" i="12"/>
  <c r="O79" i="12"/>
  <c r="I80" i="12"/>
  <c r="J80" i="12"/>
  <c r="K80" i="12"/>
  <c r="L80" i="12"/>
  <c r="M80" i="12"/>
  <c r="N80" i="12"/>
  <c r="O80" i="12"/>
  <c r="I81" i="12"/>
  <c r="J81" i="12"/>
  <c r="K81" i="12"/>
  <c r="L81" i="12"/>
  <c r="M81" i="12"/>
  <c r="N81" i="12"/>
  <c r="O81" i="12"/>
  <c r="I82" i="12"/>
  <c r="J82" i="12"/>
  <c r="K82" i="12"/>
  <c r="L82" i="12"/>
  <c r="M82" i="12"/>
  <c r="N82" i="12"/>
  <c r="O82" i="12"/>
  <c r="I83" i="12"/>
  <c r="J83" i="12"/>
  <c r="K83" i="12"/>
  <c r="L83" i="12"/>
  <c r="M83" i="12"/>
  <c r="N83" i="12"/>
  <c r="O83" i="12"/>
  <c r="I84" i="12"/>
  <c r="J84" i="12"/>
  <c r="K84" i="12"/>
  <c r="L84" i="12"/>
  <c r="M84" i="12"/>
  <c r="N84" i="12"/>
  <c r="O84" i="12"/>
  <c r="I85" i="12"/>
  <c r="J85" i="12"/>
  <c r="K85" i="12"/>
  <c r="L85" i="12"/>
  <c r="M85" i="12"/>
  <c r="N85" i="12"/>
  <c r="O85" i="12"/>
  <c r="I86" i="12"/>
  <c r="J86" i="12"/>
  <c r="K86" i="12"/>
  <c r="L86" i="12"/>
  <c r="M86" i="12"/>
  <c r="N86" i="12"/>
  <c r="O86" i="12"/>
  <c r="I87" i="12"/>
  <c r="J87" i="12"/>
  <c r="K87" i="12"/>
  <c r="L87" i="12"/>
  <c r="M87" i="12"/>
  <c r="N87" i="12"/>
  <c r="O87" i="12"/>
  <c r="I88" i="12"/>
  <c r="J88" i="12"/>
  <c r="K88" i="12"/>
  <c r="L88" i="12"/>
  <c r="M88" i="12"/>
  <c r="N88" i="12"/>
  <c r="O88" i="12"/>
  <c r="I89" i="12"/>
  <c r="J89" i="12"/>
  <c r="K89" i="12"/>
  <c r="L89" i="12"/>
  <c r="M89" i="12"/>
  <c r="N89" i="12"/>
  <c r="O89" i="12"/>
  <c r="I16" i="12"/>
  <c r="J16" i="12"/>
  <c r="K16" i="12"/>
  <c r="L16" i="12"/>
  <c r="M16" i="12"/>
  <c r="N16" i="12"/>
  <c r="O16" i="12"/>
  <c r="I64" i="12"/>
  <c r="J64" i="12"/>
  <c r="K64" i="12"/>
  <c r="L64" i="12"/>
  <c r="M64" i="12"/>
  <c r="N64" i="12"/>
  <c r="O64" i="12"/>
  <c r="H5" i="12"/>
  <c r="I5" i="12" s="1"/>
  <c r="H6" i="12"/>
  <c r="L6" i="12" s="1"/>
  <c r="H7" i="12"/>
  <c r="H8" i="12"/>
  <c r="K8" i="12" s="1"/>
  <c r="H9" i="12"/>
  <c r="I9" i="12" s="1"/>
  <c r="H10" i="12"/>
  <c r="I10" i="12" s="1"/>
  <c r="H11" i="12"/>
  <c r="M11" i="12" s="1"/>
  <c r="H12" i="12"/>
  <c r="H13" i="12"/>
  <c r="I13" i="12" s="1"/>
  <c r="H14" i="12"/>
  <c r="N14" i="12" s="1"/>
  <c r="H15" i="12"/>
  <c r="H17" i="12"/>
  <c r="J17" i="12" s="1"/>
  <c r="H18" i="12"/>
  <c r="I18" i="12" s="1"/>
  <c r="H19" i="12"/>
  <c r="J19" i="12" s="1"/>
  <c r="H20" i="12"/>
  <c r="N20" i="12" s="1"/>
  <c r="H21" i="12"/>
  <c r="L21" i="12" s="1"/>
  <c r="H22" i="12"/>
  <c r="J22" i="12" s="1"/>
  <c r="H23" i="12"/>
  <c r="J23" i="12" s="1"/>
  <c r="H24" i="12"/>
  <c r="O24" i="12" s="1"/>
  <c r="H25" i="12"/>
  <c r="O25" i="12" s="1"/>
  <c r="H26" i="12"/>
  <c r="I26" i="12" s="1"/>
  <c r="H27" i="12"/>
  <c r="N27" i="12" s="1"/>
  <c r="H28" i="12"/>
  <c r="N28" i="12" s="1"/>
  <c r="H29" i="12"/>
  <c r="N29" i="12" s="1"/>
  <c r="H30" i="12"/>
  <c r="J30" i="12" s="1"/>
  <c r="H31" i="12"/>
  <c r="N31" i="12" s="1"/>
  <c r="H32" i="12"/>
  <c r="I32" i="12" s="1"/>
  <c r="H33" i="12"/>
  <c r="L33" i="12" s="1"/>
  <c r="H34" i="12"/>
  <c r="K34" i="12" s="1"/>
  <c r="H35" i="12"/>
  <c r="I35" i="12" s="1"/>
  <c r="H36" i="12"/>
  <c r="N36" i="12" s="1"/>
  <c r="H37" i="12"/>
  <c r="K37" i="12" s="1"/>
  <c r="H38" i="12"/>
  <c r="J38" i="12" s="1"/>
  <c r="H39" i="12"/>
  <c r="H40" i="12"/>
  <c r="K40" i="12" s="1"/>
  <c r="H41" i="12"/>
  <c r="O41" i="12" s="1"/>
  <c r="H42" i="12"/>
  <c r="I42" i="12" s="1"/>
  <c r="H43" i="12"/>
  <c r="K43" i="12" s="1"/>
  <c r="H44" i="12"/>
  <c r="N44" i="12" s="1"/>
  <c r="H45" i="12"/>
  <c r="M45" i="12" s="1"/>
  <c r="H46" i="12"/>
  <c r="J46" i="12" s="1"/>
  <c r="H47" i="12"/>
  <c r="J47" i="12" s="1"/>
  <c r="H48" i="12"/>
  <c r="H49" i="12"/>
  <c r="J49" i="12" s="1"/>
  <c r="H50" i="12"/>
  <c r="I50" i="12" s="1"/>
  <c r="H51" i="12"/>
  <c r="I51" i="12" s="1"/>
  <c r="H52" i="12"/>
  <c r="N52" i="12" s="1"/>
  <c r="H53" i="12"/>
  <c r="H54" i="12"/>
  <c r="J54" i="12" s="1"/>
  <c r="H55" i="12"/>
  <c r="O55" i="12" s="1"/>
  <c r="H56" i="12"/>
  <c r="O56" i="12" s="1"/>
  <c r="H57" i="12"/>
  <c r="N57" i="12" s="1"/>
  <c r="H58" i="12"/>
  <c r="J58" i="12" s="1"/>
  <c r="H59" i="12"/>
  <c r="I59" i="12" s="1"/>
  <c r="H60" i="12"/>
  <c r="N60" i="12" s="1"/>
  <c r="H61" i="12"/>
  <c r="N61" i="12" s="1"/>
  <c r="H62" i="12"/>
  <c r="J62" i="12" s="1"/>
  <c r="M63" i="12"/>
  <c r="H65" i="12"/>
  <c r="O65" i="12" s="1"/>
  <c r="H66" i="12"/>
  <c r="H67" i="12"/>
  <c r="I67" i="12" s="1"/>
  <c r="H68" i="12"/>
  <c r="N68" i="12" s="1"/>
  <c r="H4" i="12"/>
  <c r="K58" i="11" l="1"/>
  <c r="J67" i="11"/>
  <c r="J56" i="11"/>
  <c r="I70" i="11"/>
  <c r="J59" i="11"/>
  <c r="O68" i="11"/>
  <c r="J68" i="11"/>
  <c r="J57" i="11"/>
  <c r="J70" i="11"/>
  <c r="I56" i="11"/>
  <c r="K62" i="11"/>
  <c r="I4" i="4"/>
  <c r="L51" i="12"/>
  <c r="O65" i="11"/>
  <c r="I62" i="11"/>
  <c r="J4" i="4"/>
  <c r="K27" i="12"/>
  <c r="N13" i="12"/>
  <c r="J65" i="11"/>
  <c r="K54" i="11"/>
  <c r="L4" i="4"/>
  <c r="N4" i="4"/>
  <c r="O70" i="11"/>
  <c r="K64" i="11"/>
  <c r="K53" i="11"/>
  <c r="O4" i="4"/>
  <c r="I64" i="11"/>
  <c r="O60" i="11"/>
  <c r="I53" i="11"/>
  <c r="N30" i="12"/>
  <c r="O67" i="11"/>
  <c r="J62" i="11"/>
  <c r="I60" i="11"/>
  <c r="O57" i="11"/>
  <c r="O54" i="11"/>
  <c r="J52" i="11"/>
  <c r="J48" i="11"/>
  <c r="J44" i="11"/>
  <c r="J40" i="11"/>
  <c r="J36" i="11"/>
  <c r="J32" i="11"/>
  <c r="J28" i="11"/>
  <c r="J24" i="11"/>
  <c r="J20" i="11"/>
  <c r="J16" i="11"/>
  <c r="J12" i="11"/>
  <c r="J8" i="11"/>
  <c r="N5" i="12"/>
  <c r="O59" i="11"/>
  <c r="I54" i="11"/>
  <c r="J43" i="11"/>
  <c r="O54" i="12"/>
  <c r="K66" i="11"/>
  <c r="L52" i="12"/>
  <c r="K68" i="11"/>
  <c r="I66" i="11"/>
  <c r="J50" i="11"/>
  <c r="J46" i="11"/>
  <c r="J42" i="11"/>
  <c r="J38" i="11"/>
  <c r="J34" i="11"/>
  <c r="J30" i="11"/>
  <c r="J26" i="11"/>
  <c r="J22" i="11"/>
  <c r="J18" i="11"/>
  <c r="J14" i="11"/>
  <c r="J10" i="11"/>
  <c r="J6" i="11"/>
  <c r="K51" i="12"/>
  <c r="K60" i="11"/>
  <c r="I58" i="11"/>
  <c r="N47" i="4"/>
  <c r="N5" i="4"/>
  <c r="I43" i="12"/>
  <c r="O52" i="11"/>
  <c r="I45" i="4"/>
  <c r="J45" i="4"/>
  <c r="K45" i="4"/>
  <c r="L45" i="4"/>
  <c r="M45" i="4"/>
  <c r="O45" i="4"/>
  <c r="I37" i="4"/>
  <c r="J37" i="4"/>
  <c r="K37" i="4"/>
  <c r="L37" i="4"/>
  <c r="M37" i="4"/>
  <c r="O37" i="4"/>
  <c r="I33" i="4"/>
  <c r="J33" i="4"/>
  <c r="K33" i="4"/>
  <c r="L33" i="4"/>
  <c r="M33" i="4"/>
  <c r="O33" i="4"/>
  <c r="I29" i="4"/>
  <c r="J29" i="4"/>
  <c r="K29" i="4"/>
  <c r="L29" i="4"/>
  <c r="M29" i="4"/>
  <c r="O29" i="4"/>
  <c r="I25" i="4"/>
  <c r="J25" i="4"/>
  <c r="K25" i="4"/>
  <c r="L25" i="4"/>
  <c r="M25" i="4"/>
  <c r="O25" i="4"/>
  <c r="I21" i="4"/>
  <c r="J21" i="4"/>
  <c r="K21" i="4"/>
  <c r="L21" i="4"/>
  <c r="M21" i="4"/>
  <c r="O21" i="4"/>
  <c r="I17" i="4"/>
  <c r="J17" i="4"/>
  <c r="K17" i="4"/>
  <c r="L17" i="4"/>
  <c r="M17" i="4"/>
  <c r="O17" i="4"/>
  <c r="I13" i="4"/>
  <c r="J13" i="4"/>
  <c r="K13" i="4"/>
  <c r="L13" i="4"/>
  <c r="M13" i="4"/>
  <c r="O13" i="4"/>
  <c r="I9" i="4"/>
  <c r="J9" i="4"/>
  <c r="K9" i="4"/>
  <c r="L9" i="4"/>
  <c r="M9" i="4"/>
  <c r="O9" i="4"/>
  <c r="I41" i="4"/>
  <c r="J41" i="4"/>
  <c r="K41" i="4"/>
  <c r="L41" i="4"/>
  <c r="M41" i="4"/>
  <c r="O41" i="4"/>
  <c r="I44" i="4"/>
  <c r="J44" i="4"/>
  <c r="K44" i="4"/>
  <c r="M44" i="4"/>
  <c r="L44" i="4"/>
  <c r="O44" i="4"/>
  <c r="I36" i="4"/>
  <c r="J36" i="4"/>
  <c r="K36" i="4"/>
  <c r="M36" i="4"/>
  <c r="L36" i="4"/>
  <c r="O36" i="4"/>
  <c r="I32" i="4"/>
  <c r="J32" i="4"/>
  <c r="K32" i="4"/>
  <c r="L32" i="4"/>
  <c r="M32" i="4"/>
  <c r="O32" i="4"/>
  <c r="I24" i="4"/>
  <c r="J24" i="4"/>
  <c r="K24" i="4"/>
  <c r="L24" i="4"/>
  <c r="M24" i="4"/>
  <c r="O24" i="4"/>
  <c r="I20" i="4"/>
  <c r="J20" i="4"/>
  <c r="K20" i="4"/>
  <c r="L20" i="4"/>
  <c r="M20" i="4"/>
  <c r="O20" i="4"/>
  <c r="I16" i="4"/>
  <c r="J16" i="4"/>
  <c r="K16" i="4"/>
  <c r="L16" i="4"/>
  <c r="M16" i="4"/>
  <c r="O16" i="4"/>
  <c r="I12" i="4"/>
  <c r="J12" i="4"/>
  <c r="K12" i="4"/>
  <c r="L12" i="4"/>
  <c r="M12" i="4"/>
  <c r="O12" i="4"/>
  <c r="I8" i="4"/>
  <c r="J8" i="4"/>
  <c r="K8" i="4"/>
  <c r="L8" i="4"/>
  <c r="M8" i="4"/>
  <c r="O8" i="4"/>
  <c r="I40" i="4"/>
  <c r="J40" i="4"/>
  <c r="K40" i="4"/>
  <c r="M40" i="4"/>
  <c r="L40" i="4"/>
  <c r="O40" i="4"/>
  <c r="I28" i="4"/>
  <c r="J28" i="4"/>
  <c r="K28" i="4"/>
  <c r="L28" i="4"/>
  <c r="M28" i="4"/>
  <c r="O28" i="4"/>
  <c r="I47" i="4"/>
  <c r="K47" i="4"/>
  <c r="L47" i="4"/>
  <c r="M47" i="4"/>
  <c r="O47" i="4"/>
  <c r="I43" i="4"/>
  <c r="J43" i="4"/>
  <c r="K43" i="4"/>
  <c r="L43" i="4"/>
  <c r="M43" i="4"/>
  <c r="O43" i="4"/>
  <c r="I39" i="4"/>
  <c r="J39" i="4"/>
  <c r="K39" i="4"/>
  <c r="L39" i="4"/>
  <c r="M39" i="4"/>
  <c r="O39" i="4"/>
  <c r="I35" i="4"/>
  <c r="J35" i="4"/>
  <c r="K35" i="4"/>
  <c r="L35" i="4"/>
  <c r="M35" i="4"/>
  <c r="O35" i="4"/>
  <c r="I31" i="4"/>
  <c r="J31" i="4"/>
  <c r="K31" i="4"/>
  <c r="M31" i="4"/>
  <c r="L31" i="4"/>
  <c r="O31" i="4"/>
  <c r="I27" i="4"/>
  <c r="J27" i="4"/>
  <c r="K27" i="4"/>
  <c r="L27" i="4"/>
  <c r="M27" i="4"/>
  <c r="O27" i="4"/>
  <c r="I23" i="4"/>
  <c r="J23" i="4"/>
  <c r="K23" i="4"/>
  <c r="L23" i="4"/>
  <c r="M23" i="4"/>
  <c r="O23" i="4"/>
  <c r="I19" i="4"/>
  <c r="J19" i="4"/>
  <c r="K19" i="4"/>
  <c r="L19" i="4"/>
  <c r="M19" i="4"/>
  <c r="O19" i="4"/>
  <c r="I15" i="4"/>
  <c r="J15" i="4"/>
  <c r="K15" i="4"/>
  <c r="L15" i="4"/>
  <c r="M15" i="4"/>
  <c r="O15" i="4"/>
  <c r="I11" i="4"/>
  <c r="J11" i="4"/>
  <c r="K11" i="4"/>
  <c r="L11" i="4"/>
  <c r="M11" i="4"/>
  <c r="O11" i="4"/>
  <c r="I7" i="4"/>
  <c r="J7" i="4"/>
  <c r="K7" i="4"/>
  <c r="L7" i="4"/>
  <c r="M7" i="4"/>
  <c r="O7" i="4"/>
  <c r="I46" i="4"/>
  <c r="J46" i="4"/>
  <c r="K46" i="4"/>
  <c r="L46" i="4"/>
  <c r="M46" i="4"/>
  <c r="O46" i="4"/>
  <c r="I42" i="4"/>
  <c r="J42" i="4"/>
  <c r="K42" i="4"/>
  <c r="L42" i="4"/>
  <c r="M42" i="4"/>
  <c r="O42" i="4"/>
  <c r="I38" i="4"/>
  <c r="J38" i="4"/>
  <c r="K38" i="4"/>
  <c r="L38" i="4"/>
  <c r="M38" i="4"/>
  <c r="O38" i="4"/>
  <c r="I34" i="4"/>
  <c r="J34" i="4"/>
  <c r="K34" i="4"/>
  <c r="M34" i="4"/>
  <c r="L34" i="4"/>
  <c r="O34" i="4"/>
  <c r="I30" i="4"/>
  <c r="J30" i="4"/>
  <c r="K30" i="4"/>
  <c r="L30" i="4"/>
  <c r="M30" i="4"/>
  <c r="O30" i="4"/>
  <c r="I26" i="4"/>
  <c r="J26" i="4"/>
  <c r="K26" i="4"/>
  <c r="M26" i="4"/>
  <c r="L26" i="4"/>
  <c r="O26" i="4"/>
  <c r="I22" i="4"/>
  <c r="J22" i="4"/>
  <c r="K22" i="4"/>
  <c r="L22" i="4"/>
  <c r="M22" i="4"/>
  <c r="O22" i="4"/>
  <c r="I18" i="4"/>
  <c r="J18" i="4"/>
  <c r="K18" i="4"/>
  <c r="L18" i="4"/>
  <c r="M18" i="4"/>
  <c r="O18" i="4"/>
  <c r="I14" i="4"/>
  <c r="J14" i="4"/>
  <c r="K14" i="4"/>
  <c r="L14" i="4"/>
  <c r="M14" i="4"/>
  <c r="O14" i="4"/>
  <c r="I10" i="4"/>
  <c r="J10" i="4"/>
  <c r="K10" i="4"/>
  <c r="L10" i="4"/>
  <c r="M10" i="4"/>
  <c r="O10" i="4"/>
  <c r="I6" i="4"/>
  <c r="J6" i="4"/>
  <c r="K6" i="4"/>
  <c r="M6" i="4"/>
  <c r="L6" i="4"/>
  <c r="O6" i="4"/>
  <c r="O5" i="4"/>
  <c r="M5" i="4"/>
  <c r="L5" i="4"/>
  <c r="K5" i="4"/>
  <c r="J5" i="4"/>
  <c r="K4" i="4"/>
  <c r="L51" i="11"/>
  <c r="M51" i="11"/>
  <c r="N51" i="11"/>
  <c r="O51" i="11"/>
  <c r="L45" i="11"/>
  <c r="M45" i="11"/>
  <c r="N45" i="11"/>
  <c r="O45" i="11"/>
  <c r="L41" i="11"/>
  <c r="O41" i="11"/>
  <c r="M41" i="11"/>
  <c r="N41" i="11"/>
  <c r="L39" i="11"/>
  <c r="M39" i="11"/>
  <c r="N39" i="11"/>
  <c r="O39" i="11"/>
  <c r="L37" i="11"/>
  <c r="M37" i="11"/>
  <c r="O37" i="11"/>
  <c r="N37" i="11"/>
  <c r="L35" i="11"/>
  <c r="O35" i="11"/>
  <c r="M35" i="11"/>
  <c r="N35" i="11"/>
  <c r="L33" i="11"/>
  <c r="M33" i="11"/>
  <c r="N33" i="11"/>
  <c r="O33" i="11"/>
  <c r="L31" i="11"/>
  <c r="O31" i="11"/>
  <c r="M31" i="11"/>
  <c r="N31" i="11"/>
  <c r="L29" i="11"/>
  <c r="M29" i="11"/>
  <c r="O29" i="11"/>
  <c r="N29" i="11"/>
  <c r="L27" i="11"/>
  <c r="O27" i="11"/>
  <c r="M27" i="11"/>
  <c r="N27" i="11"/>
  <c r="L25" i="11"/>
  <c r="M25" i="11"/>
  <c r="N25" i="11"/>
  <c r="O25" i="11"/>
  <c r="L23" i="11"/>
  <c r="M23" i="11"/>
  <c r="N23" i="11"/>
  <c r="O23" i="11"/>
  <c r="L21" i="11"/>
  <c r="M21" i="11"/>
  <c r="O21" i="11"/>
  <c r="N21" i="11"/>
  <c r="L19" i="11"/>
  <c r="M19" i="11"/>
  <c r="N19" i="11"/>
  <c r="O19" i="11"/>
  <c r="L17" i="11"/>
  <c r="M17" i="11"/>
  <c r="N17" i="11"/>
  <c r="O17" i="11"/>
  <c r="L15" i="11"/>
  <c r="M15" i="11"/>
  <c r="N15" i="11"/>
  <c r="O15" i="11"/>
  <c r="L13" i="11"/>
  <c r="M13" i="11"/>
  <c r="N13" i="11"/>
  <c r="O13" i="11"/>
  <c r="L11" i="11"/>
  <c r="M11" i="11"/>
  <c r="N11" i="11"/>
  <c r="O11" i="11"/>
  <c r="L9" i="11"/>
  <c r="M9" i="11"/>
  <c r="N9" i="11"/>
  <c r="O9" i="11"/>
  <c r="L7" i="11"/>
  <c r="O7" i="11"/>
  <c r="M7" i="11"/>
  <c r="N7" i="11"/>
  <c r="L5" i="11"/>
  <c r="M5" i="11"/>
  <c r="N5" i="11"/>
  <c r="O5" i="11"/>
  <c r="K65" i="11"/>
  <c r="L64" i="11"/>
  <c r="M64" i="11"/>
  <c r="N64" i="11"/>
  <c r="K57" i="11"/>
  <c r="L56" i="11"/>
  <c r="M56" i="11"/>
  <c r="N56" i="11"/>
  <c r="K52" i="11"/>
  <c r="K50" i="11"/>
  <c r="K48" i="11"/>
  <c r="K46" i="11"/>
  <c r="K44" i="11"/>
  <c r="K42" i="11"/>
  <c r="K40" i="11"/>
  <c r="K38" i="11"/>
  <c r="K36" i="11"/>
  <c r="K34" i="11"/>
  <c r="K32" i="11"/>
  <c r="K30" i="11"/>
  <c r="K28" i="11"/>
  <c r="K26" i="11"/>
  <c r="K24" i="11"/>
  <c r="K22" i="11"/>
  <c r="K20" i="11"/>
  <c r="K18" i="11"/>
  <c r="K16" i="11"/>
  <c r="K14" i="11"/>
  <c r="K12" i="11"/>
  <c r="K10" i="11"/>
  <c r="K8" i="11"/>
  <c r="K6" i="11"/>
  <c r="L67" i="11"/>
  <c r="M67" i="11"/>
  <c r="N67" i="11"/>
  <c r="L70" i="11"/>
  <c r="M70" i="11"/>
  <c r="N70" i="11"/>
  <c r="O66" i="11"/>
  <c r="L62" i="11"/>
  <c r="M62" i="11"/>
  <c r="N62" i="11"/>
  <c r="O58" i="11"/>
  <c r="K55" i="11"/>
  <c r="L54" i="11"/>
  <c r="M54" i="11"/>
  <c r="N54" i="11"/>
  <c r="L63" i="11"/>
  <c r="M63" i="11"/>
  <c r="N63" i="11"/>
  <c r="L69" i="11"/>
  <c r="M69" i="11"/>
  <c r="N69" i="11"/>
  <c r="L47" i="11"/>
  <c r="O47" i="11"/>
  <c r="M47" i="11"/>
  <c r="N47" i="11"/>
  <c r="O63" i="11"/>
  <c r="L59" i="11"/>
  <c r="M59" i="11"/>
  <c r="N59" i="11"/>
  <c r="O69" i="11"/>
  <c r="L50" i="11"/>
  <c r="O50" i="11"/>
  <c r="M50" i="11"/>
  <c r="N50" i="11"/>
  <c r="L46" i="11"/>
  <c r="M46" i="11"/>
  <c r="O46" i="11"/>
  <c r="N46" i="11"/>
  <c r="L42" i="11"/>
  <c r="M42" i="11"/>
  <c r="O42" i="11"/>
  <c r="N42" i="11"/>
  <c r="L38" i="11"/>
  <c r="O38" i="11"/>
  <c r="M38" i="11"/>
  <c r="N38" i="11"/>
  <c r="L34" i="11"/>
  <c r="M34" i="11"/>
  <c r="O34" i="11"/>
  <c r="N34" i="11"/>
  <c r="L28" i="11"/>
  <c r="M28" i="11"/>
  <c r="N28" i="11"/>
  <c r="O28" i="11"/>
  <c r="L24" i="11"/>
  <c r="M24" i="11"/>
  <c r="O24" i="11"/>
  <c r="N24" i="11"/>
  <c r="L20" i="11"/>
  <c r="M20" i="11"/>
  <c r="O20" i="11"/>
  <c r="N20" i="11"/>
  <c r="L18" i="11"/>
  <c r="M18" i="11"/>
  <c r="O18" i="11"/>
  <c r="N18" i="11"/>
  <c r="L14" i="11"/>
  <c r="M14" i="11"/>
  <c r="O14" i="11"/>
  <c r="N14" i="11"/>
  <c r="L12" i="11"/>
  <c r="M12" i="11"/>
  <c r="O12" i="11"/>
  <c r="N12" i="11"/>
  <c r="L10" i="11"/>
  <c r="M10" i="11"/>
  <c r="O10" i="11"/>
  <c r="N10" i="11"/>
  <c r="L8" i="11"/>
  <c r="M8" i="11"/>
  <c r="O8" i="11"/>
  <c r="N8" i="11"/>
  <c r="L6" i="11"/>
  <c r="M6" i="11"/>
  <c r="O6" i="11"/>
  <c r="N6" i="11"/>
  <c r="L61" i="11"/>
  <c r="M61" i="11"/>
  <c r="N61" i="11"/>
  <c r="L49" i="11"/>
  <c r="M49" i="11"/>
  <c r="O49" i="11"/>
  <c r="N49" i="11"/>
  <c r="O55" i="11"/>
  <c r="L65" i="11"/>
  <c r="M65" i="11"/>
  <c r="N65" i="11"/>
  <c r="J63" i="11"/>
  <c r="O61" i="11"/>
  <c r="L57" i="11"/>
  <c r="M57" i="11"/>
  <c r="N57" i="11"/>
  <c r="J55" i="11"/>
  <c r="L52" i="11"/>
  <c r="M52" i="11"/>
  <c r="N52" i="11"/>
  <c r="L48" i="11"/>
  <c r="M48" i="11"/>
  <c r="N48" i="11"/>
  <c r="O48" i="11"/>
  <c r="L44" i="11"/>
  <c r="O44" i="11"/>
  <c r="M44" i="11"/>
  <c r="N44" i="11"/>
  <c r="L40" i="11"/>
  <c r="M40" i="11"/>
  <c r="O40" i="11"/>
  <c r="N40" i="11"/>
  <c r="L36" i="11"/>
  <c r="M36" i="11"/>
  <c r="N36" i="11"/>
  <c r="O36" i="11"/>
  <c r="L32" i="11"/>
  <c r="M32" i="11"/>
  <c r="O32" i="11"/>
  <c r="N32" i="11"/>
  <c r="L30" i="11"/>
  <c r="M30" i="11"/>
  <c r="N30" i="11"/>
  <c r="O30" i="11"/>
  <c r="L26" i="11"/>
  <c r="M26" i="11"/>
  <c r="O26" i="11"/>
  <c r="N26" i="11"/>
  <c r="L22" i="11"/>
  <c r="O22" i="11"/>
  <c r="M22" i="11"/>
  <c r="N22" i="11"/>
  <c r="L16" i="11"/>
  <c r="M16" i="11"/>
  <c r="O16" i="11"/>
  <c r="N16" i="11"/>
  <c r="K69" i="11"/>
  <c r="L68" i="11"/>
  <c r="M68" i="11"/>
  <c r="N68" i="11"/>
  <c r="O64" i="11"/>
  <c r="I63" i="11"/>
  <c r="K61" i="11"/>
  <c r="L60" i="11"/>
  <c r="M60" i="11"/>
  <c r="N60" i="11"/>
  <c r="O56" i="11"/>
  <c r="K51" i="11"/>
  <c r="K49" i="11"/>
  <c r="K47" i="11"/>
  <c r="K45" i="11"/>
  <c r="K43" i="11"/>
  <c r="K41" i="11"/>
  <c r="K39" i="11"/>
  <c r="K37" i="11"/>
  <c r="K35" i="11"/>
  <c r="K33" i="11"/>
  <c r="K31" i="11"/>
  <c r="K29" i="11"/>
  <c r="K27" i="11"/>
  <c r="K25" i="11"/>
  <c r="K23" i="11"/>
  <c r="K21" i="11"/>
  <c r="K19" i="11"/>
  <c r="K17" i="11"/>
  <c r="K15" i="11"/>
  <c r="K13" i="11"/>
  <c r="K11" i="11"/>
  <c r="K9" i="11"/>
  <c r="K7" i="11"/>
  <c r="K5" i="11"/>
  <c r="L55" i="11"/>
  <c r="M55" i="11"/>
  <c r="N55" i="11"/>
  <c r="I69" i="11"/>
  <c r="K67" i="11"/>
  <c r="L66" i="11"/>
  <c r="M66" i="11"/>
  <c r="N66" i="11"/>
  <c r="I61" i="11"/>
  <c r="K59" i="11"/>
  <c r="L58" i="11"/>
  <c r="M58" i="11"/>
  <c r="N58" i="11"/>
  <c r="L53" i="11"/>
  <c r="O53" i="11"/>
  <c r="M53" i="11"/>
  <c r="N53" i="11"/>
  <c r="I51" i="11"/>
  <c r="I49" i="11"/>
  <c r="I47" i="11"/>
  <c r="I45" i="11"/>
  <c r="I41" i="11"/>
  <c r="I39" i="11"/>
  <c r="I37" i="11"/>
  <c r="I35" i="11"/>
  <c r="I33" i="11"/>
  <c r="I31" i="11"/>
  <c r="I29" i="11"/>
  <c r="I27" i="11"/>
  <c r="I25" i="11"/>
  <c r="I23" i="11"/>
  <c r="I21" i="11"/>
  <c r="I19" i="11"/>
  <c r="I17" i="11"/>
  <c r="I15" i="11"/>
  <c r="I13" i="11"/>
  <c r="I11" i="11"/>
  <c r="I9" i="11"/>
  <c r="I7" i="11"/>
  <c r="I5" i="11"/>
  <c r="L43" i="11"/>
  <c r="M43" i="11"/>
  <c r="N43" i="11"/>
  <c r="O43" i="11"/>
  <c r="J4" i="11"/>
  <c r="K4" i="11"/>
  <c r="I4" i="11"/>
  <c r="L4" i="11"/>
  <c r="M4" i="11"/>
  <c r="N4" i="11"/>
  <c r="K18" i="12"/>
  <c r="M42" i="12"/>
  <c r="O68" i="12"/>
  <c r="K42" i="12"/>
  <c r="K68" i="12"/>
  <c r="K59" i="12"/>
  <c r="O30" i="12"/>
  <c r="L62" i="12"/>
  <c r="K44" i="12"/>
  <c r="O36" i="12"/>
  <c r="I20" i="12"/>
  <c r="L59" i="12"/>
  <c r="J44" i="12"/>
  <c r="M36" i="12"/>
  <c r="L19" i="12"/>
  <c r="M30" i="12"/>
  <c r="M38" i="12"/>
  <c r="L5" i="12"/>
  <c r="O62" i="12"/>
  <c r="K38" i="12"/>
  <c r="O22" i="12"/>
  <c r="M62" i="12"/>
  <c r="I46" i="12"/>
  <c r="I38" i="12"/>
  <c r="N22" i="12"/>
  <c r="M5" i="12"/>
  <c r="I65" i="12"/>
  <c r="O63" i="12"/>
  <c r="J61" i="12"/>
  <c r="K54" i="12"/>
  <c r="L46" i="12"/>
  <c r="O38" i="12"/>
  <c r="J35" i="12"/>
  <c r="M28" i="12"/>
  <c r="M20" i="12"/>
  <c r="O11" i="12"/>
  <c r="N63" i="12"/>
  <c r="L60" i="12"/>
  <c r="I54" i="12"/>
  <c r="K46" i="12"/>
  <c r="N38" i="12"/>
  <c r="I34" i="12"/>
  <c r="I28" i="12"/>
  <c r="L20" i="12"/>
  <c r="J11" i="12"/>
  <c r="K62" i="12"/>
  <c r="N54" i="12"/>
  <c r="O46" i="12"/>
  <c r="L30" i="12"/>
  <c r="M22" i="12"/>
  <c r="M13" i="12"/>
  <c r="K5" i="12"/>
  <c r="L13" i="12"/>
  <c r="J5" i="12"/>
  <c r="L54" i="12"/>
  <c r="M46" i="12"/>
  <c r="J36" i="12"/>
  <c r="I30" i="12"/>
  <c r="K22" i="12"/>
  <c r="K13" i="12"/>
  <c r="I62" i="12"/>
  <c r="M54" i="12"/>
  <c r="N46" i="12"/>
  <c r="K30" i="12"/>
  <c r="L22" i="12"/>
  <c r="O60" i="12"/>
  <c r="J59" i="12"/>
  <c r="O52" i="12"/>
  <c r="J51" i="12"/>
  <c r="I44" i="12"/>
  <c r="L36" i="12"/>
  <c r="J27" i="12"/>
  <c r="K20" i="12"/>
  <c r="J10" i="12"/>
  <c r="N62" i="12"/>
  <c r="M60" i="12"/>
  <c r="K56" i="12"/>
  <c r="M52" i="12"/>
  <c r="N47" i="12"/>
  <c r="N45" i="12"/>
  <c r="N43" i="12"/>
  <c r="L38" i="12"/>
  <c r="K36" i="12"/>
  <c r="O31" i="12"/>
  <c r="O28" i="12"/>
  <c r="I27" i="12"/>
  <c r="I22" i="12"/>
  <c r="J20" i="12"/>
  <c r="J13" i="12"/>
  <c r="M6" i="12"/>
  <c r="M47" i="12"/>
  <c r="L45" i="12"/>
  <c r="M23" i="12"/>
  <c r="N21" i="12"/>
  <c r="K60" i="12"/>
  <c r="K52" i="12"/>
  <c r="O44" i="12"/>
  <c r="I36" i="12"/>
  <c r="L28" i="12"/>
  <c r="M21" i="12"/>
  <c r="N11" i="12"/>
  <c r="J68" i="12"/>
  <c r="J60" i="12"/>
  <c r="J52" i="12"/>
  <c r="M44" i="12"/>
  <c r="L37" i="12"/>
  <c r="N35" i="12"/>
  <c r="K28" i="12"/>
  <c r="K21" i="12"/>
  <c r="L11" i="12"/>
  <c r="I68" i="12"/>
  <c r="I60" i="12"/>
  <c r="I52" i="12"/>
  <c r="L44" i="12"/>
  <c r="O40" i="12"/>
  <c r="L35" i="12"/>
  <c r="J28" i="12"/>
  <c r="O20" i="12"/>
  <c r="J18" i="12"/>
  <c r="K11" i="12"/>
  <c r="I11" i="12"/>
  <c r="L57" i="12"/>
  <c r="I49" i="12"/>
  <c r="J42" i="12"/>
  <c r="K35" i="12"/>
  <c r="M26" i="12"/>
  <c r="N19" i="12"/>
  <c r="O14" i="12"/>
  <c r="I8" i="12"/>
  <c r="N66" i="12"/>
  <c r="L66" i="12"/>
  <c r="M33" i="12"/>
  <c r="N33" i="12"/>
  <c r="K33" i="12"/>
  <c r="M66" i="12"/>
  <c r="L49" i="12"/>
  <c r="L48" i="12"/>
  <c r="M48" i="12"/>
  <c r="J48" i="12"/>
  <c r="L32" i="12"/>
  <c r="M32" i="12"/>
  <c r="J32" i="12"/>
  <c r="L24" i="12"/>
  <c r="M24" i="12"/>
  <c r="J24" i="12"/>
  <c r="K7" i="12"/>
  <c r="L7" i="12"/>
  <c r="I7" i="12"/>
  <c r="I56" i="12"/>
  <c r="K63" i="12"/>
  <c r="I63" i="12"/>
  <c r="K39" i="12"/>
  <c r="L39" i="12"/>
  <c r="I39" i="12"/>
  <c r="J6" i="12"/>
  <c r="K6" i="12"/>
  <c r="J57" i="12"/>
  <c r="O17" i="12"/>
  <c r="O9" i="12"/>
  <c r="O7" i="12"/>
  <c r="I6" i="12"/>
  <c r="K55" i="12"/>
  <c r="L55" i="12"/>
  <c r="I55" i="12"/>
  <c r="K31" i="12"/>
  <c r="L31" i="12"/>
  <c r="I31" i="12"/>
  <c r="J14" i="12"/>
  <c r="K14" i="12"/>
  <c r="N67" i="12"/>
  <c r="J66" i="12"/>
  <c r="O58" i="12"/>
  <c r="N55" i="12"/>
  <c r="O48" i="12"/>
  <c r="J33" i="12"/>
  <c r="K26" i="12"/>
  <c r="N24" i="12"/>
  <c r="I61" i="12"/>
  <c r="O61" i="12"/>
  <c r="I53" i="12"/>
  <c r="J53" i="12"/>
  <c r="O53" i="12"/>
  <c r="I45" i="12"/>
  <c r="J45" i="12"/>
  <c r="O45" i="12"/>
  <c r="I37" i="12"/>
  <c r="J37" i="12"/>
  <c r="O37" i="12"/>
  <c r="I29" i="12"/>
  <c r="J29" i="12"/>
  <c r="O29" i="12"/>
  <c r="I21" i="12"/>
  <c r="J21" i="12"/>
  <c r="O21" i="12"/>
  <c r="I12" i="12"/>
  <c r="N12" i="12"/>
  <c r="K67" i="12"/>
  <c r="J63" i="12"/>
  <c r="M61" i="12"/>
  <c r="M58" i="12"/>
  <c r="I57" i="12"/>
  <c r="M55" i="12"/>
  <c r="N53" i="12"/>
  <c r="K50" i="12"/>
  <c r="N48" i="12"/>
  <c r="K45" i="12"/>
  <c r="L43" i="12"/>
  <c r="O39" i="12"/>
  <c r="I33" i="12"/>
  <c r="J31" i="12"/>
  <c r="M29" i="12"/>
  <c r="J26" i="12"/>
  <c r="K24" i="12"/>
  <c r="K19" i="12"/>
  <c r="L17" i="12"/>
  <c r="M14" i="12"/>
  <c r="O12" i="12"/>
  <c r="L9" i="12"/>
  <c r="N7" i="12"/>
  <c r="M41" i="12"/>
  <c r="N41" i="12"/>
  <c r="K41" i="12"/>
  <c r="L8" i="12"/>
  <c r="M8" i="12"/>
  <c r="J8" i="12"/>
  <c r="J25" i="12"/>
  <c r="M65" i="12"/>
  <c r="K65" i="12"/>
  <c r="L40" i="12"/>
  <c r="M40" i="12"/>
  <c r="J40" i="12"/>
  <c r="K15" i="12"/>
  <c r="L15" i="12"/>
  <c r="I15" i="12"/>
  <c r="K66" i="12"/>
  <c r="M50" i="12"/>
  <c r="M68" i="12"/>
  <c r="J67" i="12"/>
  <c r="N65" i="12"/>
  <c r="L61" i="12"/>
  <c r="K58" i="12"/>
  <c r="J55" i="12"/>
  <c r="M53" i="12"/>
  <c r="J50" i="12"/>
  <c r="K48" i="12"/>
  <c r="L41" i="12"/>
  <c r="N39" i="12"/>
  <c r="M34" i="12"/>
  <c r="O32" i="12"/>
  <c r="L29" i="12"/>
  <c r="I24" i="12"/>
  <c r="L14" i="12"/>
  <c r="M12" i="12"/>
  <c r="J9" i="12"/>
  <c r="M7" i="12"/>
  <c r="M49" i="12"/>
  <c r="N49" i="12"/>
  <c r="K49" i="12"/>
  <c r="M17" i="12"/>
  <c r="N17" i="12"/>
  <c r="K17" i="12"/>
  <c r="L56" i="12"/>
  <c r="J56" i="12"/>
  <c r="K47" i="12"/>
  <c r="L47" i="12"/>
  <c r="I47" i="12"/>
  <c r="K23" i="12"/>
  <c r="L23" i="12"/>
  <c r="I23" i="12"/>
  <c r="L67" i="12"/>
  <c r="I66" i="12"/>
  <c r="L63" i="12"/>
  <c r="I40" i="12"/>
  <c r="M31" i="12"/>
  <c r="O59" i="12"/>
  <c r="M59" i="12"/>
  <c r="O51" i="12"/>
  <c r="M51" i="12"/>
  <c r="O43" i="12"/>
  <c r="M43" i="12"/>
  <c r="O35" i="12"/>
  <c r="M35" i="12"/>
  <c r="O27" i="12"/>
  <c r="M27" i="12"/>
  <c r="O19" i="12"/>
  <c r="M19" i="12"/>
  <c r="N10" i="12"/>
  <c r="O10" i="12"/>
  <c r="L10" i="12"/>
  <c r="L68" i="12"/>
  <c r="L65" i="12"/>
  <c r="K61" i="12"/>
  <c r="N59" i="12"/>
  <c r="N56" i="12"/>
  <c r="L53" i="12"/>
  <c r="N51" i="12"/>
  <c r="I48" i="12"/>
  <c r="J43" i="12"/>
  <c r="J41" i="12"/>
  <c r="M39" i="12"/>
  <c r="N37" i="12"/>
  <c r="N32" i="12"/>
  <c r="K29" i="12"/>
  <c r="L27" i="12"/>
  <c r="O23" i="12"/>
  <c r="I19" i="12"/>
  <c r="I17" i="12"/>
  <c r="O15" i="12"/>
  <c r="I14" i="12"/>
  <c r="L12" i="12"/>
  <c r="J7" i="12"/>
  <c r="M57" i="12"/>
  <c r="K57" i="12"/>
  <c r="M25" i="12"/>
  <c r="N25" i="12"/>
  <c r="K25" i="12"/>
  <c r="O57" i="12"/>
  <c r="N40" i="12"/>
  <c r="O33" i="12"/>
  <c r="I25" i="12"/>
  <c r="J15" i="12"/>
  <c r="O67" i="12"/>
  <c r="M67" i="12"/>
  <c r="N58" i="12"/>
  <c r="L58" i="12"/>
  <c r="N50" i="12"/>
  <c r="O50" i="12"/>
  <c r="L50" i="12"/>
  <c r="N42" i="12"/>
  <c r="O42" i="12"/>
  <c r="L42" i="12"/>
  <c r="N34" i="12"/>
  <c r="O34" i="12"/>
  <c r="L34" i="12"/>
  <c r="N26" i="12"/>
  <c r="O26" i="12"/>
  <c r="L26" i="12"/>
  <c r="N18" i="12"/>
  <c r="O18" i="12"/>
  <c r="L18" i="12"/>
  <c r="M9" i="12"/>
  <c r="N9" i="12"/>
  <c r="K9" i="12"/>
  <c r="O66" i="12"/>
  <c r="J65" i="12"/>
  <c r="I58" i="12"/>
  <c r="M56" i="12"/>
  <c r="K53" i="12"/>
  <c r="O49" i="12"/>
  <c r="O47" i="12"/>
  <c r="I41" i="12"/>
  <c r="J39" i="12"/>
  <c r="M37" i="12"/>
  <c r="J34" i="12"/>
  <c r="K32" i="12"/>
  <c r="L25" i="12"/>
  <c r="N23" i="12"/>
  <c r="M18" i="12"/>
  <c r="N15" i="12"/>
  <c r="K12" i="12"/>
  <c r="M10" i="12"/>
  <c r="O8" i="12"/>
  <c r="O6" i="12"/>
  <c r="M15" i="12"/>
  <c r="J12" i="12"/>
  <c r="K10" i="12"/>
  <c r="N8" i="12"/>
  <c r="N6" i="12"/>
  <c r="O13" i="12"/>
  <c r="O5" i="12"/>
  <c r="C99" i="14"/>
  <c r="C100" i="14"/>
  <c r="C97" i="14"/>
  <c r="V4" i="14"/>
  <c r="T4" i="14"/>
  <c r="P4" i="14"/>
  <c r="T5" i="14"/>
  <c r="P5" i="14"/>
  <c r="T6" i="14"/>
  <c r="P6" i="14"/>
  <c r="T7" i="14"/>
  <c r="P7" i="14"/>
  <c r="T8" i="14"/>
  <c r="P8" i="14"/>
  <c r="T9" i="14"/>
  <c r="P9" i="14"/>
  <c r="P10" i="14"/>
  <c r="T11" i="14"/>
  <c r="P11" i="14"/>
  <c r="K97" i="14"/>
  <c r="L97" i="14"/>
  <c r="V97" i="14" s="1"/>
  <c r="W97" i="14" s="1"/>
  <c r="M97" i="14"/>
  <c r="N97" i="14"/>
  <c r="T97" i="14" s="1"/>
  <c r="O97" i="14"/>
  <c r="P97" i="14"/>
  <c r="K99" i="14"/>
  <c r="L99" i="14"/>
  <c r="V99" i="14" s="1"/>
  <c r="W99" i="14" s="1"/>
  <c r="M99" i="14"/>
  <c r="N99" i="14"/>
  <c r="O99" i="14"/>
  <c r="P99" i="14"/>
  <c r="K100" i="14"/>
  <c r="L100" i="14"/>
  <c r="V100" i="14" s="1"/>
  <c r="W100" i="14" s="1"/>
  <c r="M100" i="14"/>
  <c r="N100" i="14"/>
  <c r="O100" i="14"/>
  <c r="P100" i="14"/>
  <c r="P117" i="14"/>
  <c r="N118" i="14"/>
  <c r="O118" i="14"/>
  <c r="P118" i="14"/>
  <c r="T10" i="14" l="1"/>
  <c r="T99" i="14"/>
  <c r="T100" i="14"/>
  <c r="P3" i="14"/>
  <c r="O3" i="14"/>
  <c r="N3" i="14"/>
  <c r="T3" i="14" s="1"/>
  <c r="M3" i="14"/>
  <c r="I3" i="14"/>
  <c r="V3" i="14"/>
  <c r="C53" i="13"/>
  <c r="C54" i="13"/>
  <c r="C55" i="13"/>
  <c r="C56" i="13"/>
  <c r="C57" i="13"/>
  <c r="C58" i="13"/>
  <c r="C59" i="13"/>
  <c r="C60" i="13"/>
  <c r="C61" i="13"/>
  <c r="C62" i="13"/>
  <c r="C63" i="13"/>
  <c r="C64" i="13"/>
  <c r="C65" i="13"/>
  <c r="C66" i="13"/>
  <c r="C67" i="13"/>
  <c r="C68" i="13"/>
  <c r="C124" i="14" l="1"/>
  <c r="C122" i="14"/>
  <c r="C121" i="14"/>
  <c r="I53" i="13"/>
  <c r="J53" i="13"/>
  <c r="K53" i="13"/>
  <c r="L53" i="13"/>
  <c r="M53" i="13"/>
  <c r="N53" i="13"/>
  <c r="O53" i="13"/>
  <c r="I54" i="13"/>
  <c r="J54" i="13"/>
  <c r="K54" i="13"/>
  <c r="L54" i="13"/>
  <c r="M54" i="13"/>
  <c r="N54" i="13"/>
  <c r="O54" i="13"/>
  <c r="I55" i="13"/>
  <c r="J55" i="13"/>
  <c r="K55" i="13"/>
  <c r="L55" i="13"/>
  <c r="M55" i="13"/>
  <c r="N55" i="13"/>
  <c r="O55" i="13"/>
  <c r="I56" i="13"/>
  <c r="J56" i="13"/>
  <c r="K56" i="13"/>
  <c r="L56" i="13"/>
  <c r="M56" i="13"/>
  <c r="N56" i="13"/>
  <c r="O56" i="13"/>
  <c r="I57" i="13"/>
  <c r="J57" i="13"/>
  <c r="K57" i="13"/>
  <c r="L57" i="13"/>
  <c r="M57" i="13"/>
  <c r="N57" i="13"/>
  <c r="O57" i="13"/>
  <c r="I58" i="13"/>
  <c r="J58" i="13"/>
  <c r="K58" i="13"/>
  <c r="L58" i="13"/>
  <c r="M58" i="13"/>
  <c r="N58" i="13"/>
  <c r="O58" i="13"/>
  <c r="I59" i="13"/>
  <c r="J59" i="13"/>
  <c r="K59" i="13"/>
  <c r="L59" i="13"/>
  <c r="M59" i="13"/>
  <c r="N59" i="13"/>
  <c r="O59" i="13"/>
  <c r="I60" i="13"/>
  <c r="J60" i="13"/>
  <c r="K60" i="13"/>
  <c r="L60" i="13"/>
  <c r="M60" i="13"/>
  <c r="N60" i="13"/>
  <c r="O60" i="13"/>
  <c r="I61" i="13"/>
  <c r="J61" i="13"/>
  <c r="K61" i="13"/>
  <c r="L61" i="13"/>
  <c r="M61" i="13"/>
  <c r="N61" i="13"/>
  <c r="O61" i="13"/>
  <c r="I62" i="13"/>
  <c r="J62" i="13"/>
  <c r="K62" i="13"/>
  <c r="L62" i="13"/>
  <c r="M62" i="13"/>
  <c r="N62" i="13"/>
  <c r="O62" i="13"/>
  <c r="I63" i="13"/>
  <c r="J63" i="13"/>
  <c r="K63" i="13"/>
  <c r="L63" i="13"/>
  <c r="M63" i="13"/>
  <c r="N63" i="13"/>
  <c r="O63" i="13"/>
  <c r="I64" i="13"/>
  <c r="J64" i="13"/>
  <c r="K64" i="13"/>
  <c r="L64" i="13"/>
  <c r="M64" i="13"/>
  <c r="N64" i="13"/>
  <c r="O64" i="13"/>
  <c r="I65" i="13"/>
  <c r="J65" i="13"/>
  <c r="K65" i="13"/>
  <c r="L65" i="13"/>
  <c r="M65" i="13"/>
  <c r="N65" i="13"/>
  <c r="O65" i="13"/>
  <c r="I66" i="13"/>
  <c r="J66" i="13"/>
  <c r="K66" i="13"/>
  <c r="L66" i="13"/>
  <c r="M66" i="13"/>
  <c r="N66" i="13"/>
  <c r="O66" i="13"/>
  <c r="I67" i="13"/>
  <c r="J67" i="13"/>
  <c r="K67" i="13"/>
  <c r="L67" i="13"/>
  <c r="M67" i="13"/>
  <c r="N67" i="13"/>
  <c r="O67" i="13"/>
  <c r="I68" i="13"/>
  <c r="J68" i="13"/>
  <c r="K68" i="13"/>
  <c r="L68" i="13"/>
  <c r="M68" i="13"/>
  <c r="N68" i="13"/>
  <c r="O68"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 i="13"/>
  <c r="M6" i="13"/>
  <c r="M7" i="13"/>
  <c r="M8" i="13"/>
  <c r="M9" i="13"/>
  <c r="M10" i="13"/>
  <c r="M11" i="13"/>
  <c r="M12" i="13"/>
  <c r="M13" i="13"/>
  <c r="M14" i="13"/>
  <c r="M4" i="13"/>
  <c r="I5" i="13" l="1"/>
  <c r="J5" i="13"/>
  <c r="K5" i="13"/>
  <c r="L5" i="13"/>
  <c r="I6" i="13"/>
  <c r="J6" i="13"/>
  <c r="K6" i="13"/>
  <c r="L6" i="13"/>
  <c r="I7" i="13"/>
  <c r="J7" i="13"/>
  <c r="K7" i="13"/>
  <c r="L7" i="13"/>
  <c r="I8" i="13"/>
  <c r="J8" i="13"/>
  <c r="K8" i="13"/>
  <c r="L8" i="13"/>
  <c r="I9" i="13"/>
  <c r="J9" i="13"/>
  <c r="K9" i="13"/>
  <c r="L9" i="13"/>
  <c r="I10" i="13"/>
  <c r="J10" i="13"/>
  <c r="K10" i="13"/>
  <c r="L10" i="13"/>
  <c r="I11" i="13"/>
  <c r="J11" i="13"/>
  <c r="K11" i="13"/>
  <c r="L11" i="13"/>
  <c r="I12" i="13"/>
  <c r="J12" i="13"/>
  <c r="K12" i="13"/>
  <c r="L12" i="13"/>
  <c r="I13" i="13"/>
  <c r="J13" i="13"/>
  <c r="K13" i="13"/>
  <c r="L13" i="13"/>
  <c r="I14" i="13"/>
  <c r="J14" i="13"/>
  <c r="K14" i="13"/>
  <c r="L14" i="13"/>
  <c r="I15" i="13"/>
  <c r="J15" i="13"/>
  <c r="K15" i="13"/>
  <c r="L15" i="13"/>
  <c r="I16" i="13"/>
  <c r="J16" i="13"/>
  <c r="K16" i="13"/>
  <c r="L16" i="13"/>
  <c r="I17" i="13"/>
  <c r="J17" i="13"/>
  <c r="K17" i="13"/>
  <c r="L17" i="13"/>
  <c r="I18" i="13"/>
  <c r="J18" i="13"/>
  <c r="K18" i="13"/>
  <c r="L18" i="13"/>
  <c r="I19" i="13"/>
  <c r="J19" i="13"/>
  <c r="K19" i="13"/>
  <c r="L19" i="13"/>
  <c r="I20" i="13"/>
  <c r="J20" i="13"/>
  <c r="K20" i="13"/>
  <c r="L20" i="13"/>
  <c r="I21" i="13"/>
  <c r="J21" i="13"/>
  <c r="K21" i="13"/>
  <c r="L21" i="13"/>
  <c r="I22" i="13"/>
  <c r="J22" i="13"/>
  <c r="K22" i="13"/>
  <c r="L22" i="13"/>
  <c r="I23" i="13"/>
  <c r="J23" i="13"/>
  <c r="K23" i="13"/>
  <c r="L23" i="13"/>
  <c r="I24" i="13"/>
  <c r="J24" i="13"/>
  <c r="K24" i="13"/>
  <c r="L24" i="13"/>
  <c r="I25" i="13"/>
  <c r="J25" i="13"/>
  <c r="K25" i="13"/>
  <c r="L25" i="13"/>
  <c r="I26" i="13"/>
  <c r="J26" i="13"/>
  <c r="K26" i="13"/>
  <c r="L26" i="13"/>
  <c r="I27" i="13"/>
  <c r="J27" i="13"/>
  <c r="K27" i="13"/>
  <c r="L27" i="13"/>
  <c r="I28" i="13"/>
  <c r="J28" i="13"/>
  <c r="K28" i="13"/>
  <c r="L28" i="13"/>
  <c r="I29" i="13"/>
  <c r="J29" i="13"/>
  <c r="K29" i="13"/>
  <c r="L29" i="13"/>
  <c r="I30" i="13"/>
  <c r="J30" i="13"/>
  <c r="K30" i="13"/>
  <c r="L30" i="13"/>
  <c r="I31" i="13"/>
  <c r="J31" i="13"/>
  <c r="K31" i="13"/>
  <c r="L31" i="13"/>
  <c r="I32" i="13"/>
  <c r="J32" i="13"/>
  <c r="K32" i="13"/>
  <c r="L32" i="13"/>
  <c r="I33" i="13"/>
  <c r="J33" i="13"/>
  <c r="K33" i="13"/>
  <c r="L33" i="13"/>
  <c r="I34" i="13"/>
  <c r="J34" i="13"/>
  <c r="K34" i="13"/>
  <c r="L34" i="13"/>
  <c r="I35" i="13"/>
  <c r="J35" i="13"/>
  <c r="K35" i="13"/>
  <c r="L35" i="13"/>
  <c r="I36" i="13"/>
  <c r="J36" i="13"/>
  <c r="K36" i="13"/>
  <c r="L36" i="13"/>
  <c r="I37" i="13"/>
  <c r="J37" i="13"/>
  <c r="K37" i="13"/>
  <c r="L37" i="13"/>
  <c r="I38" i="13"/>
  <c r="J38" i="13"/>
  <c r="K38" i="13"/>
  <c r="L38" i="13"/>
  <c r="I39" i="13"/>
  <c r="J39" i="13"/>
  <c r="K39" i="13"/>
  <c r="L39" i="13"/>
  <c r="I40" i="13"/>
  <c r="J40" i="13"/>
  <c r="K40" i="13"/>
  <c r="L40" i="13"/>
  <c r="I41" i="13"/>
  <c r="J41" i="13"/>
  <c r="K41" i="13"/>
  <c r="L41" i="13"/>
  <c r="I42" i="13"/>
  <c r="J42" i="13"/>
  <c r="K42" i="13"/>
  <c r="L42" i="13"/>
  <c r="I43" i="13"/>
  <c r="J43" i="13"/>
  <c r="K43" i="13"/>
  <c r="L43" i="13"/>
  <c r="I44" i="13"/>
  <c r="J44" i="13"/>
  <c r="K44" i="13"/>
  <c r="L44" i="13"/>
  <c r="I45" i="13"/>
  <c r="J45" i="13"/>
  <c r="K45" i="13"/>
  <c r="L45" i="13"/>
  <c r="I46" i="13"/>
  <c r="J46" i="13"/>
  <c r="K46" i="13"/>
  <c r="L46" i="13"/>
  <c r="I47" i="13"/>
  <c r="J47" i="13"/>
  <c r="K47" i="13"/>
  <c r="L47" i="13"/>
  <c r="I48" i="13"/>
  <c r="J48" i="13"/>
  <c r="K48" i="13"/>
  <c r="L48" i="13"/>
  <c r="I49" i="13"/>
  <c r="J49" i="13"/>
  <c r="K49" i="13"/>
  <c r="L49" i="13"/>
  <c r="I50" i="13"/>
  <c r="J50" i="13"/>
  <c r="K50" i="13"/>
  <c r="L50" i="13"/>
  <c r="I51" i="13"/>
  <c r="J51" i="13"/>
  <c r="K51" i="13"/>
  <c r="L51" i="13"/>
  <c r="L4" i="13"/>
  <c r="K4" i="13"/>
  <c r="J4" i="13"/>
  <c r="I4" i="13"/>
  <c r="B6" i="14" l="1"/>
  <c r="C6" i="14"/>
  <c r="D6" i="14"/>
  <c r="U6" i="14" s="1"/>
  <c r="W6" i="14" s="1"/>
  <c r="E6" i="14"/>
  <c r="G6" i="14"/>
  <c r="H6" i="14" s="1"/>
  <c r="F6" i="14"/>
  <c r="B7" i="14"/>
  <c r="C7" i="14"/>
  <c r="D7" i="14"/>
  <c r="U7" i="14" s="1"/>
  <c r="W7" i="14" s="1"/>
  <c r="E7" i="14"/>
  <c r="G7" i="14"/>
  <c r="H7" i="14" s="1"/>
  <c r="F7" i="14"/>
  <c r="B8" i="14"/>
  <c r="C8" i="14"/>
  <c r="D8" i="14"/>
  <c r="U8" i="14" s="1"/>
  <c r="W8" i="14" s="1"/>
  <c r="E8" i="14"/>
  <c r="G8" i="14"/>
  <c r="H8" i="14" s="1"/>
  <c r="F8" i="14"/>
  <c r="B9" i="14"/>
  <c r="C9" i="14"/>
  <c r="D9" i="14"/>
  <c r="U9" i="14" s="1"/>
  <c r="W9" i="14" s="1"/>
  <c r="E9" i="14"/>
  <c r="G9" i="14"/>
  <c r="H9" i="14" s="1"/>
  <c r="F9" i="14"/>
  <c r="B10" i="14"/>
  <c r="C10" i="14"/>
  <c r="D10" i="14"/>
  <c r="U10" i="14" s="1"/>
  <c r="W10" i="14" s="1"/>
  <c r="E10" i="14"/>
  <c r="G10" i="14"/>
  <c r="H10" i="14" s="1"/>
  <c r="F10" i="14"/>
  <c r="B11" i="14"/>
  <c r="C11" i="14"/>
  <c r="D11" i="14"/>
  <c r="U11" i="14" s="1"/>
  <c r="W11" i="14" s="1"/>
  <c r="E11" i="14"/>
  <c r="G11" i="14"/>
  <c r="H11" i="14" s="1"/>
  <c r="F11" i="14"/>
  <c r="F51" i="13" l="1"/>
  <c r="F5" i="14" l="1"/>
  <c r="G5" i="14"/>
  <c r="H5" i="14" s="1"/>
  <c r="E5" i="14"/>
  <c r="D5" i="14"/>
  <c r="U5" i="14" s="1"/>
  <c r="W5" i="14" s="1"/>
  <c r="C5" i="14"/>
  <c r="B5" i="14"/>
  <c r="F4" i="14"/>
  <c r="G4" i="14"/>
  <c r="H4" i="14" s="1"/>
  <c r="E4" i="14"/>
  <c r="D4" i="14"/>
  <c r="U4" i="14" s="1"/>
  <c r="W4" i="14" s="1"/>
  <c r="C4" i="14"/>
  <c r="B4" i="14"/>
  <c r="F3" i="14"/>
  <c r="G3" i="14"/>
  <c r="H3" i="14" s="1"/>
  <c r="E3" i="14"/>
  <c r="D3" i="14"/>
  <c r="U3" i="14" s="1"/>
  <c r="W3" i="14" s="1"/>
  <c r="C3" i="14"/>
  <c r="B3" i="14"/>
  <c r="G51" i="13"/>
  <c r="E51" i="13"/>
  <c r="D51" i="13"/>
  <c r="C51" i="13"/>
  <c r="B51" i="13"/>
  <c r="G50" i="13"/>
  <c r="F50" i="13"/>
  <c r="E50" i="13"/>
  <c r="D50" i="13"/>
  <c r="C50" i="13"/>
  <c r="B50" i="13"/>
  <c r="G49" i="13"/>
  <c r="F49" i="13"/>
  <c r="E49" i="13"/>
  <c r="D49" i="13"/>
  <c r="C49" i="13"/>
  <c r="B49" i="13"/>
  <c r="G48" i="13"/>
  <c r="F48" i="13"/>
  <c r="E48" i="13"/>
  <c r="D48" i="13"/>
  <c r="C48" i="13"/>
  <c r="B48" i="13"/>
  <c r="G47" i="13"/>
  <c r="F47" i="13"/>
  <c r="E47" i="13"/>
  <c r="D47" i="13"/>
  <c r="C47" i="13"/>
  <c r="B47" i="13"/>
  <c r="G46" i="13"/>
  <c r="F46" i="13"/>
  <c r="E46" i="13"/>
  <c r="D46" i="13"/>
  <c r="C46" i="13"/>
  <c r="B46" i="13"/>
  <c r="G45" i="13"/>
  <c r="F45" i="13"/>
  <c r="E45" i="13"/>
  <c r="D45" i="13"/>
  <c r="C45" i="13"/>
  <c r="B45" i="13"/>
  <c r="G44" i="13"/>
  <c r="F44" i="13"/>
  <c r="E44" i="13"/>
  <c r="D44" i="13"/>
  <c r="C44" i="13"/>
  <c r="B44" i="13"/>
  <c r="G43" i="13"/>
  <c r="F43" i="13"/>
  <c r="E43" i="13"/>
  <c r="D43" i="13"/>
  <c r="C43" i="13"/>
  <c r="B43" i="13"/>
  <c r="G42" i="13"/>
  <c r="F42" i="13"/>
  <c r="E42" i="13"/>
  <c r="D42" i="13"/>
  <c r="C42" i="13"/>
  <c r="B42" i="13"/>
  <c r="G41" i="13"/>
  <c r="F41" i="13"/>
  <c r="E41" i="13"/>
  <c r="D41" i="13"/>
  <c r="C41" i="13"/>
  <c r="B41" i="13"/>
  <c r="G40" i="13"/>
  <c r="F40" i="13"/>
  <c r="E40" i="13"/>
  <c r="D40" i="13"/>
  <c r="C40" i="13"/>
  <c r="B40" i="13"/>
  <c r="G39" i="13"/>
  <c r="F39" i="13"/>
  <c r="E39" i="13"/>
  <c r="D39" i="13"/>
  <c r="C39" i="13"/>
  <c r="B39" i="13"/>
  <c r="G38" i="13"/>
  <c r="F38" i="13"/>
  <c r="E38" i="13"/>
  <c r="D38" i="13"/>
  <c r="C38" i="13"/>
  <c r="B38" i="13"/>
  <c r="G37" i="13"/>
  <c r="F37" i="13"/>
  <c r="E37" i="13"/>
  <c r="D37" i="13"/>
  <c r="C37" i="13"/>
  <c r="B37" i="13"/>
  <c r="G36" i="13"/>
  <c r="F36" i="13"/>
  <c r="E36" i="13"/>
  <c r="D36" i="13"/>
  <c r="C36" i="13"/>
  <c r="B36" i="13"/>
  <c r="G35" i="13"/>
  <c r="F35" i="13"/>
  <c r="E35" i="13"/>
  <c r="D35" i="13"/>
  <c r="C35" i="13"/>
  <c r="B35" i="13"/>
  <c r="G34" i="13"/>
  <c r="F34" i="13"/>
  <c r="E34" i="13"/>
  <c r="D34" i="13"/>
  <c r="C34" i="13"/>
  <c r="B34" i="13"/>
  <c r="G33" i="13"/>
  <c r="F33" i="13"/>
  <c r="E33" i="13"/>
  <c r="D33" i="13"/>
  <c r="C33" i="13"/>
  <c r="B33" i="13"/>
  <c r="G32" i="13"/>
  <c r="F32" i="13"/>
  <c r="E32" i="13"/>
  <c r="D32" i="13"/>
  <c r="C32" i="13"/>
  <c r="B32" i="13"/>
  <c r="G31" i="13"/>
  <c r="F31" i="13"/>
  <c r="E31" i="13"/>
  <c r="D31" i="13"/>
  <c r="C31" i="13"/>
  <c r="B31" i="13"/>
  <c r="G30" i="13"/>
  <c r="F30" i="13"/>
  <c r="E30" i="13"/>
  <c r="D30" i="13"/>
  <c r="C30" i="13"/>
  <c r="B30" i="13"/>
  <c r="G29" i="13"/>
  <c r="F29" i="13"/>
  <c r="E29" i="13"/>
  <c r="D29" i="13"/>
  <c r="C29" i="13"/>
  <c r="B29" i="13"/>
  <c r="G28" i="13"/>
  <c r="F28" i="13"/>
  <c r="E28" i="13"/>
  <c r="D28" i="13"/>
  <c r="C28" i="13"/>
  <c r="B28" i="13"/>
  <c r="G27" i="13"/>
  <c r="F27" i="13"/>
  <c r="E27" i="13"/>
  <c r="D27" i="13"/>
  <c r="C27" i="13"/>
  <c r="B27" i="13"/>
  <c r="G26" i="13"/>
  <c r="F26" i="13"/>
  <c r="E26" i="13"/>
  <c r="D26" i="13"/>
  <c r="C26" i="13"/>
  <c r="B26" i="13"/>
  <c r="G25" i="13"/>
  <c r="F25" i="13"/>
  <c r="E25" i="13"/>
  <c r="D25" i="13"/>
  <c r="C25" i="13"/>
  <c r="B25" i="13"/>
  <c r="G24" i="13"/>
  <c r="F24" i="13"/>
  <c r="E24" i="13"/>
  <c r="D24" i="13"/>
  <c r="C24" i="13"/>
  <c r="B24" i="13"/>
  <c r="G23" i="13"/>
  <c r="F23" i="13"/>
  <c r="E23" i="13"/>
  <c r="D23" i="13"/>
  <c r="C23" i="13"/>
  <c r="B23" i="13"/>
  <c r="G22" i="13"/>
  <c r="F22" i="13"/>
  <c r="E22" i="13"/>
  <c r="D22" i="13"/>
  <c r="C22" i="13"/>
  <c r="B22" i="13"/>
  <c r="G21" i="13"/>
  <c r="F21" i="13"/>
  <c r="E21" i="13"/>
  <c r="D21" i="13"/>
  <c r="C21" i="13"/>
  <c r="B21" i="13"/>
  <c r="G20" i="13"/>
  <c r="F20" i="13"/>
  <c r="E20" i="13"/>
  <c r="D20" i="13"/>
  <c r="C20" i="13"/>
  <c r="B20" i="13"/>
  <c r="G19" i="13"/>
  <c r="F19" i="13"/>
  <c r="E19" i="13"/>
  <c r="D19" i="13"/>
  <c r="C19" i="13"/>
  <c r="B19" i="13"/>
  <c r="G18" i="13"/>
  <c r="F18" i="13"/>
  <c r="E18" i="13"/>
  <c r="D18" i="13"/>
  <c r="C18" i="13"/>
  <c r="B18" i="13"/>
  <c r="G17" i="13"/>
  <c r="F17" i="13"/>
  <c r="E17" i="13"/>
  <c r="D17" i="13"/>
  <c r="C17" i="13"/>
  <c r="B17" i="13"/>
  <c r="G16" i="13"/>
  <c r="F16" i="13"/>
  <c r="E16" i="13"/>
  <c r="D16" i="13"/>
  <c r="C16" i="13"/>
  <c r="B16" i="13"/>
  <c r="G15" i="13"/>
  <c r="F15" i="13"/>
  <c r="E15" i="13"/>
  <c r="D15" i="13"/>
  <c r="C15" i="13"/>
  <c r="B15" i="13"/>
  <c r="G14" i="13"/>
  <c r="F14" i="13"/>
  <c r="E14" i="13"/>
  <c r="D14" i="13"/>
  <c r="C14" i="13"/>
  <c r="B14" i="13"/>
  <c r="G13" i="13"/>
  <c r="F13" i="13"/>
  <c r="E13" i="13"/>
  <c r="D13" i="13"/>
  <c r="C13" i="13"/>
  <c r="B13" i="13"/>
  <c r="G12" i="13"/>
  <c r="F12" i="13"/>
  <c r="E12" i="13"/>
  <c r="D12" i="13"/>
  <c r="C12" i="13"/>
  <c r="B12" i="13"/>
  <c r="G11" i="13"/>
  <c r="F11" i="13"/>
  <c r="E11" i="13"/>
  <c r="D11" i="13"/>
  <c r="C11" i="13"/>
  <c r="B11" i="13"/>
  <c r="G10" i="13"/>
  <c r="F10" i="13"/>
  <c r="E10" i="13"/>
  <c r="D10" i="13"/>
  <c r="C10" i="13"/>
  <c r="B10" i="13"/>
  <c r="G9" i="13"/>
  <c r="F9" i="13"/>
  <c r="E9" i="13"/>
  <c r="D9" i="13"/>
  <c r="C9" i="13"/>
  <c r="B9" i="13"/>
  <c r="G8" i="13"/>
  <c r="F8" i="13"/>
  <c r="E8" i="13"/>
  <c r="D8" i="13"/>
  <c r="C8" i="13"/>
  <c r="B8" i="13"/>
  <c r="G7" i="13"/>
  <c r="F7" i="13"/>
  <c r="E7" i="13"/>
  <c r="D7" i="13"/>
  <c r="C7" i="13"/>
  <c r="B7" i="13"/>
  <c r="G6" i="13"/>
  <c r="F6" i="13"/>
  <c r="E6" i="13"/>
  <c r="D6" i="13"/>
  <c r="C6" i="13"/>
  <c r="B6" i="13"/>
  <c r="G5" i="13"/>
  <c r="F5" i="13"/>
  <c r="E5" i="13"/>
  <c r="D5" i="13"/>
  <c r="C5" i="13"/>
  <c r="B5" i="13"/>
  <c r="G4" i="13"/>
  <c r="F4" i="13"/>
  <c r="E4" i="13"/>
  <c r="D4" i="13"/>
  <c r="C4" i="13"/>
  <c r="B4" i="13"/>
  <c r="G68" i="12"/>
  <c r="F68" i="12"/>
  <c r="E68" i="12"/>
  <c r="D68" i="12"/>
  <c r="C68" i="12"/>
  <c r="B68" i="12"/>
  <c r="G67" i="12"/>
  <c r="F67" i="12"/>
  <c r="E67" i="12"/>
  <c r="D67" i="12"/>
  <c r="C67" i="12"/>
  <c r="B67" i="12"/>
  <c r="G66" i="12"/>
  <c r="F66" i="12"/>
  <c r="E66" i="12"/>
  <c r="D66" i="12"/>
  <c r="C66" i="12"/>
  <c r="B66" i="12"/>
  <c r="G65" i="12"/>
  <c r="F65" i="12"/>
  <c r="E65" i="12"/>
  <c r="D65" i="12"/>
  <c r="C65" i="12"/>
  <c r="B65" i="12"/>
  <c r="G64" i="12"/>
  <c r="F64" i="12"/>
  <c r="E64" i="12"/>
  <c r="D64" i="12"/>
  <c r="C64" i="12"/>
  <c r="B64" i="12"/>
  <c r="G63" i="12"/>
  <c r="F63" i="12"/>
  <c r="E63" i="12"/>
  <c r="D63" i="12"/>
  <c r="C63" i="12"/>
  <c r="B63" i="12"/>
  <c r="G62" i="12"/>
  <c r="F62" i="12"/>
  <c r="E62" i="12"/>
  <c r="D62" i="12"/>
  <c r="C62" i="12"/>
  <c r="B62" i="12"/>
  <c r="G61" i="12"/>
  <c r="F61" i="12"/>
  <c r="E61" i="12"/>
  <c r="D61" i="12"/>
  <c r="C61" i="12"/>
  <c r="B61" i="12"/>
  <c r="G60" i="12"/>
  <c r="F60" i="12"/>
  <c r="E60" i="12"/>
  <c r="D60" i="12"/>
  <c r="C60" i="12"/>
  <c r="B60" i="12"/>
  <c r="G59" i="12"/>
  <c r="F59" i="12"/>
  <c r="E59" i="12"/>
  <c r="D59" i="12"/>
  <c r="C59" i="12"/>
  <c r="B59" i="12"/>
  <c r="G58" i="12"/>
  <c r="F58" i="12"/>
  <c r="E58" i="12"/>
  <c r="D58" i="12"/>
  <c r="C58" i="12"/>
  <c r="B58" i="12"/>
  <c r="G57" i="12"/>
  <c r="F57" i="12"/>
  <c r="E57" i="12"/>
  <c r="D57" i="12"/>
  <c r="C57" i="12"/>
  <c r="B57" i="12"/>
  <c r="G56" i="12"/>
  <c r="F56" i="12"/>
  <c r="E56" i="12"/>
  <c r="D56" i="12"/>
  <c r="C56" i="12"/>
  <c r="B56" i="12"/>
  <c r="G55" i="12"/>
  <c r="F55" i="12"/>
  <c r="E55" i="12"/>
  <c r="D55" i="12"/>
  <c r="C55" i="12"/>
  <c r="B55" i="12"/>
  <c r="G54" i="12"/>
  <c r="F54" i="12"/>
  <c r="E54" i="12"/>
  <c r="D54" i="12"/>
  <c r="C54" i="12"/>
  <c r="B54" i="12"/>
  <c r="G53" i="12"/>
  <c r="F53" i="12"/>
  <c r="E53" i="12"/>
  <c r="D53" i="12"/>
  <c r="C53" i="12"/>
  <c r="B53" i="12"/>
  <c r="G52" i="12"/>
  <c r="F52" i="12"/>
  <c r="E52" i="12"/>
  <c r="D52" i="12"/>
  <c r="C52" i="12"/>
  <c r="B52" i="12"/>
  <c r="G51" i="12"/>
  <c r="F51" i="12"/>
  <c r="E51" i="12"/>
  <c r="D51" i="12"/>
  <c r="C51" i="12"/>
  <c r="B51" i="12"/>
  <c r="G50" i="12"/>
  <c r="F50" i="12"/>
  <c r="E50" i="12"/>
  <c r="D50" i="12"/>
  <c r="C50" i="12"/>
  <c r="B50" i="12"/>
  <c r="G49" i="12"/>
  <c r="F49" i="12"/>
  <c r="E49" i="12"/>
  <c r="D49" i="12"/>
  <c r="C49" i="12"/>
  <c r="B49" i="12"/>
  <c r="G48" i="12"/>
  <c r="F48" i="12"/>
  <c r="E48" i="12"/>
  <c r="D48" i="12"/>
  <c r="C48" i="12"/>
  <c r="B48" i="12"/>
  <c r="G47" i="12"/>
  <c r="F47" i="12"/>
  <c r="E47" i="12"/>
  <c r="D47" i="12"/>
  <c r="C47" i="12"/>
  <c r="B47" i="12"/>
  <c r="G46" i="12"/>
  <c r="F46" i="12"/>
  <c r="E46" i="12"/>
  <c r="D46" i="12"/>
  <c r="C46" i="12"/>
  <c r="B46" i="12"/>
  <c r="G45" i="12"/>
  <c r="F45" i="12"/>
  <c r="E45" i="12"/>
  <c r="D45" i="12"/>
  <c r="C45" i="12"/>
  <c r="B45" i="12"/>
  <c r="G44" i="12"/>
  <c r="F44" i="12"/>
  <c r="E44" i="12"/>
  <c r="D44" i="12"/>
  <c r="C44" i="12"/>
  <c r="B44" i="12"/>
  <c r="G43" i="12"/>
  <c r="F43" i="12"/>
  <c r="E43" i="12"/>
  <c r="D43" i="12"/>
  <c r="C43" i="12"/>
  <c r="B43" i="12"/>
  <c r="G42" i="12"/>
  <c r="F42" i="12"/>
  <c r="E42" i="12"/>
  <c r="D42" i="12"/>
  <c r="C42" i="12"/>
  <c r="B42" i="12"/>
  <c r="G41" i="12"/>
  <c r="F41" i="12"/>
  <c r="E41" i="12"/>
  <c r="D41" i="12"/>
  <c r="C41" i="12"/>
  <c r="B41" i="12"/>
  <c r="G40" i="12"/>
  <c r="F40" i="12"/>
  <c r="E40" i="12"/>
  <c r="D40" i="12"/>
  <c r="C40" i="12"/>
  <c r="B40" i="12"/>
  <c r="G39" i="12"/>
  <c r="F39" i="12"/>
  <c r="E39" i="12"/>
  <c r="D39" i="12"/>
  <c r="C39" i="12"/>
  <c r="B39" i="12"/>
  <c r="G38" i="12"/>
  <c r="F38" i="12"/>
  <c r="E38" i="12"/>
  <c r="D38" i="12"/>
  <c r="C38" i="12"/>
  <c r="B38" i="12"/>
  <c r="G37" i="12"/>
  <c r="F37" i="12"/>
  <c r="E37" i="12"/>
  <c r="D37" i="12"/>
  <c r="C37" i="12"/>
  <c r="B37" i="12"/>
  <c r="G36" i="12"/>
  <c r="F36" i="12"/>
  <c r="E36" i="12"/>
  <c r="D36" i="12"/>
  <c r="C36" i="12"/>
  <c r="B36" i="12"/>
  <c r="G35" i="12"/>
  <c r="F35" i="12"/>
  <c r="E35" i="12"/>
  <c r="D35" i="12"/>
  <c r="C35" i="12"/>
  <c r="B35" i="12"/>
  <c r="G34" i="12"/>
  <c r="F34" i="12"/>
  <c r="E34" i="12"/>
  <c r="D34" i="12"/>
  <c r="C34" i="12"/>
  <c r="B34" i="12"/>
  <c r="G33" i="12"/>
  <c r="F33" i="12"/>
  <c r="E33" i="12"/>
  <c r="D33" i="12"/>
  <c r="C33" i="12"/>
  <c r="B33" i="12"/>
  <c r="G32" i="12"/>
  <c r="F32" i="12"/>
  <c r="E32" i="12"/>
  <c r="D32" i="12"/>
  <c r="C32" i="12"/>
  <c r="B32" i="12"/>
  <c r="G31" i="12"/>
  <c r="F31" i="12"/>
  <c r="E31" i="12"/>
  <c r="D31" i="12"/>
  <c r="C31" i="12"/>
  <c r="B31" i="12"/>
  <c r="G30" i="12"/>
  <c r="F30" i="12"/>
  <c r="E30" i="12"/>
  <c r="D30" i="12"/>
  <c r="C30" i="12"/>
  <c r="B30" i="12"/>
  <c r="G29" i="12"/>
  <c r="F29" i="12"/>
  <c r="E29" i="12"/>
  <c r="D29" i="12"/>
  <c r="C29" i="12"/>
  <c r="B29" i="12"/>
  <c r="G28" i="12"/>
  <c r="F28" i="12"/>
  <c r="E28" i="12"/>
  <c r="D28" i="12"/>
  <c r="C28" i="12"/>
  <c r="B28" i="12"/>
  <c r="G27" i="12"/>
  <c r="F27" i="12"/>
  <c r="E27" i="12"/>
  <c r="D27" i="12"/>
  <c r="C27" i="12"/>
  <c r="B27" i="12"/>
  <c r="G26" i="12"/>
  <c r="F26" i="12"/>
  <c r="E26" i="12"/>
  <c r="D26" i="12"/>
  <c r="C26" i="12"/>
  <c r="B26" i="12"/>
  <c r="G25" i="12"/>
  <c r="F25" i="12"/>
  <c r="E25" i="12"/>
  <c r="D25" i="12"/>
  <c r="C25" i="12"/>
  <c r="B25" i="12"/>
  <c r="G24" i="12"/>
  <c r="F24" i="12"/>
  <c r="E24" i="12"/>
  <c r="D24" i="12"/>
  <c r="C24" i="12"/>
  <c r="B24" i="12"/>
  <c r="G23" i="12"/>
  <c r="F23" i="12"/>
  <c r="E23" i="12"/>
  <c r="D23" i="12"/>
  <c r="C23" i="12"/>
  <c r="B23" i="12"/>
  <c r="G22" i="12"/>
  <c r="F22" i="12"/>
  <c r="E22" i="12"/>
  <c r="D22" i="12"/>
  <c r="C22" i="12"/>
  <c r="B22" i="12"/>
  <c r="G21" i="12"/>
  <c r="F21" i="12"/>
  <c r="E21" i="12"/>
  <c r="D21" i="12"/>
  <c r="C21" i="12"/>
  <c r="B21" i="12"/>
  <c r="G20" i="12"/>
  <c r="F20" i="12"/>
  <c r="E20" i="12"/>
  <c r="D20" i="12"/>
  <c r="C20" i="12"/>
  <c r="B20" i="12"/>
  <c r="G19" i="12"/>
  <c r="F19" i="12"/>
  <c r="E19" i="12"/>
  <c r="D19" i="12"/>
  <c r="C19" i="12"/>
  <c r="B19" i="12"/>
  <c r="G18" i="12"/>
  <c r="F18" i="12"/>
  <c r="E18" i="12"/>
  <c r="D18" i="12"/>
  <c r="C18" i="12"/>
  <c r="B18" i="12"/>
  <c r="G17" i="12"/>
  <c r="F17" i="12"/>
  <c r="E17" i="12"/>
  <c r="D17" i="12"/>
  <c r="C17" i="12"/>
  <c r="B17" i="12"/>
  <c r="G16" i="12"/>
  <c r="F16" i="12"/>
  <c r="E16" i="12"/>
  <c r="D16" i="12"/>
  <c r="C16" i="12"/>
  <c r="B16" i="12"/>
  <c r="G15" i="12"/>
  <c r="F15" i="12"/>
  <c r="E15" i="12"/>
  <c r="D15" i="12"/>
  <c r="C15" i="12"/>
  <c r="B15" i="12"/>
  <c r="G14" i="12"/>
  <c r="F14" i="12"/>
  <c r="E14" i="12"/>
  <c r="D14" i="12"/>
  <c r="C14" i="12"/>
  <c r="B14" i="12"/>
  <c r="G13" i="12"/>
  <c r="F13" i="12"/>
  <c r="E13" i="12"/>
  <c r="D13" i="12"/>
  <c r="C13" i="12"/>
  <c r="B13" i="12"/>
  <c r="G12" i="12"/>
  <c r="F12" i="12"/>
  <c r="E12" i="12"/>
  <c r="D12" i="12"/>
  <c r="C12" i="12"/>
  <c r="B12" i="12"/>
  <c r="G11" i="12"/>
  <c r="F11" i="12"/>
  <c r="E11" i="12"/>
  <c r="D11" i="12"/>
  <c r="C11" i="12"/>
  <c r="B11" i="12"/>
  <c r="G10" i="12"/>
  <c r="F10" i="12"/>
  <c r="E10" i="12"/>
  <c r="D10" i="12"/>
  <c r="C10" i="12"/>
  <c r="B10" i="12"/>
  <c r="G9" i="12"/>
  <c r="F9" i="12"/>
  <c r="E9" i="12"/>
  <c r="D9" i="12"/>
  <c r="C9" i="12"/>
  <c r="B9" i="12"/>
  <c r="G8" i="12"/>
  <c r="F8" i="12"/>
  <c r="E8" i="12"/>
  <c r="D8" i="12"/>
  <c r="C8" i="12"/>
  <c r="B8" i="12"/>
  <c r="G7" i="12"/>
  <c r="F7" i="12"/>
  <c r="E7" i="12"/>
  <c r="D7" i="12"/>
  <c r="C7" i="12"/>
  <c r="B7" i="12"/>
  <c r="G6" i="12"/>
  <c r="F6" i="12"/>
  <c r="E6" i="12"/>
  <c r="D6" i="12"/>
  <c r="C6" i="12"/>
  <c r="B6" i="12"/>
  <c r="G5" i="12"/>
  <c r="F5" i="12"/>
  <c r="E5" i="12"/>
  <c r="D5" i="12"/>
  <c r="C5" i="12"/>
  <c r="B5" i="12"/>
  <c r="G4" i="12"/>
  <c r="F4" i="12"/>
  <c r="E4" i="12"/>
  <c r="D4" i="12"/>
  <c r="C4" i="12"/>
  <c r="B4" i="12"/>
  <c r="B59" i="11"/>
  <c r="C59" i="11"/>
  <c r="D59" i="11"/>
  <c r="E59" i="11"/>
  <c r="F59" i="11"/>
  <c r="G59" i="11"/>
  <c r="B60" i="11"/>
  <c r="C60" i="11"/>
  <c r="D60" i="11"/>
  <c r="E60" i="11"/>
  <c r="F60" i="11"/>
  <c r="G60" i="11"/>
  <c r="B61" i="11"/>
  <c r="C61" i="11"/>
  <c r="D61" i="11"/>
  <c r="E61" i="11"/>
  <c r="F61" i="11"/>
  <c r="G61" i="11"/>
  <c r="B62" i="11"/>
  <c r="C62" i="11"/>
  <c r="D62" i="11"/>
  <c r="E62" i="11"/>
  <c r="F62" i="11"/>
  <c r="G62" i="11"/>
  <c r="B63" i="11"/>
  <c r="C63" i="11"/>
  <c r="D63" i="11"/>
  <c r="E63" i="11"/>
  <c r="F63" i="11"/>
  <c r="G63" i="11"/>
  <c r="B64" i="11"/>
  <c r="C64" i="11"/>
  <c r="D64" i="11"/>
  <c r="E64" i="11"/>
  <c r="F64" i="11"/>
  <c r="G64" i="11"/>
  <c r="B65" i="11"/>
  <c r="C65" i="11"/>
  <c r="D65" i="11"/>
  <c r="E65" i="11"/>
  <c r="F65" i="11"/>
  <c r="G65" i="11"/>
  <c r="B66" i="11"/>
  <c r="C66" i="11"/>
  <c r="D66" i="11"/>
  <c r="E66" i="11"/>
  <c r="F66" i="11"/>
  <c r="G66" i="11"/>
  <c r="B67" i="11"/>
  <c r="C67" i="11"/>
  <c r="D67" i="11"/>
  <c r="E67" i="11"/>
  <c r="F67" i="11"/>
  <c r="G67" i="11"/>
  <c r="B68" i="11"/>
  <c r="C68" i="11"/>
  <c r="D68" i="11"/>
  <c r="E68" i="11"/>
  <c r="F68" i="11"/>
  <c r="G68" i="11"/>
  <c r="B69" i="11"/>
  <c r="C69" i="11"/>
  <c r="D69" i="11"/>
  <c r="E69" i="11"/>
  <c r="F69" i="11"/>
  <c r="G69" i="11"/>
  <c r="B70" i="11"/>
  <c r="C70" i="11"/>
  <c r="D70" i="11"/>
  <c r="E70" i="11"/>
  <c r="F70" i="11"/>
  <c r="G70" i="11"/>
  <c r="B48" i="11"/>
  <c r="C48" i="11"/>
  <c r="D48" i="11"/>
  <c r="E48" i="11"/>
  <c r="F48" i="11"/>
  <c r="G48" i="11"/>
  <c r="B49" i="11"/>
  <c r="C49" i="11"/>
  <c r="D49" i="11"/>
  <c r="E49" i="11"/>
  <c r="F49" i="11"/>
  <c r="G49" i="11"/>
  <c r="B50" i="11"/>
  <c r="C50" i="11"/>
  <c r="D50" i="11"/>
  <c r="E50" i="11"/>
  <c r="F50" i="11"/>
  <c r="G50" i="11"/>
  <c r="B51" i="11"/>
  <c r="C51" i="11"/>
  <c r="D51" i="11"/>
  <c r="E51" i="11"/>
  <c r="F51" i="11"/>
  <c r="G51" i="11"/>
  <c r="B52" i="11"/>
  <c r="C52" i="11"/>
  <c r="D52" i="11"/>
  <c r="E52" i="11"/>
  <c r="F52" i="11"/>
  <c r="G52" i="11"/>
  <c r="B53" i="11"/>
  <c r="C53" i="11"/>
  <c r="D53" i="11"/>
  <c r="E53" i="11"/>
  <c r="F53" i="11"/>
  <c r="G53" i="11"/>
  <c r="B54" i="11"/>
  <c r="C54" i="11"/>
  <c r="D54" i="11"/>
  <c r="E54" i="11"/>
  <c r="F54" i="11"/>
  <c r="G54" i="11"/>
  <c r="B55" i="11"/>
  <c r="C55" i="11"/>
  <c r="D55" i="11"/>
  <c r="E55" i="11"/>
  <c r="F55" i="11"/>
  <c r="G55" i="11"/>
  <c r="B56" i="11"/>
  <c r="C56" i="11"/>
  <c r="D56" i="11"/>
  <c r="E56" i="11"/>
  <c r="F56" i="11"/>
  <c r="G56" i="11"/>
  <c r="B57" i="11"/>
  <c r="C57" i="11"/>
  <c r="D57" i="11"/>
  <c r="E57" i="11"/>
  <c r="F57" i="11"/>
  <c r="G57" i="11"/>
  <c r="B58" i="11"/>
  <c r="C58" i="11"/>
  <c r="D58" i="11"/>
  <c r="E58" i="11"/>
  <c r="F58" i="11"/>
  <c r="G58" i="11"/>
  <c r="G47" i="11"/>
  <c r="F47" i="11"/>
  <c r="E47" i="11"/>
  <c r="D47" i="11"/>
  <c r="C47" i="11"/>
  <c r="B47" i="11"/>
  <c r="G46" i="11"/>
  <c r="F46" i="11"/>
  <c r="E46" i="11"/>
  <c r="D46" i="11"/>
  <c r="C46" i="11"/>
  <c r="B46" i="11"/>
  <c r="G45" i="11"/>
  <c r="F45" i="11"/>
  <c r="E45" i="11"/>
  <c r="D45" i="11"/>
  <c r="C45" i="11"/>
  <c r="B45" i="11"/>
  <c r="G44" i="11"/>
  <c r="F44" i="11"/>
  <c r="E44" i="11"/>
  <c r="D44" i="11"/>
  <c r="C44" i="11"/>
  <c r="B44" i="11"/>
  <c r="G43" i="11"/>
  <c r="F43" i="11"/>
  <c r="E43" i="11"/>
  <c r="D43" i="11"/>
  <c r="C43" i="11"/>
  <c r="B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D36" i="11"/>
  <c r="C36" i="11"/>
  <c r="B36" i="11"/>
  <c r="G35" i="11"/>
  <c r="F35" i="11"/>
  <c r="E35" i="11"/>
  <c r="D35" i="11"/>
  <c r="C35" i="11"/>
  <c r="B35" i="11"/>
  <c r="G34" i="11"/>
  <c r="F34" i="11"/>
  <c r="E34" i="11"/>
  <c r="D34" i="11"/>
  <c r="C34" i="11"/>
  <c r="B34" i="11"/>
  <c r="G33" i="11"/>
  <c r="F33" i="11"/>
  <c r="E33" i="11"/>
  <c r="D33" i="11"/>
  <c r="C33" i="11"/>
  <c r="B33" i="11"/>
  <c r="G32" i="11"/>
  <c r="F32" i="11"/>
  <c r="E32" i="11"/>
  <c r="D32" i="11"/>
  <c r="C32" i="11"/>
  <c r="B32" i="11"/>
  <c r="G31" i="11"/>
  <c r="F31" i="11"/>
  <c r="E31" i="11"/>
  <c r="D31" i="11"/>
  <c r="C31" i="1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F26" i="11"/>
  <c r="E26" i="11"/>
  <c r="D26" i="11"/>
  <c r="C26" i="11"/>
  <c r="B26" i="11"/>
  <c r="G25" i="11"/>
  <c r="F25" i="11"/>
  <c r="E25" i="11"/>
  <c r="D25" i="11"/>
  <c r="C25" i="11"/>
  <c r="B25" i="11"/>
  <c r="G24" i="11"/>
  <c r="F24" i="11"/>
  <c r="E24" i="11"/>
  <c r="D24" i="11"/>
  <c r="C24" i="11"/>
  <c r="B24" i="11"/>
  <c r="G23" i="11"/>
  <c r="F23" i="11"/>
  <c r="E23" i="11"/>
  <c r="D23" i="11"/>
  <c r="C23" i="11"/>
  <c r="B23" i="11"/>
  <c r="G22" i="11"/>
  <c r="F22" i="11"/>
  <c r="E22" i="11"/>
  <c r="D22" i="11"/>
  <c r="C22" i="11"/>
  <c r="B22" i="11"/>
  <c r="G21" i="11"/>
  <c r="F21" i="11"/>
  <c r="E21" i="11"/>
  <c r="D21" i="11"/>
  <c r="C21" i="11"/>
  <c r="B21" i="11"/>
  <c r="G20" i="11"/>
  <c r="F20" i="11"/>
  <c r="E20" i="11"/>
  <c r="D20" i="11"/>
  <c r="C20" i="11"/>
  <c r="B20"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G13" i="11"/>
  <c r="F13" i="11"/>
  <c r="E13" i="11"/>
  <c r="D13" i="11"/>
  <c r="C13" i="11"/>
  <c r="B13" i="11"/>
  <c r="G12" i="11"/>
  <c r="F12" i="11"/>
  <c r="E12" i="11"/>
  <c r="D12" i="11"/>
  <c r="C12" i="11"/>
  <c r="B12" i="11"/>
  <c r="G11" i="11"/>
  <c r="F11" i="11"/>
  <c r="E11" i="11"/>
  <c r="D11" i="11"/>
  <c r="C11" i="11"/>
  <c r="B11" i="11"/>
  <c r="G10" i="11"/>
  <c r="F10" i="11"/>
  <c r="E10" i="11"/>
  <c r="D10" i="11"/>
  <c r="C10" i="11"/>
  <c r="B10" i="11"/>
  <c r="G9" i="11"/>
  <c r="F9" i="11"/>
  <c r="E9" i="11"/>
  <c r="D9" i="11"/>
  <c r="C9" i="11"/>
  <c r="B9" i="11"/>
  <c r="G8" i="11"/>
  <c r="F8" i="11"/>
  <c r="E8" i="11"/>
  <c r="D8" i="11"/>
  <c r="C8" i="11"/>
  <c r="B8" i="11"/>
  <c r="G7" i="11"/>
  <c r="F7" i="11"/>
  <c r="E7" i="11"/>
  <c r="D7" i="11"/>
  <c r="C7" i="11"/>
  <c r="B7" i="11"/>
  <c r="G6" i="11"/>
  <c r="F6" i="11"/>
  <c r="E6" i="11"/>
  <c r="D6" i="11"/>
  <c r="C6" i="11"/>
  <c r="B6" i="11"/>
  <c r="G5" i="11"/>
  <c r="F5" i="11"/>
  <c r="E5" i="11"/>
  <c r="D5" i="11"/>
  <c r="C5" i="11"/>
  <c r="B5" i="11"/>
  <c r="G4" i="11"/>
  <c r="F4" i="11"/>
  <c r="E4" i="11"/>
  <c r="D4" i="11"/>
  <c r="C4" i="11"/>
  <c r="B4" i="11"/>
  <c r="B5" i="4"/>
  <c r="C5" i="4"/>
  <c r="D5" i="4"/>
  <c r="E5" i="4"/>
  <c r="F5" i="4"/>
  <c r="G5" i="4"/>
  <c r="B6" i="4"/>
  <c r="C6" i="4"/>
  <c r="D6" i="4"/>
  <c r="E6" i="4"/>
  <c r="F6" i="4"/>
  <c r="G6" i="4"/>
  <c r="B7" i="4"/>
  <c r="C7" i="4"/>
  <c r="D7" i="4"/>
  <c r="E7" i="4"/>
  <c r="F7" i="4"/>
  <c r="G7" i="4"/>
  <c r="B8" i="4"/>
  <c r="C8" i="4"/>
  <c r="D8" i="4"/>
  <c r="E8" i="4"/>
  <c r="F8" i="4"/>
  <c r="G8" i="4"/>
  <c r="B9" i="4"/>
  <c r="C9" i="4"/>
  <c r="D9" i="4"/>
  <c r="E9" i="4"/>
  <c r="F9" i="4"/>
  <c r="G9" i="4"/>
  <c r="B10" i="4"/>
  <c r="C10" i="4"/>
  <c r="D10" i="4"/>
  <c r="E10" i="4"/>
  <c r="F10" i="4"/>
  <c r="G10" i="4"/>
  <c r="B11" i="4"/>
  <c r="C11" i="4"/>
  <c r="D11" i="4"/>
  <c r="E11" i="4"/>
  <c r="F11" i="4"/>
  <c r="G11" i="4"/>
  <c r="B12" i="4"/>
  <c r="C12" i="4"/>
  <c r="D12" i="4"/>
  <c r="E12" i="4"/>
  <c r="F12" i="4"/>
  <c r="G12" i="4"/>
  <c r="B13" i="4"/>
  <c r="C13" i="4"/>
  <c r="D13" i="4"/>
  <c r="E13" i="4"/>
  <c r="F13" i="4"/>
  <c r="G13" i="4"/>
  <c r="B14" i="4"/>
  <c r="C14" i="4"/>
  <c r="D14" i="4"/>
  <c r="E14" i="4"/>
  <c r="F14" i="4"/>
  <c r="G14" i="4"/>
  <c r="B15" i="4"/>
  <c r="C15" i="4"/>
  <c r="D15" i="4"/>
  <c r="E15" i="4"/>
  <c r="F15" i="4"/>
  <c r="G15" i="4"/>
  <c r="B16" i="4"/>
  <c r="C16" i="4"/>
  <c r="D16" i="4"/>
  <c r="E16" i="4"/>
  <c r="F16" i="4"/>
  <c r="G16" i="4"/>
  <c r="B17" i="4"/>
  <c r="C17" i="4"/>
  <c r="D17" i="4"/>
  <c r="E17" i="4"/>
  <c r="F17" i="4"/>
  <c r="G17" i="4"/>
  <c r="B18" i="4"/>
  <c r="C18" i="4"/>
  <c r="D18" i="4"/>
  <c r="E18" i="4"/>
  <c r="F18" i="4"/>
  <c r="G18" i="4"/>
  <c r="B19" i="4"/>
  <c r="C19" i="4"/>
  <c r="D19" i="4"/>
  <c r="E19" i="4"/>
  <c r="F19" i="4"/>
  <c r="G19" i="4"/>
  <c r="B20" i="4"/>
  <c r="C20" i="4"/>
  <c r="D20" i="4"/>
  <c r="E20" i="4"/>
  <c r="F20" i="4"/>
  <c r="G20" i="4"/>
  <c r="B21" i="4"/>
  <c r="C21" i="4"/>
  <c r="D21" i="4"/>
  <c r="E21" i="4"/>
  <c r="F21" i="4"/>
  <c r="G21" i="4"/>
  <c r="B22" i="4"/>
  <c r="C22" i="4"/>
  <c r="D22" i="4"/>
  <c r="E22" i="4"/>
  <c r="F22" i="4"/>
  <c r="G22" i="4"/>
  <c r="B23" i="4"/>
  <c r="C23" i="4"/>
  <c r="D23" i="4"/>
  <c r="E23" i="4"/>
  <c r="F23" i="4"/>
  <c r="G23" i="4"/>
  <c r="B24" i="4"/>
  <c r="C24" i="4"/>
  <c r="D24" i="4"/>
  <c r="E24" i="4"/>
  <c r="F24" i="4"/>
  <c r="G24" i="4"/>
  <c r="B25" i="4"/>
  <c r="C25" i="4"/>
  <c r="D25" i="4"/>
  <c r="E25" i="4"/>
  <c r="F25" i="4"/>
  <c r="G25" i="4"/>
  <c r="B26" i="4"/>
  <c r="C26" i="4"/>
  <c r="D26" i="4"/>
  <c r="E26" i="4"/>
  <c r="F26" i="4"/>
  <c r="G26" i="4"/>
  <c r="B27" i="4"/>
  <c r="C27" i="4"/>
  <c r="D27" i="4"/>
  <c r="E27" i="4"/>
  <c r="F27" i="4"/>
  <c r="G27" i="4"/>
  <c r="B28" i="4"/>
  <c r="C28" i="4"/>
  <c r="D28" i="4"/>
  <c r="E28" i="4"/>
  <c r="F28" i="4"/>
  <c r="G28" i="4"/>
  <c r="B29" i="4"/>
  <c r="C29" i="4"/>
  <c r="D29" i="4"/>
  <c r="E29" i="4"/>
  <c r="F29" i="4"/>
  <c r="G29" i="4"/>
  <c r="B30" i="4"/>
  <c r="C30" i="4"/>
  <c r="D30" i="4"/>
  <c r="E30" i="4"/>
  <c r="F30" i="4"/>
  <c r="G30" i="4"/>
  <c r="B31" i="4"/>
  <c r="C31" i="4"/>
  <c r="D31" i="4"/>
  <c r="E31" i="4"/>
  <c r="F31" i="4"/>
  <c r="G31" i="4"/>
  <c r="B32" i="4"/>
  <c r="C32" i="4"/>
  <c r="D32" i="4"/>
  <c r="E32" i="4"/>
  <c r="F32" i="4"/>
  <c r="G32" i="4"/>
  <c r="B33" i="4"/>
  <c r="C33" i="4"/>
  <c r="D33" i="4"/>
  <c r="E33" i="4"/>
  <c r="F33" i="4"/>
  <c r="G33" i="4"/>
  <c r="B34" i="4"/>
  <c r="C34" i="4"/>
  <c r="D34" i="4"/>
  <c r="E34" i="4"/>
  <c r="F34" i="4"/>
  <c r="G34" i="4"/>
  <c r="B35" i="4"/>
  <c r="C35" i="4"/>
  <c r="D35" i="4"/>
  <c r="E35" i="4"/>
  <c r="F35" i="4"/>
  <c r="G35" i="4"/>
  <c r="B36" i="4"/>
  <c r="C36" i="4"/>
  <c r="D36" i="4"/>
  <c r="E36" i="4"/>
  <c r="F36" i="4"/>
  <c r="G36" i="4"/>
  <c r="B37" i="4"/>
  <c r="C37" i="4"/>
  <c r="D37" i="4"/>
  <c r="E37" i="4"/>
  <c r="F37" i="4"/>
  <c r="G37" i="4"/>
  <c r="B38" i="4"/>
  <c r="C38" i="4"/>
  <c r="D38" i="4"/>
  <c r="E38" i="4"/>
  <c r="F38" i="4"/>
  <c r="G38" i="4"/>
  <c r="B39" i="4"/>
  <c r="C39" i="4"/>
  <c r="D39" i="4"/>
  <c r="E39" i="4"/>
  <c r="F39" i="4"/>
  <c r="G39" i="4"/>
  <c r="B40" i="4"/>
  <c r="C40" i="4"/>
  <c r="D40" i="4"/>
  <c r="E40" i="4"/>
  <c r="F40" i="4"/>
  <c r="G40" i="4"/>
  <c r="B41" i="4"/>
  <c r="C41" i="4"/>
  <c r="D41" i="4"/>
  <c r="E41" i="4"/>
  <c r="F41" i="4"/>
  <c r="G41" i="4"/>
  <c r="B42" i="4"/>
  <c r="C42" i="4"/>
  <c r="D42" i="4"/>
  <c r="E42" i="4"/>
  <c r="F42" i="4"/>
  <c r="G42" i="4"/>
  <c r="B43" i="4"/>
  <c r="C43" i="4"/>
  <c r="D43" i="4"/>
  <c r="E43" i="4"/>
  <c r="F43" i="4"/>
  <c r="G43" i="4"/>
  <c r="B44" i="4"/>
  <c r="C44" i="4"/>
  <c r="D44" i="4"/>
  <c r="E44" i="4"/>
  <c r="F44" i="4"/>
  <c r="G44" i="4"/>
  <c r="B45" i="4"/>
  <c r="C45" i="4"/>
  <c r="D45" i="4"/>
  <c r="E45" i="4"/>
  <c r="F45" i="4"/>
  <c r="G45" i="4"/>
  <c r="B46" i="4"/>
  <c r="C46" i="4"/>
  <c r="D46" i="4"/>
  <c r="E46" i="4"/>
  <c r="F46" i="4"/>
  <c r="G46" i="4"/>
  <c r="B47" i="4"/>
  <c r="C47" i="4"/>
  <c r="D47" i="4"/>
  <c r="E47" i="4"/>
  <c r="F47" i="4"/>
  <c r="G47" i="4"/>
  <c r="G4" i="4"/>
  <c r="F4" i="4"/>
  <c r="E4" i="4"/>
  <c r="D4" i="4"/>
  <c r="C128" i="14" l="1"/>
  <c r="B132" i="14" s="1"/>
  <c r="B4" i="4"/>
  <c r="C4" i="4"/>
  <c r="B4" i="2"/>
  <c r="E43" i="3" l="1"/>
  <c r="F43" i="3"/>
  <c r="F42" i="3"/>
  <c r="E42" i="3"/>
  <c r="D43" i="3"/>
  <c r="D42" i="3"/>
  <c r="F39" i="3"/>
  <c r="E39" i="3"/>
  <c r="D39" i="3"/>
  <c r="F35" i="3"/>
  <c r="E35" i="3"/>
  <c r="D35" i="3"/>
  <c r="F31" i="3"/>
  <c r="E31" i="3"/>
  <c r="D31" i="3"/>
  <c r="F38" i="3"/>
  <c r="E38" i="3"/>
  <c r="D38" i="3"/>
  <c r="F34" i="3"/>
  <c r="E34" i="3"/>
  <c r="D34" i="3"/>
  <c r="F30" i="3"/>
  <c r="E30" i="3"/>
  <c r="D30" i="3"/>
  <c r="C39" i="3" l="1"/>
  <c r="C30" i="3"/>
  <c r="C31" i="3"/>
  <c r="C42" i="3"/>
  <c r="C34" i="3"/>
  <c r="C43" i="3"/>
  <c r="C35" i="3"/>
  <c r="C38" i="3"/>
  <c r="F27" i="3"/>
  <c r="E27" i="3"/>
  <c r="D27" i="3"/>
  <c r="F23" i="3"/>
  <c r="E23" i="3"/>
  <c r="D23" i="3"/>
  <c r="F19" i="3"/>
  <c r="E19" i="3"/>
  <c r="D19" i="3"/>
  <c r="F15" i="3"/>
  <c r="E15" i="3"/>
  <c r="D15" i="3"/>
  <c r="F26" i="3"/>
  <c r="E26" i="3"/>
  <c r="D26" i="3"/>
  <c r="F22" i="3"/>
  <c r="E22" i="3"/>
  <c r="D22" i="3"/>
  <c r="F18" i="3"/>
  <c r="E18" i="3"/>
  <c r="D18" i="3"/>
  <c r="F14" i="3"/>
  <c r="E14" i="3"/>
  <c r="D14" i="3"/>
  <c r="F9" i="3"/>
  <c r="E9" i="3"/>
  <c r="D9" i="3"/>
  <c r="C9" i="3"/>
  <c r="C10" i="3" s="1"/>
  <c r="F8" i="3"/>
  <c r="E8" i="3"/>
  <c r="D8" i="3"/>
  <c r="C8" i="3"/>
  <c r="C18" i="3" l="1"/>
  <c r="C26" i="3"/>
  <c r="C15" i="3"/>
  <c r="C19" i="3"/>
  <c r="C23" i="3"/>
  <c r="C14" i="3"/>
  <c r="C27" i="3"/>
  <c r="C22" i="3"/>
  <c r="F10" i="3"/>
  <c r="F11" i="3" s="1"/>
  <c r="E10" i="3"/>
  <c r="E11" i="3" s="1"/>
  <c r="D10" i="3"/>
  <c r="D11" i="3" s="1"/>
  <c r="F5" i="3"/>
  <c r="E5" i="3"/>
  <c r="D5" i="3"/>
  <c r="D24" i="3" s="1"/>
  <c r="C11" i="3" l="1"/>
  <c r="D32" i="3"/>
  <c r="D40" i="3"/>
  <c r="D36" i="3"/>
  <c r="D44" i="3"/>
  <c r="F16" i="3"/>
  <c r="F36" i="3"/>
  <c r="F44" i="3"/>
  <c r="F40" i="3"/>
  <c r="F32" i="3"/>
  <c r="E16" i="3"/>
  <c r="E40" i="3"/>
  <c r="E32" i="3"/>
  <c r="E44" i="3"/>
  <c r="E36" i="3"/>
  <c r="F24" i="3"/>
  <c r="D16" i="3"/>
  <c r="E24" i="3"/>
  <c r="E28" i="3"/>
  <c r="D28" i="3"/>
  <c r="D20" i="3"/>
  <c r="E20" i="3"/>
  <c r="F28" i="3"/>
  <c r="F20" i="3"/>
  <c r="A18" i="2"/>
  <c r="A15" i="2"/>
  <c r="B9" i="2"/>
  <c r="A12" i="2"/>
  <c r="H6" i="2"/>
  <c r="H12" i="2"/>
  <c r="G12" i="2"/>
  <c r="F12" i="2"/>
  <c r="E12" i="2"/>
  <c r="D12" i="2"/>
  <c r="C12" i="2"/>
  <c r="B12" i="2"/>
  <c r="H5" i="2"/>
  <c r="H4" i="2"/>
  <c r="H3" i="2"/>
  <c r="B6" i="2"/>
  <c r="B7" i="2"/>
  <c r="B5" i="2"/>
  <c r="B3" i="2"/>
  <c r="C24" i="3" l="1"/>
  <c r="C28" i="3"/>
  <c r="C36" i="3"/>
  <c r="C16" i="3"/>
  <c r="C20" i="3"/>
  <c r="C44" i="3"/>
  <c r="C40" i="3"/>
  <c r="C32" i="3"/>
  <c r="O4" i="12"/>
  <c r="M4" i="12"/>
  <c r="J4" i="12"/>
  <c r="L4" i="12"/>
  <c r="K4" i="12"/>
  <c r="I4" i="12"/>
  <c r="N4" i="12"/>
  <c r="C120" i="14" l="1"/>
  <c r="C123" i="14"/>
  <c r="C125" i="14"/>
  <c r="C126" i="14" s="1"/>
  <c r="C119" i="14" l="1"/>
</calcChain>
</file>

<file path=xl/sharedStrings.xml><?xml version="1.0" encoding="utf-8"?>
<sst xmlns="http://schemas.openxmlformats.org/spreadsheetml/2006/main" count="12677" uniqueCount="3362">
  <si>
    <t>Vessel</t>
  </si>
  <si>
    <t>Year</t>
  </si>
  <si>
    <t>Alaska</t>
  </si>
  <si>
    <t>Texas</t>
  </si>
  <si>
    <t>Illinois</t>
  </si>
  <si>
    <t>Division</t>
  </si>
  <si>
    <t>Hydraulic</t>
  </si>
  <si>
    <t>Mechanical</t>
  </si>
  <si>
    <t>Hopper</t>
  </si>
  <si>
    <t>Carolina</t>
  </si>
  <si>
    <t>Ohio</t>
  </si>
  <si>
    <t>Date</t>
  </si>
  <si>
    <t>Hours</t>
  </si>
  <si>
    <t>System</t>
  </si>
  <si>
    <t>Subsystem</t>
  </si>
  <si>
    <t>Work Order #</t>
  </si>
  <si>
    <t>Delay Log Notes</t>
  </si>
  <si>
    <t>Dodge Island</t>
  </si>
  <si>
    <t>Ellis Island</t>
  </si>
  <si>
    <t>Liberty Island</t>
  </si>
  <si>
    <t>Padre Island</t>
  </si>
  <si>
    <t>Sugar Island</t>
  </si>
  <si>
    <t>Terrapin Island</t>
  </si>
  <si>
    <t>None</t>
  </si>
  <si>
    <t>Main Engine</t>
  </si>
  <si>
    <t>Air in Jacket Water</t>
  </si>
  <si>
    <t>none</t>
  </si>
  <si>
    <t>N/A</t>
  </si>
  <si>
    <t>Hull ruptured from STBD Draghead casualty. Anchor for Inspection</t>
  </si>
  <si>
    <t>Servicing articouple pads at dock</t>
  </si>
  <si>
    <t>STBD #5 Hopper door let go from brackets</t>
  </si>
  <si>
    <t>Parted PORT Draghead wire; at port for replace</t>
  </si>
  <si>
    <t>Failure STBD Gen Eng; swapping generators</t>
  </si>
  <si>
    <t>Drag Head blown out; unable to cont using jets</t>
  </si>
  <si>
    <t>Norfolk</t>
  </si>
  <si>
    <t>Fixing PORT side pad eyes</t>
  </si>
  <si>
    <t>Rear Seal</t>
  </si>
  <si>
    <t>Hole</t>
  </si>
  <si>
    <t>Removing 3 foot shell form STBD pump, replacing impellor and fix pump</t>
  </si>
  <si>
    <t>Hit by fishing vessel</t>
  </si>
  <si>
    <t>Crank case High temp – Port Drag-arm down</t>
  </si>
  <si>
    <t>Aft Ram sprung leak</t>
  </si>
  <si>
    <t>Holder motor repair</t>
  </si>
  <si>
    <t>Generator issues</t>
  </si>
  <si>
    <t>Change jackline in 18yd bucket/change becket inside 18yd bucket (found broken ear on becket), cut back closer and holder hoist cables. Change tagline cable due to broken wires @ drum</t>
  </si>
  <si>
    <t>Troubleshoot holder</t>
  </si>
  <si>
    <t>Cracked / Broken Stern Spud</t>
  </si>
  <si>
    <t>STBD spud wire broke</t>
  </si>
  <si>
    <t>Swing tripped</t>
  </si>
  <si>
    <t>Boom issue; won’t boom down</t>
  </si>
  <si>
    <t>PLC lost memory</t>
  </si>
  <si>
    <t>Stern Spud brake band foundation mount</t>
  </si>
  <si>
    <t>Change governor</t>
  </si>
  <si>
    <t>Shutdown</t>
  </si>
  <si>
    <t>Closing sheave damaged</t>
  </si>
  <si>
    <t>Swing Tripped out. Blower motor for A/C to drive room burnt out; further inspection shows burn up electrical components in swing drive cabinet.</t>
  </si>
  <si>
    <t>Oil leak</t>
  </si>
  <si>
    <t>Change thrust bearing</t>
  </si>
  <si>
    <t>Main pump #2 thrust bearing getting hot</t>
  </si>
  <si>
    <t>Replace PORT cutter motor</t>
  </si>
  <si>
    <t>Change runner out change 15 cutter teeth 5 bosses broke off 1 no good</t>
  </si>
  <si>
    <t>Tow to Atlantic City and perform main pump job</t>
  </si>
  <si>
    <t>Underway 2200</t>
  </si>
  <si>
    <t>Continue maintenance program, change liner pump number one</t>
  </si>
  <si>
    <t>MCIA #</t>
  </si>
  <si>
    <t>Engineers working on STBD Main Engine.     Update: anchored in Alpha Anchorage to let engineersdo repairs on STBD cam shaft</t>
  </si>
  <si>
    <t>4795201             1730274</t>
  </si>
  <si>
    <t>286?</t>
  </si>
  <si>
    <t>326?</t>
  </si>
  <si>
    <t>Main Engine / Propulsion</t>
  </si>
  <si>
    <t>Other (repairs)</t>
  </si>
  <si>
    <t>Trunnion Hoist</t>
  </si>
  <si>
    <t>Other</t>
  </si>
  <si>
    <t>Other Mechanical (repairs)</t>
  </si>
  <si>
    <t>Other Mechanical</t>
  </si>
  <si>
    <t>Heat Exchanger</t>
  </si>
  <si>
    <t>Propeller</t>
  </si>
  <si>
    <t>Other mechanical</t>
  </si>
  <si>
    <t>Holder</t>
  </si>
  <si>
    <t>Main Generator</t>
  </si>
  <si>
    <t>Closer Wire</t>
  </si>
  <si>
    <t>Spud Structure</t>
  </si>
  <si>
    <t>Spud Wires</t>
  </si>
  <si>
    <t>Drive (motor, gear box)</t>
  </si>
  <si>
    <t>Walking Mechanism</t>
  </si>
  <si>
    <t>Boom Winch</t>
  </si>
  <si>
    <t>Main Generator Eng</t>
  </si>
  <si>
    <t>Spud Winch</t>
  </si>
  <si>
    <t>Closer</t>
  </si>
  <si>
    <t>MCC/Switch Gear</t>
  </si>
  <si>
    <t>Motor/Engine</t>
  </si>
  <si>
    <t>Sheaves</t>
  </si>
  <si>
    <t>Bearings/Shafts</t>
  </si>
  <si>
    <t>Walking Spud</t>
  </si>
  <si>
    <t>Main Generator (Eng Rm)</t>
  </si>
  <si>
    <t>Motor (Cutter Shaft)</t>
  </si>
  <si>
    <t>Pump rebuild</t>
  </si>
  <si>
    <t>Engine/Motor</t>
  </si>
  <si>
    <t>Gland Seal</t>
  </si>
  <si>
    <t>Cutter canister (cutter shaft)</t>
  </si>
  <si>
    <t>SCR Drive/MG Set</t>
  </si>
  <si>
    <t>PLC</t>
  </si>
  <si>
    <t>Motor</t>
  </si>
  <si>
    <t>Drag Head</t>
  </si>
  <si>
    <t>Generator Engine</t>
  </si>
  <si>
    <t>Jet Pump</t>
  </si>
  <si>
    <t>Gimbal Hoist</t>
  </si>
  <si>
    <t>Jet Pump Eng / Deck Gen.</t>
  </si>
  <si>
    <t>Dredge Pump Engine</t>
  </si>
  <si>
    <t>Hydraulics</t>
  </si>
  <si>
    <t>Main Hoist</t>
  </si>
  <si>
    <t>Main / Aux Gen.</t>
  </si>
  <si>
    <t>Spud System</t>
  </si>
  <si>
    <t>Crane Swing</t>
  </si>
  <si>
    <t>Crane Boom</t>
  </si>
  <si>
    <t>Electrical/Electronics</t>
  </si>
  <si>
    <t>Main / Aux Gen</t>
  </si>
  <si>
    <t>Ladder Pump</t>
  </si>
  <si>
    <t>Spuds/Xmas Tree</t>
  </si>
  <si>
    <t>Cutter</t>
  </si>
  <si>
    <t>SCR Drive / MG Set</t>
  </si>
  <si>
    <t>Main Pump</t>
  </si>
  <si>
    <t>Spuds / Xmas Tree</t>
  </si>
  <si>
    <t>Generators</t>
  </si>
  <si>
    <t>Work Order Notes / Findings</t>
  </si>
  <si>
    <t>Contributing Factors</t>
  </si>
  <si>
    <t>Boom / Gantry Structure</t>
  </si>
  <si>
    <t>Boom Collapse</t>
  </si>
  <si>
    <t>Holding brake wont release</t>
  </si>
  <si>
    <t>Main / Aux. Generators</t>
  </si>
  <si>
    <t>broken gear box</t>
  </si>
  <si>
    <t>electrical problem</t>
  </si>
  <si>
    <t>Holding friction will not disengage, Rep. Holding br.</t>
  </si>
  <si>
    <t>ECM Main Gen</t>
  </si>
  <si>
    <t>Suction / Discharge Pipe</t>
  </si>
  <si>
    <t>Dredge Pipeline</t>
  </si>
  <si>
    <t>wash out to check cutter motor</t>
  </si>
  <si>
    <t>broken spool piece on Vosta</t>
  </si>
  <si>
    <t>Gear Box (Cutter Shaft)</t>
  </si>
  <si>
    <t>replace cutter motor</t>
  </si>
  <si>
    <t>change out port blower</t>
  </si>
  <si>
    <t>change 20 cutter teeth</t>
  </si>
  <si>
    <t>Gearbox (Ladder Pump)</t>
  </si>
  <si>
    <t>Gear box cooling system not working</t>
  </si>
  <si>
    <t>weld crack in GL-10 spud</t>
  </si>
  <si>
    <t>Idler / Spud Barge</t>
  </si>
  <si>
    <t>GL-10</t>
  </si>
  <si>
    <t>Spud roller</t>
  </si>
  <si>
    <t>port connection pin</t>
  </si>
  <si>
    <t>underway 1622; anchor 2011</t>
  </si>
  <si>
    <t xml:space="preserve">Ladder  </t>
  </si>
  <si>
    <t>Ladder Winch</t>
  </si>
  <si>
    <t>Ladder hoist computer</t>
  </si>
  <si>
    <t>Motor / Engine</t>
  </si>
  <si>
    <t>0309443</t>
  </si>
  <si>
    <t>0309370</t>
  </si>
  <si>
    <t>trip off; oil seal blew out; underway to rockaway 1413; arr 1645</t>
  </si>
  <si>
    <t>4210011  /  0309395</t>
  </si>
  <si>
    <t>Wires</t>
  </si>
  <si>
    <t xml:space="preserve">Stern  </t>
  </si>
  <si>
    <t>Swing System</t>
  </si>
  <si>
    <t>Winch System</t>
  </si>
  <si>
    <t>0309411</t>
  </si>
  <si>
    <t>Pump Leak</t>
  </si>
  <si>
    <t>0791412</t>
  </si>
  <si>
    <t>Replace rubber hose behind UWP</t>
  </si>
  <si>
    <t>Winch / Hoist System</t>
  </si>
  <si>
    <t>busted port breast winch</t>
  </si>
  <si>
    <t>0791277</t>
  </si>
  <si>
    <t>0791116</t>
  </si>
  <si>
    <t>spud winches won't start</t>
  </si>
  <si>
    <t xml:space="preserve">Dredge Pump  </t>
  </si>
  <si>
    <t>Stbd dredge pump repairs</t>
  </si>
  <si>
    <t xml:space="preserve">Gearbox  </t>
  </si>
  <si>
    <t>Bow Thruster Engine</t>
  </si>
  <si>
    <t>bow thruster 1 down</t>
  </si>
  <si>
    <t>Dredge Pump</t>
  </si>
  <si>
    <t>Clutch</t>
  </si>
  <si>
    <t>Impeller</t>
  </si>
  <si>
    <t>replace impeller with 80 inch trimmed impeller</t>
  </si>
  <si>
    <t>dredge pumps clutch out during pump out</t>
  </si>
  <si>
    <t>Gearbox</t>
  </si>
  <si>
    <t>high speed aft clutch bearing failure</t>
  </si>
  <si>
    <t>Electrical</t>
  </si>
  <si>
    <t>to anchor to assess INGETEAM system failure</t>
  </si>
  <si>
    <t>Multidrive malfunction</t>
  </si>
  <si>
    <t>Secure from dredge operations in preparation for yard period</t>
  </si>
  <si>
    <t>Piping / Hoses</t>
  </si>
  <si>
    <t>Pump Room Suction Pipe</t>
  </si>
  <si>
    <t>Stbd slope tank flooded 15 feet of water in tank vessel at anchor ocsw</t>
  </si>
  <si>
    <t>0847488</t>
  </si>
  <si>
    <t>Generator not operating in safe parameters, since initial failure; many electronic systems have shown to be potenially compromised with mulitple fuses failing and vital systems not operating consistently</t>
  </si>
  <si>
    <t>0847436</t>
  </si>
  <si>
    <t>repairs to jet pump pipe and stern tubes while at dock</t>
  </si>
  <si>
    <t>0848286</t>
  </si>
  <si>
    <t>Oil in cooling water</t>
  </si>
  <si>
    <t>engine shutdown on code red, turbo</t>
  </si>
  <si>
    <t>automation reset to correct skimmer issues</t>
  </si>
  <si>
    <t>Dock - Pascagoula</t>
  </si>
  <si>
    <t>0848100</t>
  </si>
  <si>
    <t>pump out at reduced RPM and reduced density; port M/E turbo overheating</t>
  </si>
  <si>
    <t>coupling</t>
  </si>
  <si>
    <t>Pump Bearing Assembly</t>
  </si>
  <si>
    <t>line shaft bearing coupling</t>
  </si>
  <si>
    <t>Generator Timing issue</t>
  </si>
  <si>
    <t>Lower Drag Arm</t>
  </si>
  <si>
    <t>Tail Shaft</t>
  </si>
  <si>
    <t>Stbd M/E down due to leaking stern tube</t>
  </si>
  <si>
    <t>No. 6 bottom door reach rod pulled away from cyl. rod</t>
  </si>
  <si>
    <t>inbound for trunnion repairs at Lyons Shipyard</t>
  </si>
  <si>
    <t>inbound for repairs</t>
  </si>
  <si>
    <t>standing by for main gen</t>
  </si>
  <si>
    <t>Stbd spud repairs</t>
  </si>
  <si>
    <t>Buckets</t>
  </si>
  <si>
    <t>Repair bucket</t>
  </si>
  <si>
    <t>crack in fishplate of boom hoist support structure</t>
  </si>
  <si>
    <t>Main eng oil cooler; fuel taken during down time</t>
  </si>
  <si>
    <t>hoist motor out</t>
  </si>
  <si>
    <t>Tagline</t>
  </si>
  <si>
    <t>Tagline Winch</t>
  </si>
  <si>
    <t>bucket falling; tagline motor burnt up</t>
  </si>
  <si>
    <t>fire; burnt up</t>
  </si>
  <si>
    <t>Generator</t>
  </si>
  <si>
    <t>main gen sparked flames, change 4 cutter teeth</t>
  </si>
  <si>
    <t>Ladder pump discharge elbow leak</t>
  </si>
  <si>
    <t>overheating pedistal bearing</t>
  </si>
  <si>
    <t>Port Side</t>
  </si>
  <si>
    <t>Pump Job - 36 hours</t>
  </si>
  <si>
    <t xml:space="preserve">pump job  </t>
  </si>
  <si>
    <t>front liner on main pump went bad; tow into Houma</t>
  </si>
  <si>
    <t>Pump Room Discharge Pipe</t>
  </si>
  <si>
    <t>4067460 /      4067458</t>
  </si>
  <si>
    <t>blew discharge piping in pumproom- dumping remainder of load 234</t>
  </si>
  <si>
    <t>reassembly</t>
  </si>
  <si>
    <t>troubleshooting and disassembly</t>
  </si>
  <si>
    <t>Turbo Stbd eng</t>
  </si>
  <si>
    <t>Swing winch drive not working</t>
  </si>
  <si>
    <t>Port M/E vibration issues - to Lyons shipyard for repairs</t>
  </si>
  <si>
    <t>0846068</t>
  </si>
  <si>
    <t>weakend strainer in lower engine room; off project</t>
  </si>
  <si>
    <t xml:space="preserve">Pump Bearing  </t>
  </si>
  <si>
    <t>M/E malfunction</t>
  </si>
  <si>
    <t xml:space="preserve">overheating  </t>
  </si>
  <si>
    <t>inspecting tanks</t>
  </si>
  <si>
    <t xml:space="preserve">lost compass heading; crack in bottom plate wing void </t>
  </si>
  <si>
    <t>Deck Discharge Pipe</t>
  </si>
  <si>
    <t>pipe broken</t>
  </si>
  <si>
    <t>Hose Reel Repair</t>
  </si>
  <si>
    <t>impeller swap</t>
  </si>
  <si>
    <t>clutch</t>
  </si>
  <si>
    <t>going inside to fix link on No. 7 hopper door</t>
  </si>
  <si>
    <t>4196302   /   4196456</t>
  </si>
  <si>
    <t>replace bearings; rebuild main pump</t>
  </si>
  <si>
    <t>Converted to SO# 1703226:  Align Main Generator</t>
  </si>
  <si>
    <t>Work Order not found</t>
  </si>
  <si>
    <t>Wrong WO# entered into EDL. EDL WO refers to:  "Spud Sheaves Inspection:  SHEAVES SHOW SIGNS OF WEAR CENTER HAS 1/8 AND BREAST HAVE 1/16" on 01/15/2017.</t>
  </si>
  <si>
    <t>Wrong WO# entered into EDL. EDL WO refers to:  "Port M/E Radial Bearing disassembly / inspection" on 11/13/2017.</t>
  </si>
  <si>
    <t>4067460:  Stbd dredge pump discharge piping repair:  The pipe blew out at the top of the spool piece between the discharge "WYE" and the overboard blocking valve. 
A doubler was installed completly around the pipe from the cast "WYE" to the flange for the valve.
The pump room was cleared of sand and water on the upper, mid and lower levels.
4067458:  claen up pump room from blow out on discharge Y-pipe:   first we bailed the water into bucket s so the water did n't get too high into the motor controler there was about 1.5 -2" of water in the upper pump room we removed 7  dirk slings of sand from the pump room and had to dig sand out of the pump. there valve stack sand was put in a DOT drum, we had to remove the impeller and other items from the pump room as there was 5" of sand underneath these/around these items. We fresh water washed the areas and blew the valve stack areas down with air so we did n't damage it. The welder put some doubler on but the pipe was thin and we put more doubler on so this won't happen again.</t>
  </si>
  <si>
    <t>Wrong WO# entered into EDL. EDL WO refers to:  "Ladder Hoist Winch brake inspection" on 4/21/2017.</t>
  </si>
  <si>
    <t>sail to wilmington to replace broken lower port DA</t>
  </si>
  <si>
    <t>Converted to SO# 1702817: Crane and Truck service for port lower D/A:  No findings.</t>
  </si>
  <si>
    <t>Wrong WO# entered into EDL. EDL WO refers to:  "Fabricate Steel Box" on 12/29.</t>
  </si>
  <si>
    <t>Wrong WO# entered into EDL. EDL WO refers to:  "Air Compressor Set #2, change bad oil sample" on 12/29.</t>
  </si>
  <si>
    <t>Wrong WO# entered into EDL. EDL WO refers to:  "Cutter motor (Speed control not reading)" on 12/17.</t>
  </si>
  <si>
    <t>Max5 B03 rubber spool replacement: ** Hole worn in short expansion hose
* Elbow worn thru line and epoxied for reinstall.
88 Patched and deferred to drydocking for replacement,</t>
  </si>
  <si>
    <t>#</t>
  </si>
  <si>
    <t>Notes from the Delay Log:</t>
  </si>
  <si>
    <t>WO#</t>
  </si>
  <si>
    <t>Do not change cell dimensions, set to print on one page.</t>
  </si>
  <si>
    <t xml:space="preserve">Work Order Notes / Findings: </t>
  </si>
  <si>
    <t>Contributing Factors:</t>
  </si>
  <si>
    <t>Note: 0 indicates No Contributing Factors entered into Data sheet</t>
  </si>
  <si>
    <t>No Work Order entered into Delay Log</t>
  </si>
  <si>
    <t>* All bearing cap bolts were replaced on port winch and torque to 600 ft/lbs / 40% yield of grade B7 stud during recent repair installation.
* Pillar block feet torque value - 
* .  The gears are rough and not to a set pattern. Maintenece dept and crew agreed to run to wear for establishing a set pattern.</t>
  </si>
  <si>
    <t>Work Order Title</t>
  </si>
  <si>
    <t>UWP Discharge Elbow (5C-1140)</t>
  </si>
  <si>
    <t>Remove STBD turbo on pump engine</t>
  </si>
  <si>
    <t>Replace tagline motor</t>
  </si>
  <si>
    <t>No findings</t>
  </si>
  <si>
    <t>Bearings failed in turbo. Hrs on enginbe at time of failer 26330. Crew removed hand rail and secured area. removed turbo from engine and cleaned up all parts so MSI could install new turbo.</t>
  </si>
  <si>
    <t>After open canister and letting it air out found that the buss bars on the stabd cutter motor where burned off and laying in the floor of the canister called terry wrigth he call CR with Keystone siad they migth could repair in place tect from keystone came out and looked at motor and said that they couldn't be fixed in place so plan was made to pull stabd motor and send to shop for repairs also megged port motor showed ground. 353 hrs on both motors sent installed at the SHEP porject.</t>
  </si>
  <si>
    <t>Troubleshoot STBD cutter motor</t>
  </si>
  <si>
    <t xml:space="preserve">WE FOUND THAT THE BLOWER MOTOR WAS WIRED WRONG AND WASN'T CURCLATING AIR FOR COOLING THE MOTOR .... KEYSTONE ELECTRIC WAS HERE AND FIXED THE PROBLEM </t>
  </si>
  <si>
    <t>WE FOUND THAT WE HAD 70% OF THE TRIANGLE JOIST BRACKET WAS CRACK. 
Welded it up and added stiffness.</t>
  </si>
  <si>
    <t xml:space="preserve">Weld cracks in structure for boom hoist foundation </t>
  </si>
  <si>
    <t>Replace tagline motor #2</t>
  </si>
  <si>
    <t>MOTOR BURNED UP WHILE DREDGING, NO KNOWN REASON. THIS IS THE SECOND MOTOR IN THREE WEEKS. HAD KEYSTONE TO TEST ELECTRICAL CIRCUIT, RESISTOR BANKS ON FOUND NOTHING ABNORMAL. PULLED MOTOR AND REPLACED WITH SPARE MOTOR THAT KEYSTONE DELIVERED. 
ENGINEER AND CHIEF ENGINEER REPLACED CONTACTOR DUE TO CONTACTS PITTED</t>
  </si>
  <si>
    <t>Spud Sheaves Inspection</t>
  </si>
  <si>
    <t>No Work Order entered</t>
  </si>
  <si>
    <t>Ladder Hoist Winch brake inspection</t>
  </si>
  <si>
    <t>Stbd dredge pump discharge piping repair</t>
  </si>
  <si>
    <t>Cleaned up all parts, and gears before assemblling gear box. installed new o-ring material in split line between housing peaces. Used Loctite 574 sealent between split lines and beqring end covers,installsuper nut studs and super nuts torquen all bolts to spect. Filled box with new oil .</t>
  </si>
  <si>
    <t>Reassemble cutter gearbox</t>
  </si>
  <si>
    <t>Stbd spud winch lower brake band broke at the clevis connecting point.  Brake band removed and replaced with on hand new band.</t>
  </si>
  <si>
    <t>Replace Stbd Spud Brake Band</t>
  </si>
  <si>
    <t>No findings.</t>
  </si>
  <si>
    <t>Repair to hold in Engine Room between main engines</t>
  </si>
  <si>
    <t>Source of water was a 3/8" hole in shell plating in way of frame 35 about 3' outboard of head log.</t>
  </si>
  <si>
    <t>Port #1 Slope Void</t>
  </si>
  <si>
    <t>WO# 4196302: Water got inside the oil tank fro the spring  bearing and the spring bearing insert got wipe out
From the drawing:
Shaft sleeve ID - 19.440 + 
.005  - .000.
Shaft hub OD - 19.438 +/- .002".
Meaning the shaft sleeve fit is 0" to .009" loose.
Shaft joirnal Dia. is 14.250" + .001 - .000.
Shaft jounal is 14.250"
Bearing insert is 12.266                                                                                                                                                                                             WO# 4196456:  Tear down Main Pump:  INNER SHELL WORN; BACK LINER WORN</t>
  </si>
  <si>
    <t xml:space="preserve"> Spring bearing insert and shaft replacement</t>
  </si>
  <si>
    <t>The center plate appears to be hung up and not centering and the friction plates are dragging. 
Had Mate sail to dock for tie up so work could be performed. 
Secured engine and Locked out.
Started dissasembled of Astern Clutch. Removed the Piston and Pressure plate and first friction disc. Could not remove the center disc. Had to unbolot the unit cage and then drive out the drive studs. Once studs were out removed the Center plate. Found the center plate to be cracked. 
Cleaned all parts. 
Checked the Thrust of the High speed shaft on the gearbox and found to be .007
checked the quill shaft and found to be .002
checked the up / down movement of the high speed shaft and it was .005
Installed the clutch drive studs back in the cage and mounted the cage, torqued the nuts. 
Installed the Inner wear plate. installed the inner friction disc with shims. 
Installed spare used but good Center plate, moves freely on the drive studs
Replace the outer friction disc with a used but good spare. Installed new hardware on the disc. 
Installed outer friction disc.
Installed pressure plate. 
Installed piston, and secured with 4 nuts. 
Took feeler gauge measurments of gaps on friction disc. Have not gotten to the .080 to .090 gaps as called for on the print. but these numbers are for all new equipment. Both of the friction disc are used and worn down some. 
Tested operation of the Clutch with 90 psi air. All looks good
Installed the rest of the nuts and torqued. Installed air supply from clutch control panel and operated the clutch with full pressure of 125 psi. System operates as it should.  
Disassembled the unit to try and get closer on the gap tolerances. 
Fricion disc gaps:
 Checked timing of wabco system-see wabco work order</t>
  </si>
  <si>
    <t>Astern Clutch Smoking</t>
  </si>
  <si>
    <t>Converted to SO# 1700636:  found the right aft foot jacking bolt was striped. Found the shims needed replacing. Found all foundation hardware needed replacing.</t>
  </si>
  <si>
    <t>Port Main Engine Alignment</t>
  </si>
  <si>
    <t>FOUND IF YOU DON'T HAVE TANK ON THE RIGHT WAY THE TANK WILL HIT THE COPPER TUBES. WE TURNED TANKS AROUND AND GRIND ON THE EDGE OF TANK</t>
  </si>
  <si>
    <t>Replace Oil Cooler</t>
  </si>
  <si>
    <t xml:space="preserve">WHEN DREDGE LAYS FOR AWHILE THE HYD PUMP LOSES ITS PRIME  </t>
  </si>
  <si>
    <t>Stern Spud, prime hydraulic pump</t>
  </si>
  <si>
    <t>5 Shims used on the impeller
The total duration of the job was 36 hours.
It requried 4 hours to remove the front door.  It did not appear to have been greased when it was installed
The overhead hoist would not raise.  The front door and spool piece had to be installe with traditional rigging adding to the length of the job.
The pump shell was reinforced with NORDBAK which added 6 hours to the taks.</t>
  </si>
  <si>
    <t>Replace stbd dredge pump impeller</t>
  </si>
  <si>
    <t>Port M/E Radial Bearing disassembly / inspection</t>
  </si>
  <si>
    <t>enginge side liner have wear may be need to replaced on the next pump work 
inner shell is in good condicions wear are 1 1/2 deep by the engien side and trancition pice 
D3 5 13/16 WAS THE ONLY MEASUREMENT TAKEN AND F1.100</t>
  </si>
  <si>
    <t>Rebuild Main Pump</t>
  </si>
  <si>
    <t xml:space="preserve">found that the joystick hade a bad spot  replace 
found a plc card was going bad  locking system on start up replace 
found that the 2 of the amp chips was bad  replace them
found that a ESC isolator card for ARM FEBK to drive had a broken pin 
to replace that card we haft to have Bill English come here to set up that card
Bill  came here to set up the card </t>
  </si>
  <si>
    <t xml:space="preserve">OLD MOTOR WENT BAD BECAUSE OF MOISTURE </t>
  </si>
  <si>
    <t>Change #2 hoist motor</t>
  </si>
  <si>
    <t>Crane and Truck service for port lower D/A</t>
  </si>
  <si>
    <t xml:space="preserve">during the swap front door liner we find the inter shell was wear so bad we have the desicion to be change for a new one                                                                                                                                                                                           MAIN PUMP YARDAGE SINCE LAST REBUILT 
930,000 AS OF MIDNIGHT 9/8/30
BY MONDAY OR TUESDAY SHOULD BE AROUND 1.3 MIL
</t>
  </si>
  <si>
    <t>Swap front door and liner / main pump</t>
  </si>
  <si>
    <t>Align Main Generator</t>
  </si>
  <si>
    <t xml:space="preserve">back door liner, shell, front liner,
final .070 
engineers were sent to do a s / j and help with measurements once we have measurements we will add to finding
runner will need to be changed before 1/2 way of job
SPI came on site to inspect wear issues                                                                                                                                                                      MAIN PUMP YARDAGE SINCE LAST REBUILT 
900,000 AS OF MIDNIGHT 7/30
BY 8/4 SHOULD BE AROUND 1.2 MIL                                                                                   </t>
  </si>
  <si>
    <t>Main Dredge Pump Rebuild</t>
  </si>
  <si>
    <t>AFTER 1.5 MILLION yd LINER IS WORN THROUGH 6" X 16" HOLE
SHELL SHOWING SIGNS OFF WEAR ADDED NORDVAC IN THIN SPOTS,SHELL 1 1/2" THICK IN TRANSTION
.040 LINER / RUNNER CLEARNCE AFTER LINER INSTALL</t>
  </si>
  <si>
    <t>Main pump liner change out</t>
  </si>
  <si>
    <t xml:space="preserve"> The STBD cutter motor failed during digging operations.
The STBD cutter motor showed damage to the brushes, brush holders and the commutator during the visual inspect of the motor.
When the crew bypassed the motor to operate on the port cutter motor the port cutter motor failed.</t>
  </si>
  <si>
    <t>Cutter Motor #1 (PORT) removal</t>
  </si>
  <si>
    <t>Fabricate Steel Box</t>
  </si>
  <si>
    <t xml:space="preserve">Investigate the water leaking from fwd seal and water in head tank                               Found water spraying from the fwd mechanical seal faces. Secured the engine and inspected the clamping ring. The ring did not appear to have moved. The head tank is full of water and cannot drain down. The tube is filling up faster than we can drain out. Secured the fwd seal cooling water inlet and out let to check if the chamber had developed and leak and was filling the tube. Once secured we could still not drain the water down. 
The Chief engineer made the descision that it was not safe to continue to operate the stbd tail shaft. and locked out the stbd main engine and the contontrol air to the bridge. Ingaged the air by-pass to the shaft brake and installed some anti locking ring ring supports. so that ring cannot slip back. 
Maintenance Mangers were informed as well as Regulatory bodies.      </t>
  </si>
  <si>
    <t>STBD Stern tube - water</t>
  </si>
  <si>
    <t xml:space="preserve">MAIN PUMP YARDAGE SINCE LAST REBUILT 
1,221,465                                                                                                                                                                                                      0.95 in the bottom and sides and 0.40 in the top think it's a small humo in the liner casting have all measurements and will get in the system with some help
only replaced ss liner @ 1,221,465 </t>
  </si>
  <si>
    <t>Remove tail shaft and install</t>
  </si>
  <si>
    <t>Had air box fire on port pump engine around # 20 cylinder shut engine down wait a cpulpe hrs before open and inspecting engine though that the turbo went out, started to take it apart but stoped after inspecting engine more and talking to MSI, MSI sent to mechanics out to trouble shoot engine. They inspected the turbo and siad it looked fine, found the rings stuck on # 20 cylinder and changed it out. They said that being the rings where stuck that a peace of carbon ember passed thourg and cought some oil on fire in the air box causing a flare up. It was only around # 20 cylinder so changed it out and the injector.</t>
  </si>
  <si>
    <t>Troubleshoot PORT pump engine</t>
  </si>
  <si>
    <t>Possible wrong WO?     Converted to SO# 1705244: The engine shut down on high jacket temperature. The thermostats were replaced and the engine put back into service. The engine started to overheat and the expansion tank overflowed. The water pump was checked for failure and found to be fully operational. The engine was filled back up with water and restarted. A large bang was heard and the engine shut back down. The source of the noise was found to be in cylinder #7. The injector crab hold down bolt had failed and the injector hit the valve cover. The injector was removed and water was found in the cylinder. The head was removed and inspected for signs of failure; no visible signs of failure were evident. The piston head was inspected for visible signs of failure none was evident.  The power assembly (piston, rod, bearing &amp; liner) were removed from the engine. The crank shaft was inspected for damage and minor scuffing was found on the crank bearing area. The cylinder bore was cleaned and the new power assembly was installed along with new head and injector, injector hold down bolt and injector crab. The engine was refilled with water and the oil and filters were changed. The engine water was added at the water pump inlet to help purge any entrapped air from the engine. The engine was test ran at various RPM under load and injector cut out test were performed and #9 injector was found to be operating erratically. The injector was replaced and the engine was test ran again all injectors were firing normally and exhaust temps were within 15 degrees of each other and jacket water temperature was stable at ~185 degrees. The engine was returned to service and is operating properly at this time.</t>
  </si>
  <si>
    <t>Stbd dredge engine troubleshoot</t>
  </si>
  <si>
    <t>The STBD cutter motor had 2 internal power jumpers fall and land on the aramature. The armature is damaged and the motor is being removed and sent in for overhaul.
The dredge will setup to run on one cutter motor</t>
  </si>
  <si>
    <t>Cutter Motor #2 (STBD) Removal</t>
  </si>
  <si>
    <t>Cutter Motor #2 (STBD) installation</t>
  </si>
  <si>
    <t>MAIN PUMP YARDAGE SINCE LAST REBUILT 
TODAYS DATE 2/11/18 YD'S @ 900,000 LOOKING FOR 1.5
INSPECTION TO DAY LOOKED GOOD                                                                                                                                                                .095 front door clearnce</t>
  </si>
  <si>
    <t>Converted to SO# 1705317:  CORIN REPLACED THE FWD ORING SEALS ON THE CLAMP RINGS FOR PORT AND STBD STERN TUBES. AFTER SEVERAL DAYS OF WORKING SEALS WERE CHECKED AND FOUND LEAKING AGAIN. FACES NEED TO BE MACHINED TO ELIMINATE LEAKAGE. MAINTENANCE MANAGER MADE AWARE OF THIS. VERBAL CONVERSATION ON 3-7-18 ABOUT LEAKAGE AND REPAIRS TO BE MADE NEXT DRY DOCKING OR WHEN NEEDED BEFORE THAT. JRM</t>
  </si>
  <si>
    <t>Replace PORT and STBD inboard stern tube clamp ring seals</t>
  </si>
  <si>
    <t>AFTER SEVERAL DAYS OF GONG THROUGH ENGINE AND ELMINATING THE SIMPLEST THINGS WE WERE ABLE TO NARROW DOWN THE ISSUE TO THE SWITCH BOARD IN CONTROL ROOM. LOAD SHARING MODULE WAS PUTTTING OUT A ERRATIC SIGNAL FROM THE OUTPUT OF THE PWM. (PULSATING WIDTH MODULE) THIS SIGNAL WAS CAUSING AN ISSUE WITH THE ENGINE RPM'S. ALSO FOUND NOT OPERATING CORRECTLY WAS THE FREQUENCY POTENTIOMETER. IT WAS FOUND MAXED OUT COMPLETLEY AND READING 10K. UNIT SHOULD HAVE BEEN READING NO MORE THAN 5K. AFTER MAKING THE ADJUSTMENTS (SLIMMER) TO THE POT WE WERE THEN ABLE TO START THE ENGINE AND RUN UP TO RATED ENGINE SPEED. PWM WAS CHECKED AGAIN WITH THE METER AND THE SIGNAL WAS STEADY. 68.5%
BEFORE PUTTING GEN ONLINE SUGGESTIONS WERE MADE TO AGAIN CHECK THE PMG STATOR AFTER CHECKING THE VOLTAGE ACROSS PM1 AND PM4 WHICH THE OUTPUT SHOULD BE 240V. VOLTAGE READING 227V AS BEFORE WHEN WE CHECKED IN MAY. MEGGERING THE STATOR REVEALED DEAD SHORT THIS TIME AND NOT A LOW SHORT CIRCUIT. DECISION WAS MADE TO REPLACE STATOR WITH SPARES ON BOARD. SPARES ON BOARD ARE FOR THE ORIGINAL GEN SETS ON BOARD. PORT GEN IS OF THE NEW MODEL AND THESE PARTS ARE NOT INTERCHANGEABLE. NEW GEN PURCHASED SITTING IN THE NORFOLK YARD HAS THE STATOR NEEDED AND WILL BE REMOVED FROM THAT GEN AND SHIPPED TO US.
CORRECT SPARES WILL BE ORDERED TO REPLACE
INVESTGATION CONTINUES TO FIND OUT WHAT EXACTLY CAUSED THE GEN FAILURE. EARLY INDICATIONS POINT TO A BAD INPUT CARD THAT PUTS OUT FREQUENCY, VOLTAGE, WATTAGE, AMPERAGE. CHRIS SLIMMER HAS SOME OF THE TREND DATA. ATTACHED ALSO YOU WILL FIND THE TREND DATA ALONG WITH QUOTE FOR NEW AND REMAN STATOR FROM KATO.  
3/2/18 JRM
GENERATORS RUNNING IN LOCAL POSITION. 3/8/18 JRM</t>
  </si>
  <si>
    <t xml:space="preserve">Troubleshooting issues with PORT Gen not coming up to rated engine speed:  </t>
  </si>
  <si>
    <t xml:space="preserve">MAIN PUMP YARDAGE SINCE LAST REBUILT 
TODAYS DATE 3/18/18 YD'S @ 1 million LOOKING FOR 1.5
INSPECTION TO DAY LOOKED GOOD                                                                                                                                                                .065 clearnce 
only front linner was replaced 1730416 
full pump wet part rebuild to be done post Whiskey / except runner </t>
  </si>
  <si>
    <t xml:space="preserve">Work Order cancelled on 7/24/2018:  </t>
  </si>
  <si>
    <t>Port Thrust Bearing Seal</t>
  </si>
  <si>
    <t>Work Order cancelled on 7/24/2018</t>
  </si>
  <si>
    <t xml:space="preserve"> Main generator voltage was fluctuating.  Would not stay in parallel. GLDD electrician attended dredge, generator would not stay in parallel. Found transformer set faulty.  Replaced with onboard spare.  Adjusted voltage output.</t>
  </si>
  <si>
    <t>Troubleshoot Main Generator #2</t>
  </si>
  <si>
    <t>Converted to SO# 1707010:  Labor to repair line reactor in ASEA SCR drive cabinet.  
Part brought in and repaired at Globaltech's shop on 4/23/2018; reinstalled.</t>
  </si>
  <si>
    <t>Repair closing drive line reactor</t>
  </si>
  <si>
    <t>Port dredge pump line shaft hub (pump end) was found with broken gear teeth</t>
  </si>
  <si>
    <t>As found condition.
-Pump side hub and barrel sleeve found to have broken teeth all the way around.
- coupling had 4 draghead bolts instead of sheer pins. Parts have been on order and under PO 1706376. Due to high cost of parts the bolts have been sent to be reverse engineered so they can be purchased elsewhere.
-After failure, line shaft bearing foundation bolts found to be loose. Could be root cause of failure
-Hub gap is 6 7/8". Supposed to be 6" This indicates the line shaft has been adjusted aft beyond normal range. Shaft gets adjusted aft to maintain the impeller to suction liner gap to 1/8". This Could be root cause of failure.
-Line shaft found to be 60thou high in comparisan to the gearbox output shaft. Within Tollerance.
-Engine side door to impeller is 2" gap
-Liner sits inside the stuffing box 1". Chief had to put 5 rings instead of 6. This caused the hp pump gland to leak sand excessively causing premature wear to liner and stuff box.
Corrective action.
Replace pump side hub and barrel sleeve(hub cover) and plates.
Shim backside of the impeller. Between Impeller and shaft with crush rings. MPW stated we can shim the shaft up 1" with crush rings. Stack up 7 crush rings in total of just less then 1".
Adjust position of Coupling hub gap to 6"
Adjust impeller clearance to 1/8"</t>
  </si>
  <si>
    <t>Open and Inspect Cutter Gearbox failure</t>
  </si>
  <si>
    <t>Converted to SO# 1707524:  No findings</t>
  </si>
  <si>
    <t>DR53 boom recovery - FLNG - Teichman Group</t>
  </si>
  <si>
    <t>Mechanical failure of drive teeth of the prime mover end
Wrong parts in spares &amp; uninventoried
No shear pins available
No gasket &amp; seal kit available
No economy bushings available
Shear pin hardware kit not needed - we have no shear pins</t>
  </si>
  <si>
    <t>PS dredge Pp (Falk) Coupling: renew drive shaft hub &amp; sleeve</t>
  </si>
  <si>
    <t>Pump shaft Hub/Sleeve has appeared to have failed - possibly more
B4 starting it was discussed that the entire coupling would be renewed - using in-stock spares
Gasket &amp; Seal kit was not in-stock
Replacement bolts (28) were not in-stock
Upon dis-assembly alignment was in XS of 100/1000's-in incorrect
Upon disassembly: Shaft(end)-to-Shaf(end) clearance was 6-7/8 in.   
Finished it was 6-in. 
Final alignment:   RADIAL  (12) 0, (3) +3,   (6) 10, (9) +5
                           RUNOUT (12) 0, (3) -10, (6) -6,  (9) +4</t>
  </si>
  <si>
    <t>Renew PS dredge PP Drive Coupling using new</t>
  </si>
  <si>
    <t>Replaced tw burn wires and two fuses</t>
  </si>
  <si>
    <t>Drive Field Loss troubleshooting</t>
  </si>
  <si>
    <t>No findings as of 7/10/18 jrm
S/R CREATED FOR TECHS TO COME OUT 0848103</t>
  </si>
  <si>
    <t>Troubleshoot issues with PORT M/E turbo inlet temps high</t>
  </si>
  <si>
    <t xml:space="preserve">Bad bearing on output shaft Thrust. Removend top on uwp gear box. Inspected H/S &amp; intermediate bearings in box ,Looked ok. Removed L/S shaft &amp; sent cmmc to have Thrust bearing changed on shafting. 
 After inspection of bearing we had on hand ! Was determined that bearing was not useable. Having new bearing over nighted from timken to cmmc. 
After feather inspection on H/S &amp; intermediate bearing we have on hand it was found bearing were not useable. ( bad pitting in rollers)
Started inspection on shafting on uwp found coupling at thrust bearing had lots of were and needed to be changed out.
After L/S shaft came back from cmmc installed in box. After install checked measurements between coupling &amp; was out of tolerance. Add shimming material between shift 1 &amp; 2 to bring thrust back with in tolerance, Add 1" of shimming to shafting. After changing # 2 shaft and checking alignment on thrust bearing. Tested run gear box &amp; watch temps on bearings, Looked ok.  </t>
  </si>
  <si>
    <t>Ladder Pump (UWP Gear box bearing replacement)</t>
  </si>
  <si>
    <t>Ladder pump motor #006 installation</t>
  </si>
  <si>
    <t xml:space="preserve">Meg test on spare replacement # 006 motor prior to installation  = 250 meg @ 500 vdc
Flushed all oil circulation pipes and flushed out vacuum tank.
Replaced the oil filter on the circulation pump system. </t>
  </si>
  <si>
    <t>After wiring up motor to check for proper rotation new motor would not start. Upon further investigation it was found that the auxillary contacts were welded together and damage by loose screw (ARC DAMAGE TO CONTACT) New contact installed and rotation verified.</t>
  </si>
  <si>
    <t>Troubleshoot STBD dredge pump prelube motor tripping out</t>
  </si>
  <si>
    <t xml:space="preserve">Port cutter motor tripped out. watch engineer looked into port cutter motor tripping out. Did'nt see anythang wrong. Reseat drive and told leaverman to try it. at that point sow sparking inside of canister &amp; a red glowing inside of blower drive box. immadiately killed all power going to cutter drive and lock out. opened blower drive cabinet and found that MOV for blower motor was burned out. found one and changed out. Checked fues in drive found (2) bad changed out.
 Open cutter canister to check blower motors. found lower blower motor bearings were bad. At this time started towing dredge inside for repair's. Remoived top off cutter canister to remove blower moter. Removed old motor and installed new. checked rotation on motor, was good. Cleaned gasket area and resealed.And installed top back on caister. </t>
  </si>
  <si>
    <t>Port Cutter Motor Blower (change out)</t>
  </si>
  <si>
    <t>Port Stern Winch Removal</t>
  </si>
  <si>
    <t>Air Compressor Set #2, change bad oil sample</t>
  </si>
  <si>
    <t>14 INCH crack running horizonally at bouful plate just above sheaves
Drilled a 1" hole in spud at crack location
Put nipple in and welded 
Air arced crack out and put holes at end of crack
Welded the root pass with a solid wire and the rest wit a flux core wire</t>
  </si>
  <si>
    <t>Repair crack in spud</t>
  </si>
  <si>
    <t>SB Genset Engine needs tech support to correct engine not operating correctly</t>
  </si>
  <si>
    <t>Converted to SO# 1710522:  Reset Fuel Camshaft timing &amp; torque drive gear to shaft  Timing gear has been slipping on tapered shaft connection  Run engine with electrical load, test. Then put genset in STBY</t>
  </si>
  <si>
    <t>FOUND LEAKING SEAL TO BE PITTED ON BOTH IT'S TWO LAPPED MATING SURFACES, AND CONTAMINATED WITH DIRT AND DEBRIS.
REPLACED WITH NEW OIL SEAL. ----   (Mechanical Seal, High Speed Shaft, Cutter Gearbox
 Single Spring Type T- 8-1V0, (Per Drawing No. Ga-119282-1, Gldd Dwg # 110-02-23594)
P/N M192780
Shaft Diameter:  6.500"
Seal Size:  7.500" 
0.006" radial movement measured for the starboard pinion shaft.
Thrust end-play measurement 0.005" for the starboard pinion shaft.</t>
  </si>
  <si>
    <t>cutter gearbox oil seal replacement (Stbd input pinion)</t>
  </si>
  <si>
    <t>Cutter motor (Speed control not reading)</t>
  </si>
  <si>
    <t>WO# 4210011:SS LINER (NO NUMBER), INNER SHELL (140362-3-1   1676099) &amp; ES LINER (150417-2-1   1687395) ALL HAD SIGNIFICANT WEAR. 
TOTAL YARDS ON ALL THREE WET END PARTS: 
96" 4 VANE IMPELLER (140225-3-1   1675685) HAD SIGNIFICANT WEAR AND NEEDS TO BE SCRAPT
TOTAL YARDS: 1,063,792 CY, LBI PROJECT   475,701 CY, SHEP PROJECT   355,517 CY, CAPE MAY PROJECT   815,771 CY, MOREHEAD CITY PROJECT   129,649 CY, AVALON PROJECT   5,210,782 CY, PHILLY TO THE SEA PROJECT   TOTAL : 8,051,212 CY.
NEW PARTS:
SS LINER: 160304   1693774
ES LINER: 170046-9-1   1697652
INNER SHELL: 150431-1-1  1687394
96" 4 VANE IMPELLER: 150346-1-1  1686365                                                                                                                                                  WO#  0309395: SPARE REPLACEMENT SHAFT SURFACE AREA WHERE THE SLEEVE COVERS WAS PITTED WITH RUST, AND DETERIORATED APPROXIMATELY 25% OF IT'S LENGTH.,
SET THRUST CLEARANCE TO 0.30"</t>
  </si>
  <si>
    <t xml:space="preserve">  Dredge Pump Rebuild / Thrust Shaft Replacement</t>
  </si>
  <si>
    <t>Work on lower starboard dragarm began at 0800 6 September. Draghead, dragarm, jet lines, hoses removed. New equipment installed. Complet @ 0300 7 August</t>
  </si>
  <si>
    <t>Lower Dragarm, STBD replace</t>
  </si>
  <si>
    <t>Converted to SO# 1712686: During initial investigation, it was noticed there was a cracked tooth on the input shaft as viewed through the access plate.
Neeed Accounting te re activate Chalmers and Kubeck to create PO - RG 9/17</t>
  </si>
  <si>
    <t xml:space="preserve"> Investigate and repair STBD spud gear box: </t>
  </si>
  <si>
    <t>Converted to SO# 1712789: Findings from Chris Slimmer --
I received a call from the Illinois crew on Saturday night Sept 22nd 2018. The MG motor starter had faulted. Working with Van on the phone Saturday night it was determined that there was a problem with the synchronous field controller, and that the controller would need parts and an operational check. Due to impending weather, the dredge was towed in.
I worked with the Benshaw emergency service line on Sunday, and a survey of the pictures provided by the Illinois crew showed a cracked SCR pack, and a heated up and corroded wire on the B phase of the 250VAC power supply to the field SCR’s. I changed my travel destination to arrive Monday evening in New York. 
Monday morning I was able to get a quote from Steiner Electric via Benshaw for a field service tech to attend to the field controller repair. A tech was scheduled to travel Tuesday morning to NYC and the Illinois.
Tuesday morning using information from Chief Craig, I purchased wire and other hardware to initiate replacement of the faulty wire prior to the arrival of the Benshaw tech. Once on the Illinois, it was found that the B phase feed wire, terminal strip and SCR pack showed signs of excessive heat. Most likely this was caused due to a loose connection on the SCR pack heating up and the heat migrating thru the incoming wire and terminal block. This wire was replaced from the 250VAC fuses in the back of the cabinet to the forward control compartment. 
Upon arrival of the Benshaw tech, he removed and replaced all three SCR packs, and checked all of the controller wiring. He also checked the 2400 VAC starter section of the system. Due to some issues with the fit of the new parts and finding a miss wiring issue, we did not test the starter until after 7PM Tuesday night. While the MG motor ramped up correctly, the field power was not working correctly. Due to the late hour, and the fact that the Illinois was not returning to work until Thursday or later, we left the Illinois at 8PM to resume fault finding Wednesday.
The Benshaw tech and myself arrived at the Illinois at 8AM. The tech removed one of the replacement SCR packs to check the I/O arrangement. Inspection of the old and new SCR packs found a change in connection pattern, a switch in the cathode and gate wires on one side of the packs. After the wiring was changed, we fired up the 2400VAC and tested the starter. 
After the soft start ran the motor up, and across the line, the field controller brought the field up to 37A. We fired up the swing and cutter systems, and both worked correctly. We ran the MG motor for around an hour. Checking of the heat inside the field controller cabinet showed around 115F on the SCR packs after running an hour. The Benshaw tech deemed this a normal temp, and we shut the MG starter down. We did complete one more start sequence to check the MG starter one more time, all worked well. The Benshaw tech left the Illinois at 11AM.
As to corrective action to prevent this fault from occurring again, I would recommend a standard job to check tightness of the SCR connections once a year. And a bi-annual check of the heat balance between the three phases inside the field cabinet.</t>
  </si>
  <si>
    <t xml:space="preserve"> Inspect and repair Synch motor soft start / excter field</t>
  </si>
  <si>
    <t>FOUND SUCTION PIPE, ATTACHED TO MOUTH PIECE COLLASPED. REPLACED 8' SECTION.
FOUND NEXT 21' TO ONLY BE 1/8" THICK ON BOTTOM. LINNED INSIDE BOTTOM THIRD WITH 1" PIPE.
ALL LADDER PIPE WAS SUPPOSED TO BE SOUNDED BY SHIPYARD 4 MONTHS AGO. THEY REPORTED NOTHIG LESS THAN 1/2".</t>
  </si>
  <si>
    <t>Repair/Replace collapsed suction pipe</t>
  </si>
  <si>
    <t>During morning rounds C/E heard soming coming from the No. 1 left fuel pump area, Had 1st Engineer listen and he heard soming from the valve train area.
Engine was shut down and the valve cover was removed and found the intake valve bridge was broken.
The dry sump inspection coveres were removed for inspection of cam shafts.
Found damage on No. 1 left exhaust lobe, considerable wear for 16 hours of operation,
found exhaust cam lobe damage on No. 6 Left
found exhaust cam lobe damage on No. 4 Right. 
 Notified Mike Kraljevic and Spencer Garret of Waymore Power and it was decided not to try and run theengine again until what is causing the problem found. 
The decision was made to pull the cylinder heads on No. 1 &amp; 6 left and No. 4 Right and send them to Waymore Power for inspection to find out if this was a component problem with the rebuilt heads. Sent a total of 5 heads, heads had been removed during the origianl problem. 
Fuel Pump Supports removed from 1 &amp; 6 left and 4 right.
10-18-19
Crew removed the jacket water piping in prep for cam shaft removal. Unbolted right side cam sections 1-2 and 3-4 to allow for removal, Had to remove fuel pump support on No. 5 right
10-19-18
Crew pulled cam sections 1 - 2  and 3-4 right. 
Installed new cam section for 3-4  right (P/N: 2160219) and installed cam section 1-2 right. 
Torqued the stud bolts and installed cam shaft ballancer housing and ballance, torqued the studs and insatlled cover and overspeed trip assembly. INstalled fuel pump supports on the right side and started removing the left side fuel pump supports
removed the left side cam shaft ballancer and housing. 
Started removing all exhaust bolts from cylinder heads in prep for the change out of all heads by Waymore Power
Note: Conferance call with Mike K and Waymore and C/E today. No smoking gun found but there is some issue with maybe the valve clips and the rotators, so the decision was made that Waymore will rebuild 15 new heads with know vendor parts and have them shipped down to Albany for replacment of heads on Stbd MAin ENgine. One head will be taken from the Terrapin stock and rebuilt with new parts brought by Waymore Power.) 
10-20-18
 Pulled reaminder of heads from left bank
Pulled out cam section 1-2, 3-5, 5-6 on left bank. Sections 1-2, 5-6 will be changed out and will reuse section 3-4 
Heads removed from right bank 
Cleaned all parts in prep for rebuild
10-21-18
 Cleaning Exhaust and intake flanges
Lapping liner / head seats on block
Continued preping for cam, head change when Waymore Power arrives
10-22-18
 Waymore Power arrived in Afternoon
Lowerd parts into engine space
started to install oil, drain, and push rod jumpes onto hew heads.
10-23-18
Waymore power working on Engine, Installing left bank cam sections, ( all but section 1-2) Part is being shipped from Canada
Waymore taking readings on all new heads, ( not rebuilt yet) waiting on Parts from 
Waymore chainging out bad lifters and rollers on left bank
10-24-18
 Waiting on parts from Canada
10-25-18
Parts arrived from Canada and spare heads are being built and installed.
Waymore got all heads installed and water ready
Terrapin crew finished up install of cam sec 1-2 left and installed balancer and closed up. 
Crew installed after cooler cover and all jacket water piping. 
Waymore left for the day, Crew continued and installed and torqued the valve train and started to fill engine with water.
water started to pour from No. 3 head, inspection forund that a freeze plug had been left out. 
Pulled head and prepped for intallation of a spare head.
10-26-18
 Crew pressure tested spare head on Port side, all ok. Moved head to stbd side and installed Springs and new valve rotators.
Cleaned and inspected dry sump
Installed head and connected exhaust / intake piping. 
Waymore completed head install and torqued. 
Waymore set fuel pump timing and valve lash. 
Engine was pre lubed and all looked good.
Engine was started and a few exhaust / fuel leaks were noted.
Engine was shut down and repaired exhaust and fuel leaks
Engine was restarted and let run for 1 hour. 
Engine was shut down and cam / and rollers inspected. All ok
Dredge left the dock and back to work. 
1800 Engine was secured and an inspection was done on the cams and rollers, All looks good. 
repaired Air intake leak at No. 7 left and tightend crab bolts on all heads (exhaust) 
1930, engine back on line</t>
  </si>
  <si>
    <t>Investigate noise coming from No.1 left cylinder M/E (Stbd)</t>
  </si>
  <si>
    <t>Converted to SO# 1714014: During normal operations of the main generator all inputs to the EMDEC disappeared and the engine went to idle and the generator breaker tripped.
Power supply batterries were changed with new batterries and the engine was started and placed online.
The generator ran for 4 hours and then the EMDEC failed again and tripped the engine offline.</t>
  </si>
  <si>
    <t>Troubleshoot and Repair generator EMDEC</t>
  </si>
  <si>
    <t>1.Replaced micro logix processor, Backup battery, Memory module and installed program.
2. Replaced Avtron CPU board and System board.
3. Configured networking IP Addresses for Avtron, Allen Bradley panel view and Micro Logix processor.
4. Verified Avtron parameters.</t>
  </si>
  <si>
    <t xml:space="preserve">Ladder hoist drive troubleshooting:                    </t>
  </si>
  <si>
    <t>No Description / No findings.</t>
  </si>
  <si>
    <t>Change 34" suction pipe</t>
  </si>
  <si>
    <t>The Starboard Dredge Pump Gearbox input shaft &amp; bearing failed. The shaft was cut in two and the heat melted out the seal assembly and damaged the clutch as well. 
Jake from MSI came out to assist in the replacement of the failed gear assembly.
The reduction gear and input gear were replaced and the clutch was replaced at this time also.</t>
  </si>
  <si>
    <t>Stbd dredge pump gear box - investigae and disassembly</t>
  </si>
  <si>
    <t>Found thrust bearing leaking oil from seal on gland seal end of thrust bearing. Also leaking at split line on same end. Changed out thrust bearing with one we have on hand. front seal looked like it was starting deterge where both services meet.</t>
  </si>
  <si>
    <t>UWP Thrust bearing (repair leaks or change out)</t>
  </si>
  <si>
    <t>found # 6 cylinder connecting yoke pulled off cylinder 
Completed at EPIC shipyard by the yard workers.  No shipboard labor used.</t>
  </si>
  <si>
    <t># 6 hopper door cylinder and reach rod assembly - replace</t>
  </si>
  <si>
    <t>LAST NIGHT WHILE THE OPERATOR WAS DIGGING THE BRACKET THAT HOLDS THE TWO CYLINDERS FOR THE DIGGING BRAKES PULLED OFF THE DECK. THIS IS FOR THE HOLDER DRUM. WELD BRACKETS THAT THE TWO CYLINDER FOR THE DIGGING BRAKES BOLT TO. REMOVE ALL LINKAGE AND CYLINDERS. CUT THE LITTLE WELD THAT WAS LEFT AND WELD BACK IN PLACE. PUT EXTRA WELD AND GUSSETS FOR MORE STRENGTH.</t>
  </si>
  <si>
    <t>Weld holder brake cylinder bracket back down</t>
  </si>
  <si>
    <t>WO Title:</t>
  </si>
  <si>
    <t>DIVISION:</t>
  </si>
  <si>
    <t>VESSEL:</t>
  </si>
  <si>
    <t>DATE:</t>
  </si>
  <si>
    <t>YEAR:</t>
  </si>
  <si>
    <t>HOURS:</t>
  </si>
  <si>
    <t>CAT:</t>
  </si>
  <si>
    <t>SUBCAT:</t>
  </si>
  <si>
    <t>Major Mech to view [Enter # from Data sheet column A]:</t>
  </si>
  <si>
    <t>Only enter data into blue shade block,</t>
  </si>
  <si>
    <t>form will auto-populate from Data</t>
  </si>
  <si>
    <t>Ladder Pump Motor (1250 HP) removal</t>
  </si>
  <si>
    <t>The output seal from the motor to the pump failed discharging oil into the water.
Oil system was secured and spilled oil was cleaned up.
ECM services, USCG and DSHEM were notified of the spill and the clean up.
Motor removed and new motor installed</t>
  </si>
  <si>
    <t>Dredge Pump Rebuild</t>
  </si>
  <si>
    <t xml:space="preserve">ALL WET END PARTS FOUND TO HAVE SIGNIFICANT WEAR. PUMP DOOR HAD SOME DAMAGE DUE TO SEVERAL HOLES IN THE LINER. REPAIRED ALL WEAR BY BUILDING BACK UP WITH WELD.
IMPELLER  (150346-1-1   1686365), WAS NEW WHNE INSTALLED BUT HAD AN AREA ON THE BACK SIDE THAT WAS WORN PRETTY GOOD. WE REPLACED IT. TOTAL YARDS PUMPED: 2,853,903 CYS.
SS LINER (160304   1693774), ES LINER (170046-9-1   1697652), INNER SHELL (150431-1-1) TOTAL YARDS PUMPED: 2,853,903 CYS.
NEW PARTS INSTALLED:
ES LINER: 170119-1-1   169986
SS LINER: 160314-6-1   1693432
INNER SHELL: 160174-1-1   1691594
IMPELLER: (170046-8-1   1697652)  97" 4 VANE </t>
  </si>
  <si>
    <t>Repair gear train failure</t>
  </si>
  <si>
    <t>the engine was found to have multiple teeth failures on the #2 idler gear and on the main drive gear.
the drive tube and counterbalance weight had to be removed to change the drive gear.
The counterbalance weight had to be removed prior to the removal of the drive tube due to clearances between the drive hub and the flywheel.
a total of eight heads were replaced along with the drive gear and #2 idler gear.
For complete details see NRE report (attached)     (*RAM Team - did not see any attachments in WO)</t>
  </si>
  <si>
    <t>0848934</t>
  </si>
  <si>
    <t>Repair dragarm calbes due to gimbal failure</t>
  </si>
  <si>
    <t>65' cable pulled out from both junction boxes. damaged 12' cables to horizontal and vertical sensors. Also replaced upper pipe verticle sensor.</t>
  </si>
  <si>
    <t>Replace STBD dredge pump impeller and remove UXO</t>
  </si>
  <si>
    <t>A UXO was dug up and it did extensive damage to the dredge pump impeller. 
completed by:
S. Taylor
S. Caffy
J. Allen
A. Pittman
J. Bradford
J. Gager
J. Sinclair</t>
  </si>
  <si>
    <t>R&amp;R thrusting bearing assembly</t>
  </si>
  <si>
    <t>We found the bearing to have 0.072 in. of vertical movement in the front bearing.
The shaft looks to be bent 0.065 in.</t>
  </si>
  <si>
    <t>Repairs to PORT Generator</t>
  </si>
  <si>
    <t>The end bell NTN brand  bearing with a  pressed metal cage had a cage failure. This caused a bind from uneven bearing balls and the outer bearing race broke, and the exciter bottomed out causing the exciter to drop the load. There was grease in the bearing and no sign of overheating.  I recommend that a KATO bearing be used. DCB
A double shielded  NTN 63317C3 Bearing  was ordered by MSK and installed. It was the same bearing previously used. DCB</t>
  </si>
  <si>
    <t>0848946</t>
  </si>
  <si>
    <t>Ships crew to remove STBD Gen set (kato) due to electrical failure</t>
  </si>
  <si>
    <t>Generator has extensive damage to the stator assembly. The generator had a complete failure
02-09-19
New kato generator installed. signed off by ABS and USCG.
departed Talleyrand (Jacksonville, Fl.) pier side in route to Mayport dredging project.</t>
  </si>
  <si>
    <t xml:space="preserve">2/11/19 The Port Main Engine started getting LOW JACKET WATER PRESSURE alarms. After bleeding air from the system, the condition returned several times. The engine cooling water system was pressurized using potable water supply pressure, followed by a cylinder test cock blow down. This exposed a leak somewhere in the #12 cylinder power assembly after witnessing water being ejected from the #12 cylinder test cock. The cylinder head was removed to try to identify the leak. The head, head gasket &amp; grommets appeared ok, so we replaced the power assembly using the short pack method to insure the problem would be corrected. A Blade assembly was used (even though #12 Cylinder is a fork) because we could not confirm during off hours that the EMD power pack was compatible with the NRE Assembly. DCB </t>
  </si>
  <si>
    <t>Port M/E - Troubleshoot and Repair</t>
  </si>
  <si>
    <t>Fix Pump no.1 leak</t>
  </si>
  <si>
    <t>1-clean up still ok
2-front door &amp; liner ok
3-impeller ok
4-rotate suction side liner 90 degree</t>
  </si>
  <si>
    <t>Mechanic to troubleshoot M/E</t>
  </si>
  <si>
    <t xml:space="preserve">Converted to SO# 1719081:  Provide the labor, material and equipment as required to accomplish the following:
1. Inspect engine to locate reason for brass shavings to found in oil filter / oil sump                                  
  2.   After fault is located, provide GLDD with material and labor  cost for repairs   </t>
  </si>
  <si>
    <t>Wrong WO# entered into EDL. EDL WO refers to:  "A/C switch Gear Room (trouble shut not coming on" on 3/1</t>
  </si>
  <si>
    <t>A/C switch Gear Room (trouble shut not coming on)</t>
  </si>
  <si>
    <t>Converted to SO# 1720533:  Replaced actuator on Engine #2. 
Deepsea and Woodward out of adjustment, Pan america and Cat came to make adjustments</t>
  </si>
  <si>
    <t>Cat Tech to diagnose engine hunting issue Cat #2</t>
  </si>
  <si>
    <t>0791490</t>
  </si>
  <si>
    <t>Cutter motor removal</t>
  </si>
  <si>
    <t>Motor is shot needs replacement.</t>
  </si>
  <si>
    <t xml:space="preserve">Possible wrong WO?     4-5-19: Low lube oil pressure alarm, investigated and found oil leaking out Int. Pinion &amp; Shaft oil seal. (Seal failure)
Had bridge pull back engine and clutch out, oil still leaking considerably. Engine secured and decision made to inspect shafts for bearing issues. 
Started to pull clutch assembly out to allow for checks. 
Inspected internals and no problems noted, disassembled clutch assembly to allow for inspection of seal area and shaft bearings. 
Attempted to remove clutch splined hub, could not get to move. New pulling jig made. 
4-6-18:   Pulled the Clutch splined hub. 
put pry bar on clutch adapter and attempted to move the shaft, considerable play in shaft, .030 up and down play. Passed along info to maintenance manager. 
Pulled the clutch adapter and pulled out the shaft seal, once seal out you could see the outermost bearing had failed. roller cage broken. Tried to pull off bearing, shaft started to pull out of box. 
Inspection inside box showed the Pinion and spider gear has moved apart, moved shaft inward to mesh gears, but it looks like the inner bearing on the spider shaft has moved out of the bearing bore, not completely in bore. Shaft could be turning in the bearing or the bearing could be turning in the bore. 
Decision made to attempt to split box in place and do a more thorow inspection
4-7-19: Crew prepping for box top removal. 
4-8-19: Box prepped for complete removal
4-9-18:  Box removed from vessel and put on truck to Dana for repair. </t>
  </si>
  <si>
    <t>Inspection</t>
  </si>
  <si>
    <t>0791491</t>
  </si>
  <si>
    <t>Cutter motor installation</t>
  </si>
  <si>
    <t>Final torque on foundation bolts was 2700Psi.</t>
  </si>
  <si>
    <t>Remove and Replace Holding Motor</t>
  </si>
  <si>
    <t>At this time, the Motor is not going to be changed out</t>
  </si>
  <si>
    <t>0791516</t>
  </si>
  <si>
    <t>Motor was going dead ground.</t>
  </si>
  <si>
    <t>Rebuild D-32 DC Motor (#7)</t>
  </si>
  <si>
    <t xml:space="preserve">Converted to SO# 1722436: Notes:
  1. Motor removed due to failure from overload/ overheating     
  2. #7 was replaced by #3          </t>
  </si>
  <si>
    <t>Remove Stern Spud</t>
  </si>
  <si>
    <t>spud is out and on the dock at BAE</t>
  </si>
  <si>
    <t>0309607</t>
  </si>
  <si>
    <t>Cutter motor (PORT) removal and installation of spare</t>
  </si>
  <si>
    <t>Low engine speed / turbo change / replace cyl head</t>
  </si>
  <si>
    <t xml:space="preserve">Investigate problem with engine only being able to attain 800 rpm.  Bridge had said the engine would not go over 800 RPM's
Inspected air connection to governor, all ok
verified 60 pri to speed control (full speed request) , all ok 
Noticed all cylinder temps running 1150 deg and no air inlet pressure (turbo boost) 
Secured engine and pulled the air intake elbow backl from the turbo inlet and found the rotor to be dragging and hanging up.
Turbo needs to be pulled 
Turbo changed out and system engine filled with water
Had to fabricate oil fitting to turbo, fitting on turbo removed was NPT, and replacement turbo used a SAE-ORB fitting. 
ran oil pump and verified lube oil to turbo, all ok
cranked engine and checked all pressure, all ok. 
Turbo had a water cooling leak, engine was shut down and water drained to allow for repair. 
Repaired made and engine filled with water and started, all ok. </t>
  </si>
  <si>
    <t>0849330</t>
  </si>
  <si>
    <t>Retrieve broken STBD draghead on end of lower dragarm pipe</t>
  </si>
  <si>
    <t>There were no gussets at either flange of the recently installed new lower drag arm pipe. This is why the draghead was ripped off the end of the pipe. Bringing the draghead onboard went well. we were able to bring the arm onboard by swing in the draghead davit slowly and getting the broken draghead to clear the bulwark.</t>
  </si>
  <si>
    <t>Troubleshoot and repair SME clutched in, not coming up to speed</t>
  </si>
  <si>
    <t xml:space="preserve">SME randomly lost speed, still clutched in, low speed clutch. Speed would not return to normal levels.   Speed would respond fine from MaK panel, and locally. Would work in NFU. Checked cabeling to and from governor, and signal was getting to governor. 
Finally found on the 24VDC side inside Woodward governor panel that there were 2 1 amp diodes cracked. 24 VDC on the incoming, 8VDC coming out. Site was able to find some at a local electrical supply, and get them to the dredge. ETO replaced, tested all SAT. Spares on hand in cabinet. </t>
  </si>
  <si>
    <t>0849382</t>
  </si>
  <si>
    <t>Replace PORT and STBD dragarm gimbal lifting padeyes</t>
  </si>
  <si>
    <t>Provide the labor, material and equipment as required to accomplish the following:
  1.            Remove and replace with new (owner provided) both the port and stbd dragarm gimbal lifting pad eye.                       
  2.           Work to be completed to satisfaction of owners rep Mark Hayes.</t>
  </si>
  <si>
    <t>Found two holes thru inner shell and some wear to door liner.
Replaced both inner shell and door liner.
NEW SHELL: 170233-3-1    1699547
SS LINER: 170233-2-1    1699547
OLD SHELL HAD 2.9 MILLION YARDS 
OLD LINER HAD 1.25 MILLION YARDS</t>
  </si>
  <si>
    <t>troubleshoot main crane PLC</t>
  </si>
  <si>
    <t>Crane would start and run but cab controls would not work, PLC lost it's memory</t>
  </si>
  <si>
    <t>Port Spud bottom wire change</t>
  </si>
  <si>
    <t>wire replaced</t>
  </si>
  <si>
    <t>Repair foundation / brake band support for stern spud</t>
  </si>
  <si>
    <t>new plate with  original clevis was installed, and  found to be a little off alinement causing band not to fully apply to drum, this is causing the brake to slip and will have to run a while to break in band, also found the brake air cylinder sticking. Replaced with spare and found we did not have a air cylinder problem, it just needs to be properly adjusted so spring can push cylinder rod back into cylinder. 
brake system is operating good, but some minor adjustments needed, will be done at downtime op.</t>
  </si>
  <si>
    <t>EMD Shutdown</t>
  </si>
  <si>
    <t xml:space="preserve">1. With engine running, verify good fuel pressure
2. If good fuel pressure, verify governor has proper amount of oil
3. Next check the electronic wire connector at governor, look for bad or broke wire connection at governor
4. Check fuel rack operation, 
Couldn't find any issues reset breaker 
Notes: 
        1. Bean have this problem haven’t found cause </t>
  </si>
  <si>
    <t>Derrick #65 - annual crane inspection</t>
  </si>
  <si>
    <t>Wrong WO# entered into EDL. EDL WO refers to:  "Derrick #65 Annual crane inspection" on 3/17/2017.</t>
  </si>
  <si>
    <t>Converted to SO# 1727611:  1.  Requirements:  Provide all parts, services and labor to:
     A.  Remove and install owner furnished boom point sheave (X 2).
     B.  Remove and install owner furnished sheave bearings (X 4)
     C.  Remove and install owner furnished sheave seals (X 4)
2.  Notes:
     A.  Removal and replacement will require crane service to remove sheave pin and sheave.  
     B.   Removal and replacement will require aerial work platform to remove/install securing nut, grease lines, thread cover and pin securing block.
     C.   Welding service will be required to remove/install pin securing block.  
     D.  After installation grease the bearings through the shaft grease points to insure that the bearings are receiving grease.
3.  Quality assurance.
      A.  Pin securing nut must be torqued to 1,800 - 2,000 lb-ft.</t>
  </si>
  <si>
    <t>Remove and replace sheaves at boom point</t>
  </si>
  <si>
    <t>Ladder Pump (Universal) Rebuild</t>
  </si>
  <si>
    <t>Broken pump shell</t>
  </si>
  <si>
    <t>Changed oil in thrust bearings. Had water from main pumps to get into thrust bearing. Removed oil and cleaned inside of tanks. pumped in new oil. run system oil looks good.</t>
  </si>
  <si>
    <t>Main pump thrust bearing (change oil in system)</t>
  </si>
  <si>
    <t xml:space="preserve">Converted to Service Req:  Repair lower spud gate
Provide the labor, material and equipment as required to accomplish the following:
  1.    repair are replace  lower spud gate                             
  2      gouge out and weld 100% padeye on top gate STBD side   </t>
  </si>
  <si>
    <t>Repair lower spud gate</t>
  </si>
  <si>
    <t>Replace Intermediate Shaft STBD Spud</t>
  </si>
  <si>
    <t>Found shaft broke at 2230 on 9/29/19
Removed old shaft
Made work orders 
Contacted machine shop.
After installation of new shaft listed below is the Tolerances recorded
3 O’clock     0.003
6 O’clock     0.003
9 O’clock     0.003
Outboard bearing gap (prior to operational test)
12 O’clock   0.000
3 O’clock     0.003
6 O’clock     0.003
9 O’clock     0.003
Gear Backlash 0.010
Tooth contact was within 0.002 of being parallel
Inboard bearing temp during operational test stayed around Ambient temp.
Outboard bearing temp during operational test stayed around Ambient temp.</t>
  </si>
  <si>
    <t>Troubleshoot and repair swing drive VFD</t>
  </si>
  <si>
    <t>A burned up rectifier was found after the a/c to the drive room failed.  
Rectifier obtained from Marinex construction.
Rectifier was replaced.  Engine started and drive breaker charged and closed, breaker tripped open after 5 seconds.
Troubleshooting was conducted point to point to see why the breaker tripped.  
The dynamic braking module has to be ‘healthy’, if the timer doesn’t get this signal, then the Under Voltage relay trips the breaker.
Dynamic Braking Module was replaced (had a spare from Marinex onboard).  Breaker stays closed.
Voltage was present on the a/c buss to the rectifier and d/c voltage on the buss out of the rectifier, however there appeared to be no power at the VFD controller for either swing motor and the display panels on the doors would not light up.
Traced out where the controllers got their power from, there is a small fuse in the very rear of the rectifier assy that was checked.  That fuse was blown, it happens sometimes in brand new equipment.  Fuse replaced and powered up the controllers and cleared faults.
Capt Phil went up to test them and only #1 swing would operate, looked in the cabinet and Run Relay 2 was not energized.
Swapped relays between #1 and #2 with the same results, relays tested good.
Capt Phil said he didn’t think the brakes were releasing.  Looked at both accumulators the one for #2 was secured, aligned air.  
Run Relay #2 came on and we were able to successfully swing the crane.
Failed rectifier assembly
Failed Bonitron dynamic braking module
Failed fuse in rectifier assy.</t>
  </si>
  <si>
    <t xml:space="preserve"> </t>
  </si>
  <si>
    <t>Totals:</t>
  </si>
  <si>
    <t>Hours:</t>
  </si>
  <si>
    <t>Days:</t>
  </si>
  <si>
    <t>Avg Daily costs:</t>
  </si>
  <si>
    <t>Avg Hr costs:</t>
  </si>
  <si>
    <t>Delay Costs:</t>
  </si>
  <si>
    <t>Count:</t>
  </si>
  <si>
    <t># of Major Mechanical:</t>
  </si>
  <si>
    <t>Delay Costs</t>
  </si>
  <si>
    <t>Troubleshoot crane swing</t>
  </si>
  <si>
    <t>9-29-19
0930hr, #1 swing will swing both directions when used alone
 #2 swing will swing slightly to Stbd and not at all to the port
 When used together the drive trips off.   FIFO shows Field loss and Motor II T faults
1200hr, Changed bridge interface board out, no change
1230hr, Found shorted field wire in #1 swing peckerhead, no change
1300hr, Changed microprocessor board out, no change
1330hr, Checked SCRs all good, still no change
1400hr, Checked connections in #2 peckerhead, all connections good, no change
1500hr, Changed out #3 input card, and #5 input card, no change
1530hr, Changed out #10 imput and #11 output card, no change
9-30-19
Function tested SCRs in swing #1 all good
Had to reprogram memory chip on the Avtron drive #2 swing
back working at 1715 hours</t>
  </si>
  <si>
    <t>Replace wires on drag barge</t>
  </si>
  <si>
    <t>Remove stern walking ram to be sent out</t>
  </si>
  <si>
    <t>Wrong WO# entered into EDL. EDL WO refers to:  "Replace wires on drag barge" on GL148 deck barge.                wires worn out 
chain bridal broke
Calibrated upon completion of wires</t>
  </si>
  <si>
    <t>not needed at the moment, will be done in future</t>
  </si>
  <si>
    <t xml:space="preserve">Replace air cylinder on boom brake </t>
  </si>
  <si>
    <t>Replace no. 1&amp;2-R secion camshaft</t>
  </si>
  <si>
    <t xml:space="preserve">Cam lobe Fuel pump #2 and cam lobe fuel pump #4 worn out. 
replace section no.1 and no.2-R camshaft. </t>
  </si>
  <si>
    <t>Enter in blue shaded block only</t>
  </si>
  <si>
    <t>Repair V4 Pilot operated valve (Aft closing cylinder)</t>
  </si>
  <si>
    <t>Pilot rod bushing clearance bigger than spec. and causes the seal to break.</t>
  </si>
  <si>
    <t>FOUND ALL WET END PARTS TO BE IN GOOD CONDITION.
CHANGED 84" IMPELLER TO 96" IMPELLER.</t>
  </si>
  <si>
    <t>Make necessary repairs to the sheave housing and assembly / tree</t>
  </si>
  <si>
    <t>Converted to SO# 1732665:  No findings</t>
  </si>
  <si>
    <t>Troubleshoot and repair #2 main engine</t>
  </si>
  <si>
    <t>Converted to SO# 1733173: 12/21/19 - technician arrived, removed valve cover, inspected head and liner - no issues.  During inspection technician suspected that after cooler was leaking and during the start up, hydraulically locked #4 cylinder pushing the injector up through the valve cover.
12/22/19 - technician and crew to remove after cooler to take it to the shop to clean, inspect and pressure test after cooler.
12/23 - after cooler tested good.  technician's brought after cooler and complete head rebuild kit for #2 ME.  Found blown head gasket.  Replaced all consumable parts and valve cover.  All valves set and injector timing set.    Technician's tested engine and hooked up to analyzer, all readings in normal range at idle and full speed.</t>
  </si>
  <si>
    <t>0309740</t>
  </si>
  <si>
    <t>Ladder Pump Motor #6 CAT seal replacement</t>
  </si>
  <si>
    <t>Found ladder pump motor # 3 Cat duo-cone oil seal to have failed and leaking excessively.</t>
  </si>
  <si>
    <t xml:space="preserve">Troubleshoot possible causes for Open Field Fault Code 40; sent board to be repaired </t>
  </si>
  <si>
    <t>Troubleshoot fault in Synchronous Motor Sync Control</t>
  </si>
  <si>
    <t>troubleshoot and repair motor on port spud</t>
  </si>
  <si>
    <t>Crane Drive trip out, troubleshoot electrical crane</t>
  </si>
  <si>
    <t>electrical problem with main engine cooling water pump</t>
  </si>
  <si>
    <t>Technician to diagnose the port spud two speed valves</t>
  </si>
  <si>
    <t>Converted to SO# 1733646:  No Findings.   Provide labor to inspect and diagnose the following.
1. inspect port spud winch hydraulic system.
   A. The port spud will function as designed in low speed.
   B.  When in high speed it is almost like the spud is free falling when go lowering the spud. you can not feel or hear the pump engaging. The winch will not lift the spud more than a quarter turn before it stalls out.
2.All inspections will be down with a GLDD rep onsite.
3. Vender to provide any required test equipment.
4. All reports are to be submitted in writing to GLDD on site at the time if the test or inspection.</t>
  </si>
  <si>
    <t>Leak on rock box</t>
  </si>
  <si>
    <t>Rebuild Main pump / replace front liner /</t>
  </si>
  <si>
    <t>Hunting island to date 3/9/2020  yd 1,056,557 PUMP GAP .130
installed new transition and elbow ( max 5 ) changed before corpus  4,213,985yd  + 1,056,557 = 5,288,542
Suction side liner Req#1731000  changed pre hunting lasted 1,056,557 / changed again 3/9/2020 / REQ# 1731285
inner shell Req #1730991 yds 1,056,557 to date changed pre hunting
back liner Req  #1567519 yds 1,056,557 to date changed pre hunting
Runner 97" installed  before Tybee  Req# 1730502 tybee 1.4 m yd + hunting 1,056,557 = 2,456,557 yd
next Available parts 
ES liner REQ# 1731285
SS liner REQ# 1731357
inner shell REQ# 1731285
REQ# 1584840 runner
as per Bernie Garza  
1-front door have damage for the hole on the line also we find damage wear the liner set round gasket and we add Nordbak patch material ( need service req )
2- outer shell have damage wear the back door liner set and we have to rebuild with Nordbak (need service req)
3-transition peise have wear on the bottom need hard surface / NEXT PUMP JOB / NEW TRANSITION ON 187
4- shell adjuster bolt need to be change with new one all thread 
5- need new rock box liner have some damage wear betwene  the rock box and front door / NEW BOX ON 187</t>
  </si>
  <si>
    <t>port cutter drive</t>
  </si>
  <si>
    <t>troubleshoot, replace SCR drive</t>
  </si>
  <si>
    <t>cutterhead coupling broke</t>
  </si>
  <si>
    <t>Port cutter motor ( Removal )</t>
  </si>
  <si>
    <t xml:space="preserve">After trouble shooting drives for cutter motors. found that port cutter fields and arm. field we're over heating. Checked both blowers for rotation &amp; flow coming out of motor, both we're ok. Removed motor and placed on crane barge.  </t>
  </si>
  <si>
    <t>Cutter SCR drive ( Trouble shoot port drive not starting )</t>
  </si>
  <si>
    <t xml:space="preserve">Started trouble shooting port drive SCR blower motor not starting. Found that we were not getting power to close contactor. Checked power coming from OEM 9600 to close contactor, not getting command power. Next day we had tech. come out to help with trouble shooting. Check program on OEM 9600, looked good. We had blowed (2) fuses on field, when power up system. we Meg field wire back to motor, Meg good 34 meg. After checking prints trouble shooting more found that there was a missing jumper wire going from # 33over to # 34 terminal. Added jumper between the two terminal, SCR blower started working. Now we're not load unbalance not clearing. Found that a wire on reset not making good contact. Removed wire, cut and cleaned up end. reinstalled working ok.
When checking system found that current unbalance board (Port side) had a burned spot on board. Had one on hand, changed out. found (3) relays in question, changed out also. After repairs we're made drive cleared and we got SCR ready lights. system started and running ok. </t>
  </si>
  <si>
    <t>Tailshaft, Cutter Installation</t>
  </si>
  <si>
    <t xml:space="preserve">Received cutter tail shaft on 01/31/20 at 9:30 along side of dredge. Crew started removing protective coating from taper for cutter and bearing area. Also cleaning coupling mating surface. Removed key from shaft and checked fit in coupling, fit good. Reinstalled on shaft with bolts to hold in place. Finish cleaning shaft at 2 pm. Started rigging shaft for install with single and double to lift or lower eather end of shaft as needed.( Prior to this crew had lifted cutter platform 3' to alow shaft to go under for install ). When swinging shaft around in front of platform, we couldn't position shaft to line up with Thordon bearing properly. ( Had to move Derick to line up Crane straight with ladder to line up shaft with Thordon bearings ). Used (2) Derick to install shaft. First Derick placed shaft in front of platform allowing 1/3 of shaft to pass under platform. used other Derick to rig end of shaft to hold in place. Removed single wire from first Derick. Started shaft into Thordon bearing pulling with 3 ton leaver hoist. When rigging came up to bearing. lowered rigging and reposition, Repeated as needed. Pulled shaft up to journal bearing till taper for coupling was past bearing so coupling could be cold fitted. Started fitting coupling. Using (3) 2 ton chain fall's we rigged coupling to line up onto shaft. after rigging coupling had to roll shaft to match up key  to coupling. Used a 3 ton leaver hoist to pull coupling onto shaft. After pulled up installed end plate on shaft to finish pulling coupling up into place. Removed end plate,  with coupling in place we measure distances around front &amp; back of coupling. On front of coupling, TOP 0.116, BOTTOM 0.118, STBD side 0.068, PORT side 0.115. On back side of coupling, TOP 0.003, BOTTOM 0.006, STBD side 0.008, PORT side 0.003. Marked back of coupling and add 0.040 for install of coupling. When finished we started removing coupling for heating. Had to rig hyd. jacks to push coupling back off of shaft. With coupling off we pulled it close to thrust bearing. Coupling was still over shaft by 3". we used shimming material to rap around shaft to help deflect heat off shaft. Also used water on shaft to keep cool. With coupling in place started heating with 4 rosebud torches. We heated in (3) steps, couldn't get torches on inside of coupling. We heated till out side was 475 degree and stop to let heat expand into coupling. This was done (3) times to let heat get up to 300 degree in center of coupling. we installed coupling on to shaft and placed end plate on shaft and tighten up all bolt's. ( When installing coupling on shaft coupling went past mark on shaft, pulled back and installed plate). Removed end plate to check for proper fit. Found that coupling had moved ford on shaft, we had 0.090 between end plate and coupling. ( should be 0.040 ) Talk to maintenance managers decision was made to leave in place. Installed end plate bolts and torque bolts to 950 ft lb. Installed wire in bolt's &amp; tied together. Pulled coupling and shaft up to thrust bearing coupling to install bolts. pulled bolt up with 1" air gun. Torque coupling bolts to 10,000 ft lb. using criss-ross pattern. Installed top on journal bearing. Pulled down bearing top evenly on both side. Checked clearance between shaft &amp; top bearing 0.020. Installed water ring on thrordon bearing with new seal. Installed all hoses for bearing's. Run service water and checked for any leak's. Found broken brackets on service pipe, repaired as needed.
 Run cutter system to make sure everything working ok. Run for (1) HR. look's ok. Next day installed cutter &amp; run for (1) HR. looked ok. </t>
  </si>
  <si>
    <t>0309750</t>
  </si>
  <si>
    <t>SWING MOTOR INSTALLATION</t>
  </si>
  <si>
    <t>SCR Drive</t>
  </si>
  <si>
    <t>Drag Head Hoist</t>
  </si>
  <si>
    <t>Brake Assembly</t>
  </si>
  <si>
    <t>Throttle Issues</t>
  </si>
  <si>
    <t>Wiring Harness</t>
  </si>
  <si>
    <t>Port trunnion slide being taken off</t>
  </si>
  <si>
    <t>Stbd dredge engine  troubleshoot engine speed control</t>
  </si>
  <si>
    <t xml:space="preserve">The speed control output wire was bypassed from the speed control block to the ECM 40 pin connector. (no change)
The white wire from the speed sensor was bypassed to the 40 pin connector from the pickup. (no change)
The speed control block signal was tested by replacing the unit with one from spares to test signal output (no change)
The secondary ECM was turned off at the breaker in the Black Box and the secondary Speed/Timing sensor was disconnected. 
This allowed the engine to come up to pump out speed (1500 RPM) </t>
  </si>
  <si>
    <t>Deferred</t>
  </si>
  <si>
    <t>Shaft</t>
  </si>
  <si>
    <t>Shut down. Inspect boom hoist drum assembly. Realign gears and replace bolts</t>
  </si>
  <si>
    <t>Cutter drive running high temp</t>
  </si>
  <si>
    <t>Repairing Main pump bearing shaft - underway for dig site at 19:50-arrived at dig site at 01:00.hauling gears malfunctioning.</t>
  </si>
  <si>
    <t>BOTH MAIN PUMP ENGINES SHUT DOWN DUE TO MAIN PUMP BEARING FAILURE</t>
  </si>
  <si>
    <t>Inspect boom Hoist gear set</t>
  </si>
  <si>
    <t xml:space="preserve">A NOISE IS DETECTED WHEN BOOM IS BEING LOWERED    Converted to SO# 1733646:Provide the labor, material and equipment as required to accomplish the following:
  1. Perform an inspection on boom bull and pinion gears                                 
  2. Check to verify proper wear on gears                                    
  3. Inspect gear back lash                                    
  4 Diagnose why gears are making unusual noise when boom is being lowered. </t>
  </si>
  <si>
    <t>0792090</t>
  </si>
  <si>
    <t>0792089</t>
  </si>
  <si>
    <t>Spring bearing failure</t>
  </si>
  <si>
    <t>Bearing was replaced. Shaft alignment was in spec, verified by Tim R. &amp; Chief Manny. Stuffing box sleeve was replaced due to wear. Bearing clearance was "0.022"                                                                                                        Shaft was cleaned up and polished, now free of any markings or grooves.</t>
  </si>
  <si>
    <t>Troubleshoot main pump failure</t>
  </si>
  <si>
    <t>Electrical System</t>
  </si>
  <si>
    <t>PLC / Automation</t>
  </si>
  <si>
    <t>tow dredge in for repairs- Cutter mottor cooler</t>
  </si>
  <si>
    <t>Bearing / Shaft</t>
  </si>
  <si>
    <t>lost service water</t>
  </si>
  <si>
    <t>Pump Rebuild</t>
  </si>
  <si>
    <t>pump shell cracked - change pump shell</t>
  </si>
  <si>
    <t>Gearbox Troubleshooting</t>
  </si>
  <si>
    <t>fix pump leak ladder pump (CHS)</t>
  </si>
  <si>
    <t>Found gasket off the steel lip of the pump shell .
We slacked all bolts to be able to line up gasket .
Crew said this gasket was in place when they did the pump job inside Charleston SC.
Probable cause of gasket getting out of place dredge is being having lots of rams and chokes .</t>
  </si>
  <si>
    <t>PLC shutdowns ( losing readings on screens )</t>
  </si>
  <si>
    <t>Started trouble shooting PLC system for lose of transmitting between components and PLC.
 • Tested cables
• Pull out extra cable from chief office
• Labeled cable and devices in chief office and Control room. 
• Helped Slimmer trace cables on mechanical side. 
• Pulled out cable in survey rack (In survey Office) that were extra.
• Helped Slimmer move Survey router to back of rack.  Out of sight out of mind.
• One thing that stands out, there is a blue cat 5 cable ran from the survey rack to the chief office.  This is the cable I believe might of caused all the issue because if they plugged it into the MR30 in the chief office it might of given them the issue.  I did pull a bunch cables out of the chief office but this one still there because we don’t know the purpose it was installed.  If I don’t have an answer by the end of the day I’m cutting the end.  This way they need to put an end on it before plugging it into anything.   
Carolina
Main switch in survey office next to lever room.
Port 20 goes to Chief’s Office Meraki MR30 AP 
Port 31 goes to 8 port switch in Control Room
Control room
8 port switch
• Port 1 Uplink to main switch
• Port 2 Thin Client in control room
• Port 3  Printer in control room
• Port 4 To MR30 in Engineer Control Room
• Port 5 To Meraki MR74 in living Connex on back of dredge
• Port 6 – 8 Ports disabled
Meraki MR30 AP
• Port 1 – 4 Ports disabled
Chief Room 
Meraki MR30
• Port 1 Thin client in Chief Office
• Port 2 Printer in Chief Office
• Port 3 &amp; 4  Ports disabled</t>
  </si>
  <si>
    <t>Canister H/E (Port) Radiator Swap Out</t>
  </si>
  <si>
    <t xml:space="preserve">
* Radiator tube at bottom appeared to have cracked and was spraying water out.
*Swapped out only the radiator because blower units were good condition and were the upgraded Predator style.  </t>
  </si>
  <si>
    <t>Service water piping ( flush sand &amp; rock out of line's on ladder)</t>
  </si>
  <si>
    <t>Started troubling service water on ladder. Found that All pipe's wear filled with sand. Followed pipe back into bow hole&lt; gland seal pump room. Removed hose going from dredge over to ladder. turned service water pump on and flush sand from line. Installed rubber hose back to ladder. No water to ladder still. Removed cooling water flanges and orifice from shaft bearings. Removed cooling water line's from uwp gearbox cooler. Turn service water on, only got water uwp gearbox cooler. uwp gearbox cooler also plug. Removed 3" flanged blank at end of line by gearbox. turn service water back on. sand flushed out to this point. Shaft cooling water closes to gearbox cleared also. Cleaned flanged blank and installed a new gasket &amp; put back togeather. Turned service water back on and off a coupler time to get next cooling water line to clear. At this time we removed all lines going to gland seal on uwp &amp; flushing for uwp. turned water back on still plugged. Superated pipe at flange by thrust bearing &amp; turned water back on pipe flushed out. installed pip back togeather &amp; finished flushing out pipe's to flushing at uwp. Run water to pipe's wear completely clean. Puy all back togeather. Repeated the same step's to clean cooling water out to head section of ladder. At head section we cut out a 3" tee to clean out sand in pipe. we then used the wash down pump for cutter to back flush pipe to help clean out. After cleaning had welder install new tee back into pipe.
 Cooling water to cutter motor's was also plugged. When we got to cooler we used long hose to back flush then several times to get them clean.</t>
  </si>
  <si>
    <t>Replace under water pump shell</t>
  </si>
  <si>
    <t>Crack in pump shell
Replace pump shell</t>
  </si>
  <si>
    <t>DREDGE</t>
  </si>
  <si>
    <t>DATE</t>
  </si>
  <si>
    <t>HRS</t>
  </si>
  <si>
    <t>SYSTEM / SUBSYSTEM</t>
  </si>
  <si>
    <t>WORK ORDER #</t>
  </si>
  <si>
    <t>Swing Circle (rollers, etc.)</t>
  </si>
  <si>
    <t>down for swinging bush repairs</t>
  </si>
  <si>
    <t>going to S I yard for repairs</t>
  </si>
  <si>
    <t>Bearings / Shafts</t>
  </si>
  <si>
    <t>thurst bearing temp high</t>
  </si>
  <si>
    <t>UWP is tripping out on the main board</t>
  </si>
  <si>
    <t>Drive (motor, gear box, etc.)</t>
  </si>
  <si>
    <t>stbd swing gear bushing went bad</t>
  </si>
  <si>
    <t>thrust bearing heated up and the machine unclutched on its own</t>
  </si>
  <si>
    <t>broken bolts on shaft meets coupling,metal sceen stuck in numer 2 pummp,bad seals on gearbox. assistant chief and engineer with have futher info on the gearbox issues</t>
  </si>
  <si>
    <t>Port clutch won't disengage. Stbd engine showing two ECM alarms</t>
  </si>
  <si>
    <t>M/E shutdown; troubleshooting</t>
  </si>
  <si>
    <t>EDL Notes</t>
  </si>
  <si>
    <t>2017 Summary</t>
  </si>
  <si>
    <t>2018 Summary</t>
  </si>
  <si>
    <t>2020 Summary</t>
  </si>
  <si>
    <t>2019 Summary</t>
  </si>
  <si>
    <t>D</t>
  </si>
  <si>
    <t>N</t>
  </si>
  <si>
    <t>Replace Holder brake Linkage</t>
  </si>
  <si>
    <t xml:space="preserve">Holder drum brake linkage was found damaged </t>
  </si>
  <si>
    <t>Disassemble the Main Pump Thrust Bearing</t>
  </si>
  <si>
    <t>The thrust shoes were wiped.  Bearing disassembled sump cleaned, thrust collar was honed, new shoes installed.
Thrust was set to .030 and checked after cap of bearing was installed.
Refilled the sump.
Test ran the bearing UNSAT. Bearing wiped at low speed.
Bearing being disassembled along with spring bearing to remove the pump shaft and send to a machine shop.</t>
  </si>
  <si>
    <t>TROUBLESHOOT PME and SGE AUTOMATION</t>
  </si>
  <si>
    <t>Port pump bearing replacement</t>
  </si>
  <si>
    <t>Port pump thrust bearing failed. Broke shaft.
Replaced thrust bearing.
Aligned shaft to stuffing box and coupling.
Add packing and water ring
Adjusted thrust clearance for impeller.
Cleaned all oil lines and filled thrust bearing with oil.
Test ran thrust bearing for 1 hour starting RPM at idle and running up to 281 RPM.
 Start -  FWD bearing              AFT bearing              oil temp         RPM
 Temp -        70                                 70                            70               150
Ending - FWD bearing             AFT bearing              oil temp         RPM
Temp -          91                                 97                            96               281</t>
  </si>
  <si>
    <t>Ladder Pump Thrust Bearing R&amp;R</t>
  </si>
  <si>
    <t>Coupling end bearing went out. Shaft has dropped and destroyed the seal.
R&amp;R is a must.</t>
  </si>
  <si>
    <t>Replace CAT Duo Cone Seal</t>
  </si>
  <si>
    <t>The old seal was worn on the motor side and grooved.
To remove the seal we had to remove the UWP shell due to the inner seal ring being a soling piece and not split.
New seal was installed and clearances set per CAT sela manula and verified by Joe Gracia.
Pressure test was conducted with 20PSI of air pressure on the motor. 1 leak was discovered at the 1 O'clock position.
Shaft was rolled while the seal was lubricated.
Second pressure test was conducted with no leaks noted.</t>
  </si>
  <si>
    <t>Troubleshoot the port dredge clutch failure to clutch out after dredging operations</t>
  </si>
  <si>
    <t>At 2100, the drag tender called down and said he couldn't get the port dredge pump clutched in because the RPMs were reading to high (505 rpms) on the automation screen. Soon to realize that there was 0 psi on the clutch air manifold down in the lower engine room. The rotary air seal was spinning but the pump shaft was not. The magnetic pickup was reading 505 rpm as well. Even though the clutch air was reading 0 psi we closed the two valves on either side of the clutch air solenoid and dumped any air that might have been entrapped in the clutch by opening the dump valve. No air came out. We then removed the rotary air seal hose in the lower dredge pump room &amp; exercised the clutch by manually clutching it in &amp; dumping the air several times. This didn't resolve the problem. Next, we LOTO the PME, opened all the petcocks, pre-lubed the engine &amp; turned the engine over by the jacking gear while having a com-a-long with a strap around the clutch to try to free up the clutch. This didn't resolve the problem either. We then placed a chain fall right above the clutch and slightly lifted the clutch vertically to see if this would free it up while turning the engine over by the jacking gear. This didn't resolve the problem either. 
Engine crew was told to remove the wedges from the clutch plate to facilitate the removal of the clutch once management had been notified of the issue. Email sent out just after midnight to maintenance manager Mike K and Jake. Decision was made to remove the clutch for inspection. JRM
Catastrophic bearing failure of dredge pump clutch. New bearing assembly being shipped from Lyons ship repair. Bearing assembly arrive early Tuesday morning and engine crew began assembly all components torqued to spec, bearings checked for grease, foundation bolts checked. Clutch was finally complete today around 1600 hrs. All satisfactory. Rotary air seal however did blow out after a few minutes of run testing. Need rotary to be ordered. 11/24/20 JRM
Replaced vulkan coupling elements</t>
  </si>
  <si>
    <t>Data Tab Ref</t>
  </si>
  <si>
    <t>New York</t>
  </si>
  <si>
    <t>Need specific category, other no idea.</t>
  </si>
  <si>
    <t>change out port &amp; stbd</t>
  </si>
  <si>
    <t>Main Hoist/Main Hydraulics</t>
  </si>
  <si>
    <t>Excavator Hydraulics</t>
  </si>
  <si>
    <t>block on stick cylinder leaking</t>
  </si>
  <si>
    <t>Boom Structure</t>
  </si>
  <si>
    <t>CYLINDER ISSUE</t>
  </si>
  <si>
    <t>breakaway flange repair</t>
  </si>
  <si>
    <t xml:space="preserve">Converted to SO/ PO#1748827:  Requirements: Troubleshoot electronic controls shut down. The dredge was down for 13-daies
PORT MAIN ENGINE IS SHUTTING DOWN WHILE IN OPERATION, CARTER CATERPILLAR TO COME ON AND TROUBLESHOOT THE CAT ELECTRONIC CONTROL MODUAL FOR THE ENGINE AND ALL ASSOCIATED AUTOMATION INPUT AND OUTPUTS FOR THE ENGINE SHUT DOWNS.
STARBOARD MAIN GENERATOR SEEMS TO BE EFFECTING THE OPERATION OF THE PORT MAIN ENGINE AS WELL. WILL ALSO  NEED TO LOOK AT STBD. GENERATOR CONTROLS.
WE ARE HAVING TROUBLE KEEPING THE PME RUNNING, THE ENGINE CONTINUES TO SHUT DOWN FOR UNKOWN REASONS. WE ARE GETTING SUMMARY SHUT DOWNS FROM THE MMS PANEL. THE STBD GENERATOR SEEMS TO BE EFFECTING THESE SHUTDOWNS WHEN WE START THE ENGINE.
THE PORT AND STBD MAIN ENGINE ECMS HAVE ACTIVE DIAGNOSTICS CODES FOR 5VDC ABOVE NORMAL. THE STBOARD GENERATOR ECM IS DISPLAYING ACTIVE 5 VDC ABOVE NORMAL AND MULTIPAL FAUTY SENSORS.   NEED TO THOROUGHLY COMB THROUGH THE CONTROL WIRING ON SGE AND PME. LOOK FOR ANY GROUNDS AND AC NOISE INTERFERING WITH THE 24VDC POWER.                                                                                                                                                                                    ECMS WERE REPLACED ON PORT AND STBD MAIN ENGINES AND PORT AND STBD MAIN GENERATORS. A CULMINATION OF  FAULTY SENSORS ON STBD GENERATOR ENGINE AND GROUNDS ON PORT MAIN ENGINE ALONG WITH BURNED UP DIODES WHERE FOUND IN THE PORT MAIN ENGINE MMS PANEL. AN OUTPUT TO A DISCONTINUED SOLENOID ON PORT MAIN ENGINE WAS CHECKED AND FOUND COMPROMISED. THIS UNIT AND CABLE WERE REMOVED, AND THE BURNED OUT DIODES IN PORT MAIN ENGINE MMS PANEL WERE REPLACED. FURTHER CHECKS OF THE SHUTDOWN SYSTEM ON PORT MAIN ENGINE WERE DONE, AND NO MORE FAULTS WERE FOUND. WE TURNED THE ENGINE OVER TO BRIDGE TO COMENCE DREDGING. WE SUCCESSFULLY COMPLETED A LOAD AND PUMP OUT CYLCE WITH NO SHUT DOWNS. THE  5VDC ON PORT AND STBD MAIN ENGINE ECMS HAVE COME BACK ACTIVE; DREDGING CONTINUES WITH NO ENGINE SHUT DOWNS.
IN THE DAYS OF TROUBLESHOOTING THIS ISSUE, IT WAS DISCOVERED THERE HAS BEEN DETERIORATION IN THE WIRING HARNESSES ON THE STBD GEN ENGINE. CHRIS SLIMMER IS WORKING WITH MAINTENANCE MANAGER MIKE K AND CARTER CAT TO ARRANGE REPLACEMENT OF THE CONTROL SYSTEMS ON ALL THE PORT AND STBD MAIN ENGINES AND PORT AND STBD MAIN GENERATORS. THESE ENGINES ARE NOW 20 YEARS OLD, SOME OF THE CONTROL PARTS ARE NOW MATURE OR OBSOLETE, REPLACEMENT WILL ENSURE ENGINE RELIABILITY.
10-23-20
AS OF YESTERDAY THE DREDGE IS OPERATING. THERE HAVE BEEN NO MORE SHUTDOWNS OF THE PME.THERE IS AN ONGOING ISSUE WITH THE SGE. THIS IS AN ISSUE OF THE ENGINE WIRING HARNESSES. CARTER CAT, CHRIS SLIMMER AND MIKE K. ARE WORKING TOGETHER TO FAST TRACK NEW REPLACEMENT HARNESSES. ONCE ONBOARD, WE WILL SCHEDULE INSTALLATION AT THE FIRST BREAK PERIOD. </t>
  </si>
  <si>
    <t>2021 Summary</t>
  </si>
  <si>
    <t># 2 generator shutdown. Reverse power/electrical trip. Inspected resistor bank on top of crane. One bank is cooler than the other 2. also found one wire chaffed and tapped up/secured wires</t>
  </si>
  <si>
    <t>cooler leaking on cutter motor</t>
  </si>
  <si>
    <t>No</t>
  </si>
  <si>
    <t>HOLDER WIRE BROKE</t>
  </si>
  <si>
    <t>Auxiliary Systems</t>
  </si>
  <si>
    <t>Heating, Ventilation, A/C</t>
  </si>
  <si>
    <t>Spuds / Xmass Tree</t>
  </si>
  <si>
    <t>stb breast wire broke an lost stb bottom sheve on x-mas tree take dredge in to repair</t>
  </si>
  <si>
    <t>port generator change head</t>
  </si>
  <si>
    <t>fuel</t>
  </si>
  <si>
    <t>to dock for plate cooler repair and other maintenance</t>
  </si>
  <si>
    <t>Broken Holder wire</t>
  </si>
  <si>
    <t>While placing bucket in the scow, the holding wire broke at the drum.  Removed old holding wire, ran tracer, put new wire on drum.</t>
  </si>
  <si>
    <t>Port Generator - Troubleshoot high exhaust temps</t>
  </si>
  <si>
    <t xml:space="preserve">The Rocker arm hold down bolt on #2 cylinder failed. 
The push rods were found to be bent also.
The push rods for #2 &amp; #4 were replaced along with both sets of rocker arm hold down bolts.
The top of the pistons were inspected by Bore-Scope through the fuel injection port.
The heads showed no signs of damage.
The valves were in good condition.
The engine was inspected by Lousiana Cat Tech Jamie and determined to good to go if the suggested parts were replaced.
We were missing two bolts need to complete the task this made completing task longer. 
The bolts were brought in from Atlanta by courier.
The engine was reassembled and the valve lash was checked and set as needed.
The engine was test ran. 
The engine operated within standard operating parameters.
The engine was up on line and test loaded with a dredging load and operated properly. </t>
  </si>
  <si>
    <t>MCIA Status</t>
  </si>
  <si>
    <t># of Corrective Actions</t>
  </si>
  <si>
    <t># of Corrective Actions Validated</t>
  </si>
  <si>
    <t>MCIA Scribe</t>
  </si>
  <si>
    <t>INCIDENT DATE</t>
  </si>
  <si>
    <t>MCIA Start Date</t>
  </si>
  <si>
    <t>Andrew Larkin</t>
  </si>
  <si>
    <t>Complete</t>
  </si>
  <si>
    <t>RAM Committee Responsible Party</t>
  </si>
  <si>
    <t>Assign maintenance manager of the 53, 54, 55 &amp; 58 to review the maintenance procedure of air valves for holder, closer &amp; boom hoist systems.  Is maintenance of the valve covered adequately in current standard jobs.</t>
  </si>
  <si>
    <t>Brian Goetchius</t>
  </si>
  <si>
    <t>Case ID</t>
  </si>
  <si>
    <t>Case Title</t>
  </si>
  <si>
    <t>Case Status</t>
  </si>
  <si>
    <t>Corrective Action</t>
  </si>
  <si>
    <t>Responsible Party</t>
  </si>
  <si>
    <t>Verification Manager</t>
  </si>
  <si>
    <t>Lead Contact</t>
  </si>
  <si>
    <t>Executive Review Team</t>
  </si>
  <si>
    <t>Due Date</t>
  </si>
  <si>
    <t>Pilot Status</t>
  </si>
  <si>
    <t>Priority</t>
  </si>
  <si>
    <t>Roll Out Sites</t>
  </si>
  <si>
    <t>Roll Out Status</t>
  </si>
  <si>
    <t>Validated</t>
  </si>
  <si>
    <t>Authenticated</t>
  </si>
  <si>
    <t>MCIA 039 - Spider Barge Arm Break</t>
  </si>
  <si>
    <t>Kurt Hill</t>
  </si>
  <si>
    <t>Bill Baumann</t>
  </si>
  <si>
    <t>Armand F Riehl</t>
  </si>
  <si>
    <t>David Rappe, Bill Baumann, David J Johanson</t>
  </si>
  <si>
    <t>CA Incident Prevention Confirmed</t>
  </si>
  <si>
    <t>Medium</t>
  </si>
  <si>
    <t>Local Only</t>
  </si>
  <si>
    <t>100% complete</t>
  </si>
  <si>
    <t>Yes</t>
  </si>
  <si>
    <t>Dredge 54 Boom Hoist - Philadelphia</t>
  </si>
  <si>
    <t>Instruct Operators to cease use of the boom dog during the dredging cycle.</t>
  </si>
  <si>
    <t>Steve W Lawrence</t>
  </si>
  <si>
    <t>Mark L. Reid, Christopher Gunsten, Jason Campbell</t>
  </si>
  <si>
    <t>Critical</t>
  </si>
  <si>
    <t>Design and install a suitable boom brake that will slow or stop the boom from falling</t>
  </si>
  <si>
    <t>Christopher Gunsten</t>
  </si>
  <si>
    <t>High</t>
  </si>
  <si>
    <t>Padre Island dredge pump cleanout door failure</t>
  </si>
  <si>
    <t>Change type of connector for this type of clean out door.</t>
  </si>
  <si>
    <t>Mike Kraljevic</t>
  </si>
  <si>
    <t>James M Walker</t>
  </si>
  <si>
    <t>Paul C Lamourie</t>
  </si>
  <si>
    <t>James C Gillespie</t>
  </si>
  <si>
    <t>12/01/2016</t>
  </si>
  <si>
    <t>Engineering and Division review of drawings sent to/received from vendors.</t>
  </si>
  <si>
    <t>12/01/2020</t>
  </si>
  <si>
    <t>FL MP Thrust Bearing Failure</t>
  </si>
  <si>
    <t>Send out all 4 Magotteaux impellers to be QC'ed and repaired so that they fit on a proper thread gauge and incorporate the register fit on the impeller hub as indicated in the drawings.</t>
  </si>
  <si>
    <t>Joe Moon</t>
  </si>
  <si>
    <t>Eugene Corey</t>
  </si>
  <si>
    <t>David Rappe, Bill Baumann, David J Johanson, Dave Allen</t>
  </si>
  <si>
    <t>04/15/2017</t>
  </si>
  <si>
    <t>Require written confirmation that manufacturers have received and properly use all supplied drawings.</t>
  </si>
  <si>
    <t>Require Magotteaux to build a proper shaft thread gauge</t>
  </si>
  <si>
    <t>Stop use of the blue coated liners until it can be determined/confirmed why it failed.</t>
  </si>
  <si>
    <t>05/15/2017</t>
  </si>
  <si>
    <t>Investigate and confirm why the blue coating on the liners failed</t>
  </si>
  <si>
    <t>Determine if the thread specifications on the drawings are correct or if they need to modified.</t>
  </si>
  <si>
    <t>Tim Riehl</t>
  </si>
  <si>
    <t>Low</t>
  </si>
  <si>
    <t>Derrick 65 - Bent Boom Chord and Lacing</t>
  </si>
  <si>
    <t>Draft and broadcast an action alert for proper rigging points including air compressor barges.</t>
  </si>
  <si>
    <t>David Rappe</t>
  </si>
  <si>
    <t>Stuart Hilgendorf</t>
  </si>
  <si>
    <t>David Rappe, David J Johanson, Steven R Auernhamer, Dave Allen</t>
  </si>
  <si>
    <t>02/12/2019</t>
  </si>
  <si>
    <t>Write a specific JSA and Pre-Lift plan for Lifting AC barge out of water</t>
  </si>
  <si>
    <t>03/20/2019</t>
  </si>
  <si>
    <t>Specify in the JSA that there may be a hazard if there is water in any air compressor barge tanks and its presence will add to the estimated weight of the barge and may result in possible shifting of the load.</t>
  </si>
  <si>
    <t>Specify in the JSA that Saddle pin holes are not proper lifting points for picking up AC Barge instead lift by rigging straps or cable to choke the pipe</t>
  </si>
  <si>
    <t>Specify in the JSA the estimated load of a 5 tank compressor barge and the practice of knowing and not exceeding 75% of the maximum load at the boom angle you are intending to make the lift.</t>
  </si>
  <si>
    <t>DR 55 - Load Drop</t>
  </si>
  <si>
    <t>Develop and implement daily &amp; monthly crane inspection sheets based on OEM's recommendations for the DR 55.</t>
  </si>
  <si>
    <t>Bill Baumann, Christopher Gunsten</t>
  </si>
  <si>
    <t>10/13/2017</t>
  </si>
  <si>
    <t>Local Only, Mechanical</t>
  </si>
  <si>
    <t>Implement OEM annual audit on the DR 55.  Items to be audited include NDT testing of shafts, inspection of brakes and drums, boom and turning circle inspection.</t>
  </si>
  <si>
    <t>04/19/2017</t>
  </si>
  <si>
    <t>Replace emergency switch and associated wiring.</t>
  </si>
  <si>
    <t>OEM representative and electrical department to inspect the machine prior to resuming weight testing.</t>
  </si>
  <si>
    <t>Standard job will be written to define procedure used for crane weight tests including inspections to be completed prior to test and a step by step detail of weights and booms angles to be tested.</t>
  </si>
  <si>
    <t>08/14/2017</t>
  </si>
  <si>
    <t>Determine if additional spring releasing the digging brake is detrimental to the operation of the parking brake.</t>
  </si>
  <si>
    <t>02/03/2017</t>
  </si>
  <si>
    <t>Develop a standard job for adjusting the parking brake using procedure supplied by OEM.</t>
  </si>
  <si>
    <t>Dredge 54 Boom Dropped</t>
  </si>
  <si>
    <t>Design and install an auxiliary brake on the hoist drum.</t>
  </si>
  <si>
    <t>Douglas Wittwer</t>
  </si>
  <si>
    <t>Andrew Larkin, Christopher Gunsten, Christopher Charron</t>
  </si>
  <si>
    <t>07/20/2017</t>
  </si>
  <si>
    <t>Investigate and risk asses an automated dog system to insure the boom dog is engaged at all times when the boom is not changing angles. (est completion date 9/1/16)</t>
  </si>
  <si>
    <t>09/01/2017</t>
  </si>
  <si>
    <t>Create and input a standard job for a gear box shaft inspection procedure.</t>
  </si>
  <si>
    <t>Analyze the failed gear box shaft to determine type/cause of failure.</t>
  </si>
  <si>
    <t>07/01/2017</t>
  </si>
  <si>
    <t>Investigate and risk assess an automated dog system to insure the boom dog is engaged at all times when the boom is not changing angles.</t>
  </si>
  <si>
    <t>MCIA_015_2016_UWP Knife Brook_CSD Carolina_161201</t>
  </si>
  <si>
    <t>1- Review the specification for the Impellers with Oak Brook.</t>
  </si>
  <si>
    <t>Mike Hungerford</t>
  </si>
  <si>
    <t>Ed Tiearney</t>
  </si>
  <si>
    <t>Sam R Morrison, Chris C Harris, Ed Tiearney</t>
  </si>
  <si>
    <t>03/31/2017</t>
  </si>
  <si>
    <t>Int'l - Hydraulic</t>
  </si>
  <si>
    <t>2- Review the knife design with the Oak Brook mechanical department for approval.</t>
  </si>
  <si>
    <t>06/08/2017</t>
  </si>
  <si>
    <t>4- Project team to review site conditions and determine when the rock cages and/or deflector plates are needed.</t>
  </si>
  <si>
    <t>Sheldon Brooks</t>
  </si>
  <si>
    <t>Scott Baumann</t>
  </si>
  <si>
    <t>06/28/2017</t>
  </si>
  <si>
    <t>Booster Jack stern spud failure / drop</t>
  </si>
  <si>
    <t>Design chocks as per those added during the repairs made.  Update drawings to include chocks and weld details.</t>
  </si>
  <si>
    <t>David B Coombs</t>
  </si>
  <si>
    <t>Mark V Outten</t>
  </si>
  <si>
    <t>David J Johanson</t>
  </si>
  <si>
    <t>Develop a PM plan for the jacking system to include standard jobs for periodic inspections, checks, and adjustments of the entire system.  List each gearbox / motor assembly as a component of the spud.
Items to be addressed in Standard Jobs:
Oil analysis of gearboxes and hydraulic system
Brake component inspection
System pressure / relief valve check and adjustment
Hydraulic hose replacement
Lubrication of pinion and bushings</t>
  </si>
  <si>
    <t>Sherif Abdelgafar</t>
  </si>
  <si>
    <t>Review and update jacking procedure to include more details.  Include safety concerns and instructions for closing watertight doors. Also address jacking down booster.
 Procedure should address the need for a JSA</t>
  </si>
  <si>
    <t>04/30/2017</t>
  </si>
  <si>
    <t>Develop a standard job for the installation of jacking gearbox and motor including all materials required (Bolts, washers, nuts, grease), torque specs, pinion engagement criteria, brake checks, lubrication, chock installation, etc.</t>
  </si>
  <si>
    <t>05/31/2017</t>
  </si>
  <si>
    <t>Dredge Illinois Stbd Main Engine Turbo Failure</t>
  </si>
  <si>
    <t>review and edit pm plan for 20-645 EMD engines to include detailed turbo charger inspections and required turbo charger inspection findings (4K hours)</t>
  </si>
  <si>
    <t>Terry Wright</t>
  </si>
  <si>
    <t>Review the maintenance history of all 20 cy EMD turbo engine applications for life history both dredge pump and generator.</t>
  </si>
  <si>
    <t>04/28/2017</t>
  </si>
  <si>
    <t>MCIA_001_2017_Stern Swivel Vertical Inlet Broke</t>
  </si>
  <si>
    <t>Need to train lever-man on proper priming procedure</t>
  </si>
  <si>
    <t>Barry Ashton</t>
  </si>
  <si>
    <t>Robert pierce</t>
  </si>
  <si>
    <t>Bill Baumann, Sam R Morrison, Chris C Harris, Ed Tiearney</t>
  </si>
  <si>
    <t>02/28/2017</t>
  </si>
  <si>
    <t>Need to modify the system so that UWP can't be engaged while main pumps are running</t>
  </si>
  <si>
    <t>Jacques Coetzee</t>
  </si>
  <si>
    <t>04/03/2017</t>
  </si>
  <si>
    <t>Crane 63 Boom Damage</t>
  </si>
  <si>
    <t>Send out a notice to all Derrick Operators and Deck Captains that all loads need to be centered for a straight-up lifting.  If the load is not centered Call An All Stop.</t>
  </si>
  <si>
    <t>03/30/2017</t>
  </si>
  <si>
    <t>Create an Action Alert that instructs Derrick Operators and Deck Captains that pontoon tanks are only to be lifted using pad eyes that are designed for lifting or using a basket hitch to cradle the tank.  Under no circumstances should the bits be used as lifting points as they are not designed for vertical stresses.</t>
  </si>
  <si>
    <t>05/30/2017</t>
  </si>
  <si>
    <t>Subline tow - lost raft incident</t>
  </si>
  <si>
    <t>Develop a standard rigging procedure for subline raft tows.</t>
  </si>
  <si>
    <t>Dave Allen</t>
  </si>
  <si>
    <t>David Rappe, David J Johanson, James C Gillespie</t>
  </si>
  <si>
    <t>11/20/2019</t>
  </si>
  <si>
    <t>Hydraulic, Hopper, Yard/Bull Gang</t>
  </si>
  <si>
    <t>Complete engineering analysis of subline tow arrangement in order to complete procedure with accurate data.</t>
  </si>
  <si>
    <t>Sean Raines</t>
  </si>
  <si>
    <t xml:space="preserve">DR 55 Tagline Motor </t>
  </si>
  <si>
    <t>Install a temperature monitor circuit in all 4 tagline motors to alert the watch engineer to excessive temperatures.</t>
  </si>
  <si>
    <t>Establish a standard job detailing the procedure and QC process for installing a cooling fan and checking for proper rotational direction.</t>
  </si>
  <si>
    <t>Define test procedure for tagline motors upon repair and document this in NS5 as part of the motor repair standard job.</t>
  </si>
  <si>
    <t>Adjust the taps on the rotor circuit grid resistor to keep motor current and load to a minimum while still maintaining proper bucket control.</t>
  </si>
  <si>
    <t>05/01/2017</t>
  </si>
  <si>
    <t>Install stickers indicating the direction the fan is to rotate.</t>
  </si>
  <si>
    <t>Alex Morris</t>
  </si>
  <si>
    <t>07/06/2017</t>
  </si>
  <si>
    <t>DR 55 - Gusset Crack</t>
  </si>
  <si>
    <t>Develop and implement daily &amp; monthly crane inspection sheets based on OEM's recommendations on DR 55.</t>
  </si>
  <si>
    <t>Unloader # 2 - CAT 398 Gasket</t>
  </si>
  <si>
    <t>Inspect cooling system to determine if cooling pump needs to be replaced to match aftercooler flow specifications.</t>
  </si>
  <si>
    <t>05/22/2017</t>
  </si>
  <si>
    <t>Consult with Goulds pump regarding the manufacturer's recommendations regarding reducing the the flow to the pump to determine if current size pump is acceptable. If current size pump is acceptable install an orifice to limit the pressure to 15 psi in the cooling piping system.</t>
  </si>
  <si>
    <t>08/16/2017</t>
  </si>
  <si>
    <t>MCIA_003_2017_CSD Ohio_Cutter Motor # 2 Failure</t>
  </si>
  <si>
    <t>Test run motors prior to installation</t>
  </si>
  <si>
    <t>Sam R Morrison, Ed Tiearney</t>
  </si>
  <si>
    <t>Re-insulate the lugs prior to each cutter motor installation and fabricate bottom plate non-conductive for the junction box</t>
  </si>
  <si>
    <t>05/09/2017</t>
  </si>
  <si>
    <t>QC checks from a GLDD representative  to be done</t>
  </si>
  <si>
    <t>Int'l - Hopper</t>
  </si>
  <si>
    <t xml:space="preserve">MCIA_004_2017_Ohio_Cutter Motor # 6_Failure  </t>
  </si>
  <si>
    <t>Vendor to provide the coil specification and  information when replacing armature windings</t>
  </si>
  <si>
    <t>Q.C checks to be done from GLDD representative</t>
  </si>
  <si>
    <t>Port Breast Winch Shaft Failure</t>
  </si>
  <si>
    <t>Limit swing tonnage as not to exceed 75 tons while digging on the Xmas tree.</t>
  </si>
  <si>
    <t>Robbie Baker</t>
  </si>
  <si>
    <t>Mark V Outten, Andrew Gillie, David Rappe, Bill Baumann, Mark L. Reid, David J Johanson, Dave Allen</t>
  </si>
  <si>
    <t>05/03/2017</t>
  </si>
  <si>
    <t>Unloader - Slurry Engine Fire</t>
  </si>
  <si>
    <t>Inspect all fuel lines on the dredge for contact with other lines or any damage.</t>
  </si>
  <si>
    <t>06/01/2017</t>
  </si>
  <si>
    <t>Modify 750 hour and 1,500 hour standard job to include further inspection of the high pressure fuel lines.  Wording would will be similar to the following "Visually inspect all fuel injection lines for chaffing and proper bracing. Verify all high pressure fuel lines are covered in sheathing. Replace any damaged fuel lines. Install rackets / chaffing gear as required"</t>
  </si>
  <si>
    <t>Install protective sheathing on all single walled high pressure fuel lines on the Unloader.</t>
  </si>
  <si>
    <t>Unloader #2 - Electrical Failure</t>
  </si>
  <si>
    <t>Move Toshiba Over-current Relay out of high voltage cabinet and install a sign to designate the switch should be on run not test.</t>
  </si>
  <si>
    <t>09/29/2017</t>
  </si>
  <si>
    <t>Label all PLC fuses with the proper size and model.</t>
  </si>
  <si>
    <t>Chris Thorp</t>
  </si>
  <si>
    <t>Conduct an electrical training course.  Include troubleshooting techniques as one of the class lessons.</t>
  </si>
  <si>
    <t>Cutter Gear Box / Cutter Motor Noise</t>
  </si>
  <si>
    <t>create a SJ for the overhaul of the cutter motors that includes a check list for fasteners and torque settings and QC/ QA details.  SJ must have checkpoints for possible owners rep attendance.</t>
  </si>
  <si>
    <t>Have a meeting with Keystone (CR) to discuss the factors that led up to the fasteners not being installed and what steps can we implement to prevent this form happening in the future.</t>
  </si>
  <si>
    <t>12/31/2017</t>
  </si>
  <si>
    <t>Edit the 750 hour SJ for the cutter motors to include inspection of the brush rigging and mounting bolts.  Include photos in the SJ of the correct installation with highlighted items of detailed inspections.</t>
  </si>
  <si>
    <t>Liberty Island port main engine</t>
  </si>
  <si>
    <t>If steel replacement is done under the engine, alignment will be checked and blots re-torqued prior to sailing.</t>
  </si>
  <si>
    <t>Steven W  Becker</t>
  </si>
  <si>
    <t>Steven W  Becker, Russell F. Zimmerman, Paul C Lamourie, James C Gillespie</t>
  </si>
  <si>
    <t>07/07/2017</t>
  </si>
  <si>
    <t>Not Started</t>
  </si>
  <si>
    <t>Add a standard job in NS-5 to check the engine torque on bolts and foundation footing.</t>
  </si>
  <si>
    <t>Jason  Mixon</t>
  </si>
  <si>
    <t>MCIA_006_2017_CSD Ohio_ Cutter motor # 4</t>
  </si>
  <si>
    <t>QC checks procedure for Cutter Motor Inspection at the vendor facility to be implemented Company-wide</t>
  </si>
  <si>
    <t>Brian Bickford</t>
  </si>
  <si>
    <t>Manny Vianzon, Garrett Gibson, Ed Tiearney</t>
  </si>
  <si>
    <t>06/22/2017</t>
  </si>
  <si>
    <t>MCIA_007_2017_CSD Ohio_ Broken U.W.Pump Impeller</t>
  </si>
  <si>
    <t>A debris / foreign object risk assessment to be included as part of the pre work planning. This risk assessment to be added to CSD Premobilization Checklist.</t>
  </si>
  <si>
    <t>Manny Vianzon</t>
  </si>
  <si>
    <t>06/15/2019</t>
  </si>
  <si>
    <t>Magnotometer survey to be performed prior to commencing dredging operations. Each ping should be analysed on a case by case basis and site management/engineering will determine which pings require further investigation. Diving inspection, clamshell etc...
Note: A magnetometer will not be of any help in detecting non-ferrous metals.</t>
  </si>
  <si>
    <t>CRAB 3 Wheel Damage</t>
  </si>
  <si>
    <t>Checking wheel studs is now included in the daily check of the CRAB.</t>
  </si>
  <si>
    <t>Jesus Espinosa</t>
  </si>
  <si>
    <t>Washington Bryan</t>
  </si>
  <si>
    <t>Chris Roberts</t>
  </si>
  <si>
    <t>Nyloc nuts with the correct bolt length were used so the operators could tell with a quick examination if the bolts had backed off.</t>
  </si>
  <si>
    <t>DR 55 Oil Cooler</t>
  </si>
  <si>
    <t>Send oil cooler for testing to determine failure cause.</t>
  </si>
  <si>
    <t>07/19/2017</t>
  </si>
  <si>
    <t>Distribute RAM Action alert to vessel management teams outlining the need for detailed written instructions for all tasks especially in the case of outside vendors.  Alert to include some "what if" examples and guidelines for writing quality, detailed SR's and how to get them to the vendors.</t>
  </si>
  <si>
    <t>10/16/2017</t>
  </si>
  <si>
    <t>Analyze purchase of a new oil cooler assembly based on oil cooler failure testing and TE analysis.</t>
  </si>
  <si>
    <t>08/01/2017</t>
  </si>
  <si>
    <t>Standard job to complete monthly PH testing on coolant.</t>
  </si>
  <si>
    <t>11/22/2017</t>
  </si>
  <si>
    <t>GL65 - Gasket Failure</t>
  </si>
  <si>
    <t>Develop a standard job detailing the bolt torquing procedure including methods for visually identifying the bolts have been torqued properly.</t>
  </si>
  <si>
    <t>Troy Booth</t>
  </si>
  <si>
    <t>Liberty Island submerged pipeline sand plug</t>
  </si>
  <si>
    <t>Review the Incident Alert with the entire site team focusing on site specific hazards related to each position.  The message of discussions to be positive reinforcement of hazard awareness.</t>
  </si>
  <si>
    <t>Roger Nichols</t>
  </si>
  <si>
    <t xml:space="preserve">Matt Ferrell </t>
  </si>
  <si>
    <t>Russell F. Zimmerman, Paul C Lamourie</t>
  </si>
  <si>
    <t>09/15/2017</t>
  </si>
  <si>
    <t>Increase frequency of hazard signage and verbal warring with a goal to keep the public greater than 50' from the shore pipe.</t>
  </si>
  <si>
    <t>Bryan  Johanson</t>
  </si>
  <si>
    <t>07/12/2017</t>
  </si>
  <si>
    <t>Explore other locations in the borrow area with a goal to find material less likely to stand on a steep slope and cave in.</t>
  </si>
  <si>
    <t>Dane Nelson</t>
  </si>
  <si>
    <t>07/09/2017</t>
  </si>
  <si>
    <t>Redistribute, post and review Fill Site shutdown codes. (Red, Orange and Yellow)</t>
  </si>
  <si>
    <t>GL 65 - Pennant Line Failure</t>
  </si>
  <si>
    <t>Create a standard job for all bottom dumping scows to have the towing pennant wire changed on a yearly basis.</t>
  </si>
  <si>
    <t xml:space="preserve">Myrtle Beach 'Sink' Hose Failure </t>
  </si>
  <si>
    <t>Request to Sr. Operations Manager that a proper handling procedure for float hoses be re-distributed to the fleet Deck Captains and Site Managers.  If one is not in place, ask that one be written.</t>
  </si>
  <si>
    <t>Ed ODowd</t>
  </si>
  <si>
    <t>James M Walker, David Rappe, Paul C Lamourie, Dave Allen</t>
  </si>
  <si>
    <t>05/27/2020</t>
  </si>
  <si>
    <t>Local Only, Hydraulic, Rivers &amp; Lakes, Hopper, Mechanical, Yard/Bull Gang, Int'l - Hopper, Int'l - Hydraulic</t>
  </si>
  <si>
    <t>Provide Deck Captains Site Managers a proper inspection methodology and procedure.</t>
  </si>
  <si>
    <t>12/17/2019</t>
  </si>
  <si>
    <t>Hydraulic, Hopper</t>
  </si>
  <si>
    <t>Request that the Wear Group and Sr. Management research as to whether it makes sense to re-purpose float hoses into sink hoses and for what project purposes.</t>
  </si>
  <si>
    <t>Alaska Swing Drive Issue</t>
  </si>
  <si>
    <t>Instruct the dredge crew on proper inventory maintenance (receiving parts, reconciliation, usage tab Etc.), &amp; to use the inventory to find parts not by memory.</t>
  </si>
  <si>
    <t>Brian Markey</t>
  </si>
  <si>
    <t>09/06/2017</t>
  </si>
  <si>
    <t>Create a policy for unplanned downtime including initial steps, chain of command, help network etc.</t>
  </si>
  <si>
    <t>05/09/2019</t>
  </si>
  <si>
    <t>Create PM plan for the M/G set.</t>
  </si>
  <si>
    <t>Create plan for to be written jobs creation.</t>
  </si>
  <si>
    <t>09/22/2017</t>
  </si>
  <si>
    <t>Hydraulic, Hopper, Mechanical, Int'l - Hopper, Int'l - Hydraulic, Int'l - Mechanical</t>
  </si>
  <si>
    <t>Create a Ram note for WO to be written at or before time of repair.</t>
  </si>
  <si>
    <t>Create a basic trouble shooting guide that can be used for all systems.</t>
  </si>
  <si>
    <t>IL Swing Drive</t>
  </si>
  <si>
    <t>Procure replacement boards and take the time with Bill English to pre-calibrate and label replacement boards.</t>
  </si>
  <si>
    <t>Sam Radjenovich</t>
  </si>
  <si>
    <t>Tim J Kremer</t>
  </si>
  <si>
    <t>Evaluate board design and determine if additional adhesive will aid in making more robust.</t>
  </si>
  <si>
    <t>DR 55 Load Drop</t>
  </si>
  <si>
    <t>Add to the Standard Job of all critical components a QA/QC procedure to require the Captain or Chief to QC the job prior completing the standard job.  Critical Jobs this will be done for are the brake adjustment on the Holder, Closer, Boom hoist and air compressor</t>
  </si>
  <si>
    <t>Johan VanBladel</t>
  </si>
  <si>
    <t>Andrew Larkin, Bill Baumann, Steve O'Hara, Christopher Gunsten</t>
  </si>
  <si>
    <t>05/15/2019</t>
  </si>
  <si>
    <t>Developed a time based standard job for maintenance of air pots. Time frame to be calendar based.</t>
  </si>
  <si>
    <t>Develop a Standard Job for lubricating the air pots during periods of extended downtime or mobilization.</t>
  </si>
  <si>
    <t>11/14/2017</t>
  </si>
  <si>
    <t>Research and install a hydraulic unloader valve that can be locked.</t>
  </si>
  <si>
    <t>10/02/2017</t>
  </si>
  <si>
    <t>Implement a test procedure for load testing the brake adjustments prior to resuming operations.</t>
  </si>
  <si>
    <t>Install an audible alarm to alert of low air pressure prior to the machine shutting down.</t>
  </si>
  <si>
    <t>10/23/2017</t>
  </si>
  <si>
    <t>DR 55 #2 Hoist Motor Failure</t>
  </si>
  <si>
    <t>Create a standard job to be used for prepping for tow.  Include requirement to  cover all electrical motors and mg sets with tarps.</t>
  </si>
  <si>
    <t>Develop an electrical and visual inspection procedure for the dredge motors after the vessel is towed.</t>
  </si>
  <si>
    <t>11/16/2017</t>
  </si>
  <si>
    <t xml:space="preserve"> Booster Reggie Dropped</t>
  </si>
  <si>
    <t>Establish a maintenance plan for jacking system bladders, grippers, air controls, and cylinders,.  The plan shall identify each gripper, bladder, and cylinder as individual units in order to track  life cycles.  The retract and jacking cylinders shall be tracked as serialized items.   The Plan will include inspection processes and intervals.</t>
  </si>
  <si>
    <t>William Bradshaw</t>
  </si>
  <si>
    <t>James M Walker, Bill Baumann, David J Johanson</t>
  </si>
  <si>
    <t>Bladders were not always sourced from a reputable dealer.  With many bladders being patched or possibly used, new vendors should be sourced for a reliable bladder that can be purchases as needed.</t>
  </si>
  <si>
    <t>11/28/2018</t>
  </si>
  <si>
    <t>Establish a means to track the life of the bladders in NS5.  Identify each component individually so work orders can be attached for the given system and bladder life/gripper damage can be identified over time.</t>
  </si>
  <si>
    <t>Craig Daly</t>
  </si>
  <si>
    <t>Testing Underway</t>
  </si>
  <si>
    <t>Write a standard job for jacking the booster up and down noting the system abilities and methodologies for operating the all 4 spuds simultaneously.</t>
  </si>
  <si>
    <t>MCIA - Dare county cube set up leak</t>
  </si>
  <si>
    <t>Post severe weather the horizontal position of the cube will be check and the anchors will be reset as soon as conditions allow.  Include this in the severe weather plan as part of storm recovery.</t>
  </si>
  <si>
    <t>Jack Winn</t>
  </si>
  <si>
    <t>Russell F. Zimmerman, Dave Allen</t>
  </si>
  <si>
    <t>DR 54 Main Generator Failure</t>
  </si>
  <si>
    <t>Fabricate and install improved generator foundation per engineering design.</t>
  </si>
  <si>
    <t>04/16/2018</t>
  </si>
  <si>
    <t>22582_MCIA_009_CSD Carolina Cutter Motor No. 4</t>
  </si>
  <si>
    <t>Standard Job need to create for "Taking the addition insulation resistance measurements from the SCR room to determine if the insulation resistance is  decreasing due to carbon build up. Do these tests when the dredge is shutdown for 2 hours or longer, by measuring the insulation resistance in the SCR room rather than at the motor also help to reduce the frequency of opening Cutter Canister.</t>
  </si>
  <si>
    <t>Hector Gonzales</t>
  </si>
  <si>
    <t>Joseph Sadiq</t>
  </si>
  <si>
    <t>Manny Vianzon, Garrett Gibson</t>
  </si>
  <si>
    <t>12/16/2017</t>
  </si>
  <si>
    <t>Install additional cameras to verify the wear of the brushes by looking at the wear indicators without opening the canister.</t>
  </si>
  <si>
    <t>Unloader 2, CAT 399 Failure</t>
  </si>
  <si>
    <t>Update the alarms on all 399 engines to shutdown both the engine's in series automatically.</t>
  </si>
  <si>
    <t>Wade Eldridge</t>
  </si>
  <si>
    <t>Investigate the ability to install new electronic governors.</t>
  </si>
  <si>
    <t>Implementation Design Underway</t>
  </si>
  <si>
    <t>Add 399 as a critical spare to Norfolk yard and maintain a minimum of 1 on hand and a maximum of 2.</t>
  </si>
  <si>
    <t>Ohio River Engine Room Fire</t>
  </si>
  <si>
    <t>The maintenance group to train the crew boat operators in how to take the cover of the impellor off, what to look for and how to determine the condition of the impellor.</t>
  </si>
  <si>
    <t>Michael Brown</t>
  </si>
  <si>
    <t>Brian C Puckett</t>
  </si>
  <si>
    <t>James M Walker, David Rappe, Bill Baumann, Steven R Auernhamer, Dave Allen</t>
  </si>
  <si>
    <t>11/21/2018</t>
  </si>
  <si>
    <t>Hydraulic, Hopper, Mechanical</t>
  </si>
  <si>
    <t>Once the crew boat operators are trained to inspect the pump impellor, the maintenance department will determine which parts and how many parts the boat will need to have on hand to be able to perform these inspections</t>
  </si>
  <si>
    <t>Maintenance Department to determine which boats do and do not have alarms on the raw water pumps for the exhaust.</t>
  </si>
  <si>
    <t>Install an alarm to notify the operator that the pump is not working</t>
  </si>
  <si>
    <t>Company All</t>
  </si>
  <si>
    <t>Install heat sensors on the exhaust</t>
  </si>
  <si>
    <t>Dredge Liberty Automation Failure Incident</t>
  </si>
  <si>
    <t>Upgrade the PLC to reduce risk of having automation failures.</t>
  </si>
  <si>
    <t>Alaska Cutter Motor Failure 12/21/2017</t>
  </si>
  <si>
    <t>Add the correct electrical grade sealant material (for sealing motor access points ) to the cutter motor installation Standard job  - this is to address the fact that silicone was found to be a CF to this incident</t>
  </si>
  <si>
    <t>Steven W  Becker, James C Gillespie</t>
  </si>
  <si>
    <t>09/10/2019</t>
  </si>
  <si>
    <t>Establish Standard jobs for cutter motors to cover   
1. Inspection
2. Removal
3. Installation</t>
  </si>
  <si>
    <t>Engine room personnel need to be properly trained on implementing the 3 standard jobs associated with cutter motor inspections / removals / installations. This should be part of an authorized and qualified process.</t>
  </si>
  <si>
    <t>Create a standard work / service order for servicing cutter motors at outside shops -  to include adjusting the brush neutral setting to remove amperage from the system.</t>
  </si>
  <si>
    <t>STBD Cutter Motor Failure</t>
  </si>
  <si>
    <t>Add QC steps of  inspection of the motor during reassembly and all cabling to include pictures.</t>
  </si>
  <si>
    <t>Steven W  Becker, Bill Baumann, James C Gillespie</t>
  </si>
  <si>
    <t>Broken Tail Shaft Coupling 2/1/2018</t>
  </si>
  <si>
    <t>Enter all tailshafts and couplings as serialized items in NS to track all repairs, installations, etc.</t>
  </si>
  <si>
    <t>Lionell Caroon</t>
  </si>
  <si>
    <t>Steven W  Becker, Tim Riehl, Bill Baumann, James C Gillespie</t>
  </si>
  <si>
    <t>01/01/2019</t>
  </si>
  <si>
    <t>Edit standard job for tailshaft / coupling rebuilds to include a mag particle or dye test with photos of the test in the findings.</t>
  </si>
  <si>
    <t>11/25/2018</t>
  </si>
  <si>
    <t>Create a standard job for cutter tailshaft / coupling installation based on the Technical Procedure we currently have.</t>
  </si>
  <si>
    <t>10/31/2018</t>
  </si>
  <si>
    <t>Cutter Gearbox Bearing Failure</t>
  </si>
  <si>
    <t>Engineer oil cooler for gearbox for shallow water digging.</t>
  </si>
  <si>
    <t>Carl Pfeil</t>
  </si>
  <si>
    <t>Steven W  Becker, Bill Baumann</t>
  </si>
  <si>
    <t>02/15/2019</t>
  </si>
  <si>
    <t>Engineer / design seal assembly to eliminate water intrusion.</t>
  </si>
  <si>
    <t>Updating all drawings using one specific mfg data.</t>
  </si>
  <si>
    <t>Add to reassembling procedures to take measurement of sleeve, bearing and flange spigot to confirm fits are the same as they were installed prior reassembling.</t>
  </si>
  <si>
    <t>07/15/2020</t>
  </si>
  <si>
    <t>Change the part hierarchy to reference OEM parts with no substitutions.</t>
  </si>
  <si>
    <t>DR 53 - Reactor Failure</t>
  </si>
  <si>
    <t>Visually inspect other reactors for cracking or signs of damage due to vibration when dredge is not running.</t>
  </si>
  <si>
    <t>chris  slimmer</t>
  </si>
  <si>
    <t>Chris Ameika, Bill Baumann, James C Gillespie, Steven R Auernhamer</t>
  </si>
  <si>
    <t>07/02/2018</t>
  </si>
  <si>
    <t>Evaluate the electrical systems on the DR 53 for obsolete components.</t>
  </si>
  <si>
    <t>10/11/2018</t>
  </si>
  <si>
    <t>Padre Island Dredge Pump Coupling Failure</t>
  </si>
  <si>
    <t>Write procedure for changing tolerance bands on newly installed equipment.</t>
  </si>
  <si>
    <t>Giacomo Albanese</t>
  </si>
  <si>
    <t>Dredge Carolina cutter gearbox failure May 2018</t>
  </si>
  <si>
    <t>Provide training and instruction to dredge leadership teams on the expectations of Standard job performance.  Including findings, feedback on job requirements, etc.to all dredges in the RAM program.</t>
  </si>
  <si>
    <t>Steven W  Becker, Russell F. Zimmerman, David J Johanson, James C Gillespie</t>
  </si>
  <si>
    <t>10/15/2018</t>
  </si>
  <si>
    <t>Hydraulic, Mechanical</t>
  </si>
  <si>
    <t>Work with Total oil to provide a system to monitor sample due dates and provide reports on overdue samples.</t>
  </si>
  <si>
    <t>Jose Gracia</t>
  </si>
  <si>
    <t>08/31/2018</t>
  </si>
  <si>
    <t>Create and implement a SJ audit program focused on crew performed, critical equipment inspections and condition based maintence jobs.</t>
  </si>
  <si>
    <t>Research and implement a method to install sensors in order to monitor and record oil and critical bearing temperatures</t>
  </si>
  <si>
    <t>22711_180413_Ohio_DC Contactor</t>
  </si>
  <si>
    <t>Create a standard job for the Maintenance procedure on the DC contactor and control circuit.</t>
  </si>
  <si>
    <t>Alexanders Andrezens</t>
  </si>
  <si>
    <t>05/28/2018</t>
  </si>
  <si>
    <t>Shielding the contactor to prevent damages/injury of possible arc flash</t>
  </si>
  <si>
    <t>Training on DC motor and contactor inspection and maintenance by DM+</t>
  </si>
  <si>
    <t>Create a work order to replace the dresser coupling with SS flex type hose (this type is more flexible and will last long)</t>
  </si>
  <si>
    <t>07/08/2018</t>
  </si>
  <si>
    <t>Dredge 53 Boom Hoist Gear Box Failure</t>
  </si>
  <si>
    <t>Fabricate and install a wire mesh guard over the output shaft to allow for visual inspection of the shaft.</t>
  </si>
  <si>
    <t>Bill Baumann, James C Gillespie</t>
  </si>
  <si>
    <t>06/12/2019</t>
  </si>
  <si>
    <t>Install collision blocks on side of bearing foundation to prevent movement.  Also use nyloc nuts with witness marks to secure pillow block bearing.</t>
  </si>
  <si>
    <t>09/18/2019</t>
  </si>
  <si>
    <t>Create a standard job for inspecting gear box assembly and pillow block bearing on a time based increment.</t>
  </si>
  <si>
    <t>Provide information supporting the benefits of a record able camera system to all Mechanical Division dredges.</t>
  </si>
  <si>
    <t>DR 55 - Hoist Generator #2 Breakdown</t>
  </si>
  <si>
    <t>Revise megging standard job to include QC procedure for all connections that are disturbed during the megging process.</t>
  </si>
  <si>
    <t>08/22/2018</t>
  </si>
  <si>
    <t>GL-10 Port Side Pin Connection Failure</t>
  </si>
  <si>
    <t>Maintenance Manager for dredge to review Min/Max levels for pins and update as necessary</t>
  </si>
  <si>
    <t>Steven W  Becker, David J Johanson, James C Gillespie</t>
  </si>
  <si>
    <t>Develop a standard job or procedure for installing pins, sleeve, and end caps.  Ensure that the correct materials are noted for install, i.e. bolts.</t>
  </si>
  <si>
    <t>Review if GL-10 is needed to continue digging in Charleston during Season II</t>
  </si>
  <si>
    <t>Russell F. Zimmerman</t>
  </si>
  <si>
    <t>07/17/2019</t>
  </si>
  <si>
    <t>20180702 LI PME Turbo Catastrophic Failure</t>
  </si>
  <si>
    <t>None.</t>
  </si>
  <si>
    <t>Jeremy Remme</t>
  </si>
  <si>
    <t>Steven W  Becker, Paul C Lamourie</t>
  </si>
  <si>
    <t>09/04/2019</t>
  </si>
  <si>
    <t>Texas Broken Port Spud Winch</t>
  </si>
  <si>
    <t>Engineer and requisition new winch</t>
  </si>
  <si>
    <t>James C Towner</t>
  </si>
  <si>
    <t>Russell F. Zimmerman, David J Johanson, James C Gillespie</t>
  </si>
  <si>
    <t>06/01/2019</t>
  </si>
  <si>
    <t>Booster 9 Generators</t>
  </si>
  <si>
    <t>Routine inspection procedures for an unmanned vessel</t>
  </si>
  <si>
    <t>Manny Vianzon, Christopher Gunsten, Garrett Gibson</t>
  </si>
  <si>
    <t>Purchase or fabricate container that will allow to protect generators for dust or moisture while not in operation.</t>
  </si>
  <si>
    <t>DR 54 - Stbd Spud Gear Box Shaft Failure</t>
  </si>
  <si>
    <t>Revise standard job to include internal inspection of gear assembly to document wear patterns and backlash.</t>
  </si>
  <si>
    <t>01/22/2019</t>
  </si>
  <si>
    <t>Inform site administrators of the requirement to ship oil samples immediately.</t>
  </si>
  <si>
    <t>01/09/2019</t>
  </si>
  <si>
    <t>Design and propose the install of a secondary brake in all spud systems.</t>
  </si>
  <si>
    <t>Dredge Carolina Suction Hose Failure</t>
  </si>
  <si>
    <t>Write a standard job for removing / replacing hose and pipe under the ladder.  Include instructions to not tighten up the flanges fully until the vitalic coupling connection is secured.</t>
  </si>
  <si>
    <t>David Rappe, Bill Baumann, Lynn Nietfeld, James C Gillespie</t>
  </si>
  <si>
    <t>04/01/2019</t>
  </si>
  <si>
    <t>Write a standard job for inspection of hose and pipe to include gauging the pipe and bands on the hose.</t>
  </si>
  <si>
    <t>DR 55 - Brake Band Actuator Foundation Failure</t>
  </si>
  <si>
    <t>Add inspection of the air pot foundation to the annual OEM machine audit.</t>
  </si>
  <si>
    <t>Thomas Lawrence</t>
  </si>
  <si>
    <t>02/08/2019</t>
  </si>
  <si>
    <t>DR 53 - Bucket Drop</t>
  </si>
  <si>
    <t>08/28/2019</t>
  </si>
  <si>
    <t>Create a functional description of the PLC logic for Dredge 53 operations.</t>
  </si>
  <si>
    <t>Change all brake setting valves to ASCO 1/2" 3 port valves with quick release valves. (holding, closing, boom hoist &amp; swing brakes)  Update drawings to note this change.</t>
  </si>
  <si>
    <t>Benjamin Tuffias</t>
  </si>
  <si>
    <t>Make the ASCO 1/2" 3 port valve a critical spare with a minimum inventory max of 4 and a min of 2.</t>
  </si>
  <si>
    <t>Implement a policy that the bucket is never to be left open when stopping that machine.  Create a sign to be placed in all Mechanical Division dredges (53, 54, 55, 58) stating this policy.</t>
  </si>
  <si>
    <t>Hold training on board the Dredge 53 with all crew members outlining that work on any critical lifting equipment (holder, closer, boom hoist)  has to be authorized by the Captain or Chief prior to commencing the work.</t>
  </si>
  <si>
    <t>Gail Johnson</t>
  </si>
  <si>
    <t>DBM STBD M/E Foundation Failure</t>
  </si>
  <si>
    <t>New brackets were made in the USA and blessed by ABS. Plates were increased slightly in size because they were built from imperial sizes instead of the metric original.</t>
  </si>
  <si>
    <t>07/04/2019</t>
  </si>
  <si>
    <t>Failed brackets were sent to Metallurgical Technologies, INC P.A. to get a failure analysis performed.</t>
  </si>
  <si>
    <t>09/03/2019</t>
  </si>
  <si>
    <t>MSI inspected gearbox, input bearing and internals all looked OK. New shaft to be ordered.</t>
  </si>
  <si>
    <t>After re-alignment, initial readings were recorded and a tracking spreadsheet was created. A standard job is to be written to inspect the clearances and mount settings annually and document it in the tracking spreadsheet and attach to the Standard Job Work Order in NS5.</t>
  </si>
  <si>
    <t xml:space="preserve">DR NY Main Engine PP1 Seal Failure </t>
  </si>
  <si>
    <t>Create and distribute a RAM bulletin detailing how to prepare a engine for long term storage including freeze protection.</t>
  </si>
  <si>
    <t>Create a standard job for maintenance of the main coupling based on the OEM published service manuals.  Ensure all maintenance standard jobs for the coupling includes a step to verify the coupling type based on the p/n on the coupling.</t>
  </si>
  <si>
    <t>Create a s/r template that includes a line item for preparing overhauled engines for long term storage.</t>
  </si>
  <si>
    <t>Dredge 54 - Boom Damage</t>
  </si>
  <si>
    <t>Create a flyer detailing scow washing best practices and procedure.</t>
  </si>
  <si>
    <t>Nick Callahan</t>
  </si>
  <si>
    <t>David Burlew</t>
  </si>
  <si>
    <t>Andrew Larkin, Bill Baumann, Russell F. Zimmerman, James C Gillespie</t>
  </si>
  <si>
    <t>12/31/2019</t>
  </si>
  <si>
    <t>Determine a product or method to reduce condensation.</t>
  </si>
  <si>
    <t>08/29/2019</t>
  </si>
  <si>
    <t>DR 58 - Boom Point Sheave Bearing Failure</t>
  </si>
  <si>
    <t>Develop and distribute a RAM note detailing the failure and the need to get subject matter experts involved in complex tasks.  Step back and identify who the SME prior to completing a task and have them own the installation.</t>
  </si>
  <si>
    <t>Update boom point sheave drawing to include installation instructions and include in the SJ.</t>
  </si>
  <si>
    <t>Sudhir Shroff</t>
  </si>
  <si>
    <t>Create a SJ detailing the installation procedure for the boom point sheaves and bearings.</t>
  </si>
  <si>
    <t>DR 54 - Broken Spud Adjustment Bolts</t>
  </si>
  <si>
    <t>Order and install the same wire guard on the DR 53 &amp; 55.</t>
  </si>
  <si>
    <t>06/01/2020</t>
  </si>
  <si>
    <t>Include note in the Standard Job to tighten lower nut tight and verify this added to all wire adjustment standard jobs.</t>
  </si>
  <si>
    <t>10/30/2019</t>
  </si>
  <si>
    <t>Design and install a wire guard that is opened end to allow the spud wire to be installed by the dredge crew.</t>
  </si>
  <si>
    <t>11/29/2019</t>
  </si>
  <si>
    <t>Incorporate the requirement that two hex nuts are installed on the load side of the adjustment bolt in the spud wire change standard job.</t>
  </si>
  <si>
    <t>191031 Ellis Bottom Dump Door #5</t>
  </si>
  <si>
    <t>Redesign and install new guide supports to make them stronger.</t>
  </si>
  <si>
    <t>11/07/2019</t>
  </si>
  <si>
    <t>DRG 58 #2 Swing pinion shaft bearing failure</t>
  </si>
  <si>
    <t>Add greasing to the semi-annual swing gear box maintenance standard job.</t>
  </si>
  <si>
    <t>Cut a hole for the grease fitting and extend it through the cover.</t>
  </si>
  <si>
    <t>Cut an inspection window and weld protective grating in.</t>
  </si>
  <si>
    <t>03/05/2020</t>
  </si>
  <si>
    <t>Unloader 398 Failure</t>
  </si>
  <si>
    <t>Develop document detailing the different emergency shutdowns on the 398 and 399 engines.  Documented training to be completed with all watch engineers and oilers on board.</t>
  </si>
  <si>
    <t>Brian Bickford, Steven W  Becker, Bill Baumann, James C Gillespie</t>
  </si>
  <si>
    <t>Maintenance Manager to distribute a memorandum prohibiting dredge crew from completing non routine maintenance tasks on the 398/399 engines.   CAT Tech's will be brought out to complete all major services.</t>
  </si>
  <si>
    <t>08/06/2020</t>
  </si>
  <si>
    <t>Performance accountability to be given to dredge management for lack of enforcement of JSA use on board.</t>
  </si>
  <si>
    <t>Harold E Valentine</t>
  </si>
  <si>
    <t xml:space="preserve">Carolina Port Cutter Motor </t>
  </si>
  <si>
    <t>Ready for Edits</t>
  </si>
  <si>
    <t>Chief / First Assistant to document all work, including outside vendor service in NS. Find out if the Chief  / 1st Assistant know how to manipulate documentation for Serialized parts (Cutter Motors)</t>
  </si>
  <si>
    <t>DeVos Pieter</t>
  </si>
  <si>
    <t>Steven W  Becker, Bill Baumann, James C Gillespie, Steven R Auernhamer</t>
  </si>
  <si>
    <t>04/01/2020</t>
  </si>
  <si>
    <t>develop a plan to megger motors  anytime the dredge sit idle for period of 24 hours or more.</t>
  </si>
  <si>
    <t>Dwight  Davis</t>
  </si>
  <si>
    <t>Alaska Christmas Tree Failure</t>
  </si>
  <si>
    <t>Update existing drawings with better and more clear detail.  Such as "100% weld penetration".</t>
  </si>
  <si>
    <t>Thomas C Hoag</t>
  </si>
  <si>
    <t>Bill Baumann, Russell F. Zimmerman, James C Gillespie</t>
  </si>
  <si>
    <t>UWP Blown Out Seal Dredge Illinois</t>
  </si>
  <si>
    <t>Ready for Review</t>
  </si>
  <si>
    <t>create a new standard job to include the proper procedure to not only change the existing filter but the newly installed secondary filter and proper valve opening and closing procedures</t>
  </si>
  <si>
    <t>David Rappe, Bill Baumann</t>
  </si>
  <si>
    <t>02/14/2020</t>
  </si>
  <si>
    <t>Carolina cutter tailshaft / coupling failure</t>
  </si>
  <si>
    <t>Create a Standard Job for the installation of the cutter tail shaft.  Include details for coupling / shaft fit, coupling draw, bolt torque, etc.
Include required findings e.g. as measured final coupling draw, cutlass bearing clearance readings, radial bearing clearance readings,</t>
  </si>
  <si>
    <t>Create a policy / procedure to vet any drawing going out for quotes or other actions</t>
  </si>
  <si>
    <t>Update drawings for the Carolina, Texas, and Ohio cutter tail shafts to show proper coupling to shaft fit and draw.  Remove / archive all related drawings that contain inaccuracies.</t>
  </si>
  <si>
    <t>Office</t>
  </si>
  <si>
    <t>Swing Motor Failure Dredge Illinois</t>
  </si>
  <si>
    <t>All increase in swing radius shall be discussed with the captain and chief to ensure no undo stress is put on the associated swing assemblies.</t>
  </si>
  <si>
    <t>Dredge New York Generator Failure</t>
  </si>
  <si>
    <t>Develop a standard job for installation of the boom assist generator and include megging prior to startup.</t>
  </si>
  <si>
    <t>Joseph Rye</t>
  </si>
  <si>
    <t>Brian Bickford, Paul C Lamourie</t>
  </si>
  <si>
    <t>07/31/2020</t>
  </si>
  <si>
    <t>Evaluate the need to include high potential testing  in the overhaul standard job of the boom assist generator.</t>
  </si>
  <si>
    <t>20200510 Terrapin Island Hopper Open/Close Damage</t>
  </si>
  <si>
    <t>Chief Engineer and EOT on board will install a "cut off switch" in the main console.  This will cut power to the system automatically.</t>
  </si>
  <si>
    <t>Mike Barron</t>
  </si>
  <si>
    <t>Chris Roberts, Mark L. Reid</t>
  </si>
  <si>
    <t>07/01/2020</t>
  </si>
  <si>
    <t>Chief Engineer and EOT will install an alarm when the ship opens to greater than 20 degrees.  The procedure will then be for the dragtender to hit the "cut off switch" and disconnect power from the open/close system, which will stop the ship from opening further.</t>
  </si>
  <si>
    <t>Columbia River Main Engines Damage</t>
  </si>
  <si>
    <t>Develop an on boarding process which provides training and hard copy resources to provide to operators in regards to all Maintenance SOPs and role specific responsibilities.</t>
  </si>
  <si>
    <t>Nathan Stevick</t>
  </si>
  <si>
    <t>Clearly define in new SOP what maintenance activities vessel operators are responsible for and what they are not</t>
  </si>
  <si>
    <t>Develop system in which fleet management can easily and frequently qc vessel logs and PMS Book</t>
  </si>
  <si>
    <t>Dredge Carolina Cutter Thrust Bearing Failure</t>
  </si>
  <si>
    <t>Work with engineering to review all of the drawings for the Texas, Carolina, and Ohio Cutter Thrust bearing assembly and update / delete as needed to have only one current drawing.  Should include slotted bearing, check housing pin hole dimensions, pin size, seals, bronze bushing diameter and retainers, etc.</t>
  </si>
  <si>
    <t>Brian Bickford, Steven W  Becker, James C Gillespie</t>
  </si>
  <si>
    <t>Review all SJ's that involve assembly of the bearing (shop rebuild, Assembly installation, rotating element installation, 5,000 hour PM) and edit the same to include detailed steps that we have learned from past experience.  These include; checking the anti-rotation pin clearance, thrust clearance and setting, loading springs install, bushing clearance checks, correct seal installation, housing alignment, housing dimensional checks, sealant, etc.</t>
  </si>
  <si>
    <t>Review current spare assemblies and correct / address any discrepancies from the current drawing.
(Currently there is a spare being assembled at SPI, One at Progress Machine, and one in stock in Norfolk)</t>
  </si>
  <si>
    <t>Enter request in SmartSheet to perform a review of the current bearing vs functionality and research a better fitting option.  What do the European dredging companies use?  Could we incorporate two radial roller bearings and back to back tapered thrust bearings?</t>
  </si>
  <si>
    <t>Update all assembly procedures to address the possibility of bearing discrepancies.  If the correct slot is not in the bearing it must be added as per drawing / description.</t>
  </si>
  <si>
    <t>Develop a detailed SJ for commissioning of the cutter thrust bearing to be completed after all installations.  Shall include operating parameters, test times, what checks are made and when, required findings, checklist, etc.</t>
  </si>
  <si>
    <t>Update the part description to include specific details of; the anti-rotation slot (Depth, width, and slot not a hole), bearing shall have "three roller style" instead of the two rollers, roll pins , not screws holding the bearing cage together.</t>
  </si>
  <si>
    <t>BOOSTER 9 GEAR BOX EQUIPMENT DAMAGE</t>
  </si>
  <si>
    <t>SJ to be created and implemented for all installed equipment.
Crew must be familirazid with NS5 system on how to use it and perfrom required tasks.
Ensure that all communication methods such as internet connection, mail box and NS5 apps are properly configured and are operational.</t>
  </si>
  <si>
    <t>09/15/2020</t>
  </si>
  <si>
    <t>Employment of proper crew such as asst. Chief or similar with good mechanical background and communication capabilities.</t>
  </si>
  <si>
    <t>Create standard procedures to all installed equipment.
Review existing SJ's and SP's to see if any can be implemented for this particular vessel.</t>
  </si>
  <si>
    <t>Crew to be instructed/coached by assigned Maintenance Superintendent on how to act in case of alarms and how to identify possible issues.
Create check lists for on board crew for easy identification of possible issues and troubleshooting</t>
  </si>
  <si>
    <t>Superseded By RC#1 Corrective Action:
Employment of proper crew such as asst. Chief or similar with good mechanical background and communication capabilities.</t>
  </si>
  <si>
    <t>Checklist to be created that will reflect all necessary checks and inspections of installed equipment. Check list should reflect current project required equipment configuration such as use of multiple generators or gland seal pumps, automatic or manual flow/pressure control.</t>
  </si>
  <si>
    <t>Coaching on board crew on proper action in case of faulty condition. Making sure onboard crew is well instructed on how and to whom to report on all performed repairs or troubleshooting. Ensure that shift supervisors are relaying information to each other and keeping proper logging of the same.</t>
  </si>
  <si>
    <t>Carolina Port Main pump drive coupling failure</t>
  </si>
  <si>
    <t>Create standard job(s) for maintenance of the port and starboard main pump couplings. Including the one at the gearbox.</t>
  </si>
  <si>
    <t>Hold a training session onboard or virtual with the supervisors addressing work assignments with an emphasis on assigning and authorizing a task leader that will be accountable for the successful outcome of the task. Include a discussion on using references and resources.</t>
  </si>
  <si>
    <t>11/30/2020</t>
  </si>
  <si>
    <t>Create standard job for pump bearing assembly overhaul including details of coupling inspection and requalification criteria.</t>
  </si>
  <si>
    <t>07/30/2020</t>
  </si>
  <si>
    <t>Serialize bearing assemblies and have each assembly with a hub, sleeve and protective cover.</t>
  </si>
  <si>
    <t>07/23/2020</t>
  </si>
  <si>
    <t>Request engineering to review design for Atra-flex type coupling to allow for total axial movement greater than the travel of the pump bearing assembly.</t>
  </si>
  <si>
    <t>Carolina UWPS coupling failure</t>
  </si>
  <si>
    <t>Hold a training session with supervisors on the workflow of tasks and the need for detailed work orders.  Specifically addressing growth work and when a new "related work" work order is required.</t>
  </si>
  <si>
    <t>Request engineering to review the coupling for replacement with a sliding coupling allowing axial adjustment greater than the total adjustment of the bearing foundation.</t>
  </si>
  <si>
    <t>Create a SJ for the installation of ladder pump bearing assembly including details for the impeller adjustment and coupling end play adjustment.</t>
  </si>
  <si>
    <t>07/10/2020</t>
  </si>
  <si>
    <t>Create a SJ for the set up / installation of the line shafts and couplings include details on; coupling assembly, end play, thrust buttons and plates and initial lubrication.</t>
  </si>
  <si>
    <t>Create a SJ for coupling maintenance.  Shall include details on checking end play, thrust components, gear teeth, and lubrication.</t>
  </si>
  <si>
    <t>DR 53 Swing Gearbox Failure</t>
  </si>
  <si>
    <t>Evaluate and document the history of gearbox failures on the DR 53 and consult with engineering for permanent repair solutions.</t>
  </si>
  <si>
    <t>11/05/2020</t>
  </si>
  <si>
    <t>Review and update critical spare levels for both gearboxes and re-order all parts to correct levels.</t>
  </si>
  <si>
    <t>12/15/2020</t>
  </si>
  <si>
    <t>Establish a procedure to assign an SME prior to starting repairs through a pre-repair meeting in a RAM bulletin and designate that the SME will have ownership and ultimate authority over the repair and be responsible for documenting all QC requirements.</t>
  </si>
  <si>
    <t>Update gearbox drawings and NS hierarchy with correct measurements for both gearboxes.</t>
  </si>
  <si>
    <t>Carolina Plugged Service water line</t>
  </si>
  <si>
    <t>Retraining of company policy and procedures for all Engine-room crew on board Dredge Carolina, stressing on proper JSA, and LOTO procedures</t>
  </si>
  <si>
    <t>Thomas Christenson</t>
  </si>
  <si>
    <t>Install Check valve in service water line before hoses to the UWP</t>
  </si>
  <si>
    <t>Replace pressure gauge on service water line with flow meter</t>
  </si>
  <si>
    <t>01/01/2021</t>
  </si>
  <si>
    <t>Replace pressure switch on service water line with flow meter. Standard job to be created to check all shut down permissive switches.</t>
  </si>
  <si>
    <t>Retrain employees on the JSA requirements,  Issue write up to task leader for not performing JSA prior to the task.</t>
  </si>
  <si>
    <t>Dr 54 - Holding Drum Brake</t>
  </si>
  <si>
    <t>Install a single pin instead of two pins (allows visual and NDT testing of entire pin)</t>
  </si>
  <si>
    <t>09/09/2020</t>
  </si>
  <si>
    <t>Include cleaning and inspection of both live and dead end of brake bands in annual machine audit.</t>
  </si>
  <si>
    <t xml:space="preserve">Ohio Auxiliary Winch Damages </t>
  </si>
  <si>
    <t>In Progress</t>
  </si>
  <si>
    <t>Engineering and project Operation to review the vessel's limitations to weather conditions.</t>
  </si>
  <si>
    <t>Brian Bickford, Steven W  Becker, David Rappe, James C Gillespie</t>
  </si>
  <si>
    <t>10/10/2020</t>
  </si>
  <si>
    <t>Dredge captain and project manager to describe the operating conditions based on the wires broken and engineering to confirm possible upgrades.</t>
  </si>
  <si>
    <t>Possible option to add wire potentiometers so that the levermen can see the actual line pull on all anchors.</t>
  </si>
  <si>
    <t>Liberty Is Uncommand Stops Gen + Main Eng</t>
  </si>
  <si>
    <t>2. Replace the harnesses – at every second major overhaul (I.e. 60 to 80k hours)  
Add to Standard Job</t>
  </si>
  <si>
    <t>1. Schedule maintenance float before the environmental window, and two weeks after.</t>
  </si>
  <si>
    <t>4. Modify / improve the new harness installation method with specific additional routing so that it is off the deck, and protected from weather / moisture</t>
  </si>
  <si>
    <t>6. Replace mature engine controls on 15 to 20 years
Add to Standard Job – add to critical part (for year 12 review)</t>
  </si>
  <si>
    <t>5. Modify / improve the new harness installation method with specific additional routing so that it is off the deck, and protected from weather / moisture</t>
  </si>
  <si>
    <t>3. Deploy CAT Technician after major overhaul on the project site for a time to QA check / once over in dredging operation</t>
  </si>
  <si>
    <t>Terrapin Island-Deck Generator (Cat 3516) Failure</t>
  </si>
  <si>
    <t>Have a new foundation engineered, procured and built.
Ship and Install  new foundation.
Install original cat in the box that we own, check alignment in open and closed position, correct alignment, connect to vessel test run. Monitor loading. 
Periodically Check alignment condition to verify nothing has changed.</t>
  </si>
  <si>
    <t>Mike Kraljevic, James M Walker, Chris Roberts</t>
  </si>
  <si>
    <t>10/15/2020</t>
  </si>
  <si>
    <t>GL 501 - Cylinder Failure</t>
  </si>
  <si>
    <t>Include in the cylinder overhaul standard job to NDT test all cylinder ears.</t>
  </si>
  <si>
    <t>02/25/2021</t>
  </si>
  <si>
    <t>Include in the 5 year special survey dry docking specification to NDT test all cylinder ears on both the live and dead end of the cylinder.</t>
  </si>
  <si>
    <t>Scow 66 #1 Closing Cylinder Failure 210127</t>
  </si>
  <si>
    <t>Preform Non-destructive testing for welds/padeyes at each drydock interval.</t>
  </si>
  <si>
    <t>Robert Kelly</t>
  </si>
  <si>
    <t>Andrew Larkin, Russell F. Zimmerman</t>
  </si>
  <si>
    <t>01/27/2022</t>
  </si>
  <si>
    <t>Cutter Gear Box Input Shaft Bearing Failure</t>
  </si>
  <si>
    <t>Limit the Cutter Motor RPM not to exceed the design specifications of the equipment</t>
  </si>
  <si>
    <t>Jose Gracia, Brian Bickford, Steven W  Becker</t>
  </si>
  <si>
    <t>MCIA Case ID (#/N/D)</t>
  </si>
  <si>
    <t>MCIA Case Title</t>
  </si>
  <si>
    <t>Scribe</t>
  </si>
  <si>
    <t>Case Type</t>
  </si>
  <si>
    <t>Operating Division</t>
  </si>
  <si>
    <t>OSHA Number</t>
  </si>
  <si>
    <t>Incident Outcome</t>
  </si>
  <si>
    <t>MCIA Date</t>
  </si>
  <si>
    <t>Prop Number</t>
  </si>
  <si>
    <t>Alternate Scribe</t>
  </si>
  <si>
    <t>Date of Incident</t>
  </si>
  <si>
    <t>Time of Incident</t>
  </si>
  <si>
    <t>Location of Incident</t>
  </si>
  <si>
    <t>Incident Type</t>
  </si>
  <si>
    <t>JSA Review</t>
  </si>
  <si>
    <t>Job Site</t>
  </si>
  <si>
    <t>Operation Underway</t>
  </si>
  <si>
    <t>Job Task Underway</t>
  </si>
  <si>
    <t>Weather</t>
  </si>
  <si>
    <t>Supervisor</t>
  </si>
  <si>
    <t>Crew Configuration</t>
  </si>
  <si>
    <t>Plant Number</t>
  </si>
  <si>
    <t>Vessel Name</t>
  </si>
  <si>
    <t>Vessel / Equipment</t>
  </si>
  <si>
    <t>Tools / Materials</t>
  </si>
  <si>
    <t>Barriers that Worked</t>
  </si>
  <si>
    <t>Barriers that Failed</t>
  </si>
  <si>
    <t>Recovery Factors Summary</t>
  </si>
  <si>
    <t>Equipment Damage Survey Boat Hallets Point</t>
  </si>
  <si>
    <t>Int'l - Hydraulic Dredging</t>
  </si>
  <si>
    <t>08/02/2016</t>
  </si>
  <si>
    <t>Steve O'Hara, Sam R Morrison, Ed Tiearney</t>
  </si>
  <si>
    <t>08/09/2015</t>
  </si>
  <si>
    <t>Booster</t>
  </si>
  <si>
    <t>Crewboat/Survey Boat</t>
  </si>
  <si>
    <t>Project - Attn.Plant</t>
  </si>
  <si>
    <t>Idle</t>
  </si>
  <si>
    <t>High Winds</t>
  </si>
  <si>
    <t>Unmanned</t>
  </si>
  <si>
    <t>Vessel was moored Starboard to Starboard along side the Survey Boat Potomac River on the Starboard side of
the Buster</t>
  </si>
  <si>
    <t>JSA - Job Safety Analysis, PTP - Pre-Task Planning</t>
  </si>
  <si>
    <t>At 07:30pm the Dredge Carolina Deck Captain instructed the Coastal Guardian operator to support the Hallets Point with their crane to slow
the ingress of the water instead of lifting it out. This would allow time for the Tug Boats Paul R. Dickinson and Richard M. Lowry operators to
get the Crane 1 (GL143) in position. The tugboat Hoosier State operator was contacted by the Deck Captain and asked him to be on standby
incase his assistance was required. When the Coastal Guardian arrived they positioned themselves at the Starboard side of the Buster and
held the Hallets Point with their crane. The Crane 1 (GL 143) spudded down and made arrangements to basket lift the vessel. A slow lift took
place allowing water to be drained from the Hallets Point. She was then placed in a boat cradle on the deck of the Crane 1 (GL143)
The Lever-man notified the Project Management of the incident once the Hallets Point was secured.</t>
  </si>
  <si>
    <t>GL67 Boom Damage</t>
  </si>
  <si>
    <t>Rivers &amp; Lakes Dredging</t>
  </si>
  <si>
    <t>08/05/2016</t>
  </si>
  <si>
    <t>Christopher Charron</t>
  </si>
  <si>
    <t>Chris Faught, Steven Lane, David J Johanson, Andrew M Funke</t>
  </si>
  <si>
    <t>08/03/2016</t>
  </si>
  <si>
    <t>Derrick</t>
  </si>
  <si>
    <t>Vessel Accident -allision / collision, grounding</t>
  </si>
  <si>
    <t>Mob/Demob</t>
  </si>
  <si>
    <t>In Process</t>
  </si>
  <si>
    <t>Cloudy</t>
  </si>
  <si>
    <t>William Waltman</t>
  </si>
  <si>
    <t>Tug crew were on tugs and GLDD Mate and Engineer were at stern of tow.</t>
  </si>
  <si>
    <t>GL-67 and Marquette Tugs</t>
  </si>
  <si>
    <t>JSA - Job Safety Analysis, PPE - Personal Protection Equipment, PFD - Personal Flotation Device</t>
  </si>
  <si>
    <t>Company Policy</t>
  </si>
  <si>
    <t>No crew members were in the area at the time of impact. Damage was isolated to the boom of the GL-67. Tow was going at a slowing rate through bridge and no damage was caused to bridge.</t>
  </si>
  <si>
    <t>MCIA 053 Dozer Sinking</t>
  </si>
  <si>
    <t>Hopper Dredging</t>
  </si>
  <si>
    <t>11/17/2015</t>
  </si>
  <si>
    <t>Christopher M Wire, Steve O'Hara</t>
  </si>
  <si>
    <t>0230</t>
  </si>
  <si>
    <t>Fill Site</t>
  </si>
  <si>
    <t>Motor Vehicle Incident</t>
  </si>
  <si>
    <t>Project - Land/Disposal Area</t>
  </si>
  <si>
    <t>In Transition</t>
  </si>
  <si>
    <t>Barry Jones</t>
  </si>
  <si>
    <t xml:space="preserve">3rd Shift Bulldozer Operator (Local 138) working  at dredge discharge adding shore pipe to the lower discharge line, 17 yrs as an Operator / First Beach Job (2 weeks into project). Shift Foreman on the Loader and another Dozer were in the area. </t>
  </si>
  <si>
    <t xml:space="preserve">GL 646 Caterpillar D7E Bulldozer with RTK Setup.  Dozer was backing into the surf zone after adding pipe to the lower discharge line.  </t>
  </si>
  <si>
    <t>Operator grabbed RTK Equipment prior to evacuating the bulldozer.  Site team mobilized an excavator to recover the machine at the next low tide.  Operator was able safely exit the cab once dozer lost power.</t>
  </si>
  <si>
    <t>Hydraulic Dredging</t>
  </si>
  <si>
    <t>08/20/2016</t>
  </si>
  <si>
    <t>08/16/2016</t>
  </si>
  <si>
    <t>0400</t>
  </si>
  <si>
    <t>Attendant Plant - Other</t>
  </si>
  <si>
    <t>Mechanical Breakdown</t>
  </si>
  <si>
    <t>Project - Dredge</t>
  </si>
  <si>
    <t>Operator, mate and two deck hands.   The operator was up stairs in the control tower.  The mate and one deck hand were on deck.</t>
  </si>
  <si>
    <t xml:space="preserve">The spider barge was 600' behind the Dredge Illinois with the GL 66 scow on the port side.  The tug Miss Emily was tided to the outside of the tug and the tug Allie B was connected by their tow bridal and tided off to the outside of the scow. </t>
  </si>
  <si>
    <t xml:space="preserve">The discharge arm was connected to spider arm winch with an eight parted 3/4" wire.  The 1 1/4" stay wires are connected to the arm with 1 1/2" shackles. </t>
  </si>
  <si>
    <t>Mechanical - SOP</t>
  </si>
  <si>
    <t>Mechanical - Material Specs</t>
  </si>
  <si>
    <t>MCIA 005_2016</t>
  </si>
  <si>
    <t>James P Arias</t>
  </si>
  <si>
    <t>05/05/2016</t>
  </si>
  <si>
    <t>Steve O'Hara, Sam R Morrison</t>
  </si>
  <si>
    <t>09/01/2016</t>
  </si>
  <si>
    <t>Clean Up</t>
  </si>
  <si>
    <t>Rey Canda - Leverman Utah/Alabama/Maine for 6 Years, Mate of Carolina for 2 Years, Alex Zaragoza - Deckhand of Carolina for 3 years</t>
  </si>
  <si>
    <t>See attached</t>
  </si>
  <si>
    <t>As per attached Vessel/Equipment configuration</t>
  </si>
  <si>
    <t>Step Back for Safety, Stop Work</t>
  </si>
  <si>
    <t>JSA - Job Safety Analysis, Mechanical - SOP</t>
  </si>
  <si>
    <t>The task was completely stopped after a crack was seen on the top portion of pump casing flange. It was reported immediately to the CSD Carolina Captain &amp; Deck Captain.</t>
  </si>
  <si>
    <t>MCIA 001 - Crane Collision 72464</t>
  </si>
  <si>
    <t>Dave Johanson</t>
  </si>
  <si>
    <t>09/09/2016</t>
  </si>
  <si>
    <t>David Rappe, Russell F. Zimmerman, Dave Allen</t>
  </si>
  <si>
    <t>01/03/2015</t>
  </si>
  <si>
    <t>0830</t>
  </si>
  <si>
    <t>Fog, Rain</t>
  </si>
  <si>
    <t>Brian Bohanan</t>
  </si>
  <si>
    <t>derrick operator - craig cordice, deckhands - quantus brown and J. lewis - all on derrick in break room</t>
  </si>
  <si>
    <t>Derrick 66 being pushed by Tug Bayou Dawn. Derrick was boomed up</t>
  </si>
  <si>
    <t>PFD - Personal Flotation Device</t>
  </si>
  <si>
    <t>JSA - Job Safety Analysis</t>
  </si>
  <si>
    <t>The Sandusky Bay (outboard motor survey boat) was dispatched to secure area and warn mariners of hazards and to stay clear of the area until USCG arrived and assumed duties and took control of situation.</t>
  </si>
  <si>
    <t>Mechanical Dredging</t>
  </si>
  <si>
    <t>09/23/2016</t>
  </si>
  <si>
    <t>09/21/2016</t>
  </si>
  <si>
    <t>Dredge</t>
  </si>
  <si>
    <t>Sunny</t>
  </si>
  <si>
    <t>Captain, 1 operator (19 yrs), 1 Mate (18 yrs), 1 Deckhand (10+ yrs), 1 WE (22 yrs), 1 Painter (25+ yrs), 1 Welder (10+ yrs)</t>
  </si>
  <si>
    <t>Dredge 54 spudded down inside Philadelphia Navy Basin, facing south.  Scow 601 tied to the stbd side of dredge, also facing south.  Tug Gulf Dawn made up in push gear to Scow 601.</t>
  </si>
  <si>
    <t>Bucket #484 - 12 yd.  Removed teeth/bases.</t>
  </si>
  <si>
    <t>Stop Work</t>
  </si>
  <si>
    <t>Mechanical - PM Plan, Mechanical - SOP</t>
  </si>
  <si>
    <t>10/06/2016</t>
  </si>
  <si>
    <t>07/01/2016</t>
  </si>
  <si>
    <t>Dark</t>
  </si>
  <si>
    <t>Padre Island Stbd pump room</t>
  </si>
  <si>
    <t>Dredge engaged in the dredging process at time of incident</t>
  </si>
  <si>
    <t>Company Policy, Regulations, Mechanical - SOP</t>
  </si>
  <si>
    <t>10/21/2016</t>
  </si>
  <si>
    <t>09/29/2016</t>
  </si>
  <si>
    <t>Dredge Pump and thrust bearing in normal configuration.</t>
  </si>
  <si>
    <t>Pump and thrust configured for normal dredging operations</t>
  </si>
  <si>
    <t>Mechanical - QA/QC, Other</t>
  </si>
  <si>
    <t>MCIA_012_2016_CSD Ohio Broken STBD Pump Shell</t>
  </si>
  <si>
    <t>Rey Mart  Taneo</t>
  </si>
  <si>
    <t>11/19/2016</t>
  </si>
  <si>
    <t>11/06/2016</t>
  </si>
  <si>
    <t>Leverman in dredge ohio for 4-5 years</t>
  </si>
  <si>
    <t>Dredge Pump #2 (Vel - 16.0 ft/s, Density - 1.11, Pump RPM - 344, Discharge - 250psi)</t>
  </si>
  <si>
    <t xml:space="preserve">Megatteaux pump shell </t>
  </si>
  <si>
    <t>SALT - Save A Life Today Rule, Life Saving Absolutes</t>
  </si>
  <si>
    <t>Mechanical - QA/QC, Mechanical - Material Specs</t>
  </si>
  <si>
    <t>Leverman immediately put dredge in emergency idle.</t>
  </si>
  <si>
    <t>12/08/2016</t>
  </si>
  <si>
    <t>10/07/2016</t>
  </si>
  <si>
    <t>LV Breithaupt</t>
  </si>
  <si>
    <t>Derrick operator in crane, Mate &amp; boat operator as riggers</t>
  </si>
  <si>
    <t>The Derrick was tied up alongside the Megga Yard Dock.</t>
  </si>
  <si>
    <t xml:space="preserve">Barriers that worked was to keep clear of suspended loads.
Barriers that failed
         1) JSA did not identify potential risk in using the pin holes to make lift
         2) Ensure load is secure prior to lift
         3) access weight, size &amp; lifting characteristics 
</t>
  </si>
  <si>
    <t xml:space="preserve">MB1706 Derrick - Lifting Cube </t>
  </si>
  <si>
    <t>Rodney Fromenthal Jr.</t>
  </si>
  <si>
    <t>12/11/2016</t>
  </si>
  <si>
    <t>Mark L. Reid</t>
  </si>
  <si>
    <t>12/10/2016</t>
  </si>
  <si>
    <t>Trip, Slip, Fall</t>
  </si>
  <si>
    <t>Lupe Benavides</t>
  </si>
  <si>
    <t>Crane Operator (certified) - operating the crane
Deck Captain - Port Side Forward
Mate - Along side the Deck Captain
Riggers (certified) - Port Bow</t>
  </si>
  <si>
    <t>Derrick Barge - MB 1706
Deck Mounted Crawler Crane - American 165 Ton - Mobro 9299
Tug Boat - Free State
Cube with attached hoses</t>
  </si>
  <si>
    <t>Rigging: 4 way chains 3/4" X 40' (good for 91,400 lbs.)
              1 1/4" safety shackles (12 Tons each X 4)</t>
  </si>
  <si>
    <t>PPE - Personal Protection Equipment, Life Saving Absolutes, Safety Rules</t>
  </si>
  <si>
    <t>MCIA_003_2016_Lake Michigan Grounding</t>
  </si>
  <si>
    <t>01/04/2017</t>
  </si>
  <si>
    <t>05/14/2016</t>
  </si>
  <si>
    <t>Tug</t>
  </si>
  <si>
    <t>Ivan Urrutia</t>
  </si>
  <si>
    <t>Captain was in wheel house (14 Year experience ); One Deckhand on the forward bow (8-year experience) and another Deckhand on Stern deck (3 years experience); Chief Engineer in the engine room (14 Years of experience).</t>
  </si>
  <si>
    <t>PTP - Pre-Task Planning, Step Back for Safety, Stop Work</t>
  </si>
  <si>
    <t xml:space="preserve">1- Upon the initial grounding, the Captain quickly manoeuvred the vessel away from the shallow area to avoid incurring further damage to the hull.
2- Quick repose in identifying the damage, take immediate action to transfer the fuel from tank # 8 to tank 1 and 3.
</t>
  </si>
  <si>
    <t>01/14/2017</t>
  </si>
  <si>
    <t>01/13/2017</t>
  </si>
  <si>
    <t>Layup/Shipyard</t>
  </si>
  <si>
    <t>Operator #1 - Entering Cab of crane - 20 yrs expereince
Operator #2 - Port Spud Room, 10 yrs experience
Chief Engineer - Barge in front of crane, 3 yrs on DR 55
Watch Engineer - Engine Room - 18 yrs experience
Mate - Port Spud room - 4 yrs expereince
Deckhand - Port Spud Room - 12 yrs experience</t>
  </si>
  <si>
    <t>DR 55, Collana's Crane Barge, Deck barge arranged in attached documetn</t>
  </si>
  <si>
    <t>Weight test bags (water filled)</t>
  </si>
  <si>
    <t>SALT Recommended Practice, Company Policy</t>
  </si>
  <si>
    <t>JSA - Job Safety Analysis, PTP - Pre-Task Planning, Stop Work</t>
  </si>
  <si>
    <t>Rene V Fernandez</t>
  </si>
  <si>
    <t>01/27/2017</t>
  </si>
  <si>
    <t>06/07/2016</t>
  </si>
  <si>
    <t>0800</t>
  </si>
  <si>
    <t>Operator in cab running machine.  Watch engineer inside crane's "whirly" engine room completing daily morning watch round.</t>
  </si>
  <si>
    <t xml:space="preserve">Dredge 54 loading scow GL65 on the STBD side digging outbound in the green side of the channel.  As recorded in the dredge's electronic data file (D060716.drg) the operator dug the last bucket of his 50 degree set on the port side of the cut. </t>
  </si>
  <si>
    <t>GL 515 50cy cable arm bucket weighing 37,400lbs.  Last material sample gather was 72lbs/cubic ft.  The average payload per bucket from midnight until the time of the incident was 28.4 cubic yards.  Material composition was 100% mud/silt.</t>
  </si>
  <si>
    <t>SALT - Save A Life Today Rule, PTP - Pre-Task Planning, Company Policy, Life Saving Absolutes, Step Back for Safety</t>
  </si>
  <si>
    <t>Mechanical - PM Plan, Mechanical - QA/QC</t>
  </si>
  <si>
    <t>Engineer immediately shut off motor generator set.  Equipment all stop and Post incident stand-down prior to further action.  USCG &amp; Pilots Advisory Position Warning.  Post Incident Drug Test.</t>
  </si>
  <si>
    <t>02/04/2017</t>
  </si>
  <si>
    <t>Javier diaz</t>
  </si>
  <si>
    <t>Leverman operating - 2 years and 7 Months of experience. Watch engineer in the Engine control room - 11 years of experience. Assistant Watch Engineer in the engine room - 8 years and 8 months of experience.</t>
  </si>
  <si>
    <t xml:space="preserve">See attachment </t>
  </si>
  <si>
    <t>PTP - Pre-Task Planning</t>
  </si>
  <si>
    <t>When an engine room crew saw a severe vibration in pump number 2, they immediately called the leverman to shut the dredge down.</t>
  </si>
  <si>
    <t>02/13/2017</t>
  </si>
  <si>
    <t>01/15/2017</t>
  </si>
  <si>
    <t>Hosiah Thompson</t>
  </si>
  <si>
    <t>0211</t>
  </si>
  <si>
    <t xml:space="preserve">Booster was on location in the ocean 37' water depth. stern connection was hooked up (1 float hose and two sink hoses.
Port spud had 10 gearboxes, stbd and stern spud had 11 each.  full compliment is 12.  </t>
  </si>
  <si>
    <t>None involved</t>
  </si>
  <si>
    <t>JSA - Job Safety Analysis, Mechanical - SOP, Mechanical - QA/QC, Mechanical - Material Specs</t>
  </si>
  <si>
    <t>engine room accomplishing normal activities</t>
  </si>
  <si>
    <t>NA</t>
  </si>
  <si>
    <t>Mechanical - PM Plan</t>
  </si>
  <si>
    <t>02/18/2017</t>
  </si>
  <si>
    <t>01/22/2017</t>
  </si>
  <si>
    <t>1. Jack Brew -Lever-man in Lever room, experience 2 year and 1 months with GLDD   2. Johnston Joy Verazon - Deck Mate-on dept.,Experience 8 year and 2 months with GLDD.</t>
  </si>
  <si>
    <t>CSD Ohio  was dredging at the cut # CC7-8 Ohio Cut 4 Central Channel. Also see the attached equipment damage report with Pictures</t>
  </si>
  <si>
    <t xml:space="preserve">See the attached strip charts
CSD Ohio  was dredging at the cut # CC7-8 Ohio Cut 4 Central Channel. </t>
  </si>
  <si>
    <t>PTP - Pre-Task Planning, Company Policy, Life Saving Absolutes, Stop Work</t>
  </si>
  <si>
    <t>JSA - Job Safety Analysis, Safety Rules</t>
  </si>
  <si>
    <t xml:space="preserve">There were instructions that no one should be around the stern area during the dredging operations, which avoided a serious injury and/or a fatality during the occurrence. </t>
  </si>
  <si>
    <t>Equipment Damage - Boat Operator</t>
  </si>
  <si>
    <t>02/12/2017</t>
  </si>
  <si>
    <t>Dave Ryan Siguenza Experiences: Crew/Survey Boat Operator for Al Naseem Project at 2 months, 2 yrs. Boat Operator for other company &amp; 7 yrs. GLDD Boat Operator in the past.</t>
  </si>
  <si>
    <t>Attached Document</t>
  </si>
  <si>
    <t>JSA - Job Safety Analysis, Company Policy, Regulations, Safety Rules, Step Back for Safety</t>
  </si>
  <si>
    <t>PTP - Pre-Task Planning, Stop Work</t>
  </si>
  <si>
    <t>02/21/2017</t>
  </si>
  <si>
    <t>02/14/2017</t>
  </si>
  <si>
    <t>Charles Kelly</t>
  </si>
  <si>
    <t>Charles Kelly was on shore with Robert Pullins rigging the tank and David Snead was in the crane.</t>
  </si>
  <si>
    <t>Derrick was 10' off shore, eastern end of Shell East. Pontoon tank was 10' shore side. Approximately 30' from center pin.</t>
  </si>
  <si>
    <t>See attached drawing.</t>
  </si>
  <si>
    <t>PPE - Personal Protection Equipment</t>
  </si>
  <si>
    <t>JSA - Job Safety Analysis, SALT - Save A Life Today Rule, Company Policy, Life Saving Absolutes</t>
  </si>
  <si>
    <t>No individuals were in the line of fire which had there been this equipment damage could have been an injury at minimum and fatality at worse.</t>
  </si>
  <si>
    <t>0030</t>
  </si>
  <si>
    <t>Pipe Raft</t>
  </si>
  <si>
    <t xml:space="preserve">see attached pdf. </t>
  </si>
  <si>
    <t>see attached pdf.</t>
  </si>
  <si>
    <t>Company Policy, Mechanical - SOP</t>
  </si>
  <si>
    <t>Columbia River Multi Beam Head Damage</t>
  </si>
  <si>
    <t>02/25/2017</t>
  </si>
  <si>
    <t>ABC123</t>
  </si>
  <si>
    <t>Washington Bryan, Chris Roberts, David Rappe, Mark L. Reid, Dave Allen</t>
  </si>
  <si>
    <t>02/06/2017</t>
  </si>
  <si>
    <t>Captain Raeford Mills Jr - Columbia River
Captain Mike Sanzon - Gulf Dawn</t>
  </si>
  <si>
    <t>The Gulf Dawn was nosed up to the strbd bow of the TX. He was being used to assist in swinging into the dock face.
The Columbia river was tied up alongside the North Star Tug which was tied up around midship strbd side of the dredge TX</t>
  </si>
  <si>
    <t>Tug Boat and Crew/Survey Boat</t>
  </si>
  <si>
    <t>PTP - Pre-Task Planning, Safety Rules</t>
  </si>
  <si>
    <t>Dredge New York Boom Assist Mid Platform</t>
  </si>
  <si>
    <t>Jaclyn Abrams</t>
  </si>
  <si>
    <t>02/23/2017</t>
  </si>
  <si>
    <t>Andrew Larkin, Christopher Gunsten</t>
  </si>
  <si>
    <t>0900</t>
  </si>
  <si>
    <t>Struck by</t>
  </si>
  <si>
    <t>Fog</t>
  </si>
  <si>
    <t>Night shift is listed first, day shift is listed second on list below. Experience is time on dredge. During incident, day shift was on. The operator was in operators cab, the deckhand was on deck, the mate was in the observation house at the a-frame controls.</t>
  </si>
  <si>
    <t>Dredge New York/ Boom Assist Wire/ Mid Platform: the damage occurred to the mid platform since the boom assist wire was under the mid platform due to the position of the flag sheave. When the operator engaged the boom assist system, the wire came tight onto the platform causing the damage. When the operator went to swing the excavator around the wire popped off of the corner of the platform.</t>
  </si>
  <si>
    <t>JSA - Job Safety Analysis, SALT - Save A Life Today Rule, SALT Recommended Practice, PTP - Pre-Task Planning, PPE - Personal Protection Equipment, Safety Rules, Stop Work</t>
  </si>
  <si>
    <t>GL702 Headlog Repairs</t>
  </si>
  <si>
    <t>03/01/2017</t>
  </si>
  <si>
    <t>Plant #0472</t>
  </si>
  <si>
    <t>Yard</t>
  </si>
  <si>
    <t>GL702 Scow</t>
  </si>
  <si>
    <t>No tools</t>
  </si>
  <si>
    <t>Buried Bulldozer</t>
  </si>
  <si>
    <t>William E Mitchell</t>
  </si>
  <si>
    <t>03/28/2017</t>
  </si>
  <si>
    <t>W912PM-17-C-0002</t>
  </si>
  <si>
    <t>Chris Ameika</t>
  </si>
  <si>
    <t>Chris Ameika, David J Johanson, James C Gillespie, Dave Allen</t>
  </si>
  <si>
    <t>James Ganus</t>
  </si>
  <si>
    <t>Dozer #1 Op: Pushing material in front of Berm Discharge ~30-40' away from discharge pipe.
Dozer #2 Op: Grading operations ~300' from Discharge
Loader Op: Lay Down Area ~500' from Discharge
Shoreman #1 and #2: Supply Shack ~300' from discharge
Fill Foreman: Stage Area ~5,000' from Discharge</t>
  </si>
  <si>
    <t>Dozer #1: Pushing material in front of Berm Discharge ~30-40' away from discharge pipe
Dozer #2: Grading operations ~300' from Discharge
Loader: Lay Down Area ~500' from Discharge</t>
  </si>
  <si>
    <t>Wye-Valve located ~700' from discharge.</t>
  </si>
  <si>
    <t xml:space="preserve">Operator of sunken Dozer was able to free himself quickly.
Dredge able to shutdown in sufficient time.
Dozer #2 was able to construct a relief trench to release water buildup around sunken dozer.
Axiom treatment initiated.
</t>
  </si>
  <si>
    <t>03/29/2017</t>
  </si>
  <si>
    <t>Phil  Sanzone</t>
  </si>
  <si>
    <t>0132</t>
  </si>
  <si>
    <t>DR 55 with GL 65 alongisde the stbd side.</t>
  </si>
  <si>
    <t>Mechanical - SOP, Mechanical - QA/QC</t>
  </si>
  <si>
    <t>Crew Limited damage by responding quickly to put out the fire due to training they have received in fire response.</t>
  </si>
  <si>
    <t>04/07/2017</t>
  </si>
  <si>
    <t>Prep</t>
  </si>
  <si>
    <t>Rain</t>
  </si>
  <si>
    <t>Crew was standing by as an inspection of the previous complete tagline motor replacement took place.</t>
  </si>
  <si>
    <t>Dredge 55 with the GL 65 alongside the stbd side..</t>
  </si>
  <si>
    <t>Dredge 55 gantry support structure.</t>
  </si>
  <si>
    <t>Step Back for Safety, Mechanical - QA/QC</t>
  </si>
  <si>
    <t>Repairs were completed prior to operating the dredge.</t>
  </si>
  <si>
    <t>04/06/2017</t>
  </si>
  <si>
    <t>Engineer was in the engine room, operator was in the cab while the mate and deckhand were landing the GL702.</t>
  </si>
  <si>
    <t>0202</t>
  </si>
  <si>
    <t>Unloader #2 @ Poplar Island</t>
  </si>
  <si>
    <t>Mechanical - PM Plan, Mechanical - SOP, Mechanical - QA/QC</t>
  </si>
  <si>
    <t>Response of the maintenance manager to line up CAT mechanics quickly.</t>
  </si>
  <si>
    <t>03/20/2017</t>
  </si>
  <si>
    <t>03/11/2017</t>
  </si>
  <si>
    <t>John Graham</t>
  </si>
  <si>
    <t>Lever-man of Dredge Ohio @ 2 years experience; 6 years experience other company.</t>
  </si>
  <si>
    <t>0103</t>
  </si>
  <si>
    <t xml:space="preserve">Digging at EC2 - OH - CUT3 - Al Naseem Dreding Area (Eastern Channel) </t>
  </si>
  <si>
    <t>Cutter Motor was inside of Caniter on the ladder - see attachment</t>
  </si>
  <si>
    <t>Mechanical - QA/QC</t>
  </si>
  <si>
    <t xml:space="preserve">Removed the motor and send it to the vendor. </t>
  </si>
  <si>
    <t>03/13/2017</t>
  </si>
  <si>
    <t>0300</t>
  </si>
  <si>
    <t>Leverman of Dredge Ohio @ 2 years experience; 6 years experience other company.</t>
  </si>
  <si>
    <t>Digging at EC2 - OH - CUT3 - Al Naseem Dreding Area (Eastern Channel)</t>
  </si>
  <si>
    <t>Cutter motor was inside the Canister</t>
  </si>
  <si>
    <t xml:space="preserve">CA Bucket 517 Puncturing a Hole in Scow Hull GL64 </t>
  </si>
  <si>
    <t>03/27/2017</t>
  </si>
  <si>
    <t>Andrew Larkin, Steve O'Hara, Christopher Gunsten</t>
  </si>
  <si>
    <t>Hopper Barge</t>
  </si>
  <si>
    <t>Dark, Fog, Rain</t>
  </si>
  <si>
    <t>Dredge in active dredging operations.  Operator engage in dredge cabin.</t>
  </si>
  <si>
    <t>0464</t>
  </si>
  <si>
    <t>Dredge 55 active dredging in Upper Chesapeake.  Digging to 36ft loading the GL64 to 18.5ft Draft.</t>
  </si>
  <si>
    <t>GL517 Cable Arm Bucket: Open Bucket Stops.  Puncture caused by GL517 (last two files).  GL515 (first file) and GL516 have caused damage in the past.</t>
  </si>
  <si>
    <t>04/20/2017</t>
  </si>
  <si>
    <t>Normal Dredging operations in the BA</t>
  </si>
  <si>
    <t>0118</t>
  </si>
  <si>
    <t>Dredge Texas</t>
  </si>
  <si>
    <t>Spud Winches</t>
  </si>
  <si>
    <t>Radial Bearing Failure on Pump Shaft</t>
  </si>
  <si>
    <t>Chris Faught</t>
  </si>
  <si>
    <t>R1244</t>
  </si>
  <si>
    <t>Steven Lane</t>
  </si>
  <si>
    <t>04/13/2017</t>
  </si>
  <si>
    <t>dredge had just had the heat exchanger installed, and had only been running an hour or so when the radial bearing started running hot</t>
  </si>
  <si>
    <t>pump shaft is seated onto the pump stand and is secured with fasteners from the two radial bearings and the thrust bearing</t>
  </si>
  <si>
    <t>JSA - Job Safety Analysis, Mechanical - PM Plan</t>
  </si>
  <si>
    <t>R1244 Hydraulic Pump Failure</t>
  </si>
  <si>
    <t>04/22/2017</t>
  </si>
  <si>
    <t>Russell F. Zimmerman, Steven Lane</t>
  </si>
  <si>
    <t>David Balch</t>
  </si>
  <si>
    <t>Step Back for Safety, Other</t>
  </si>
  <si>
    <t xml:space="preserve">Main Engine Failure </t>
  </si>
  <si>
    <t>Garren Clegg</t>
  </si>
  <si>
    <t>04/27/2017</t>
  </si>
  <si>
    <t xml:space="preserve">Engineer in the engine room
Leverman in the lever room </t>
  </si>
  <si>
    <t>R016</t>
  </si>
  <si>
    <t>Dredge Commodore</t>
  </si>
  <si>
    <t>Proper PPE in place during mechanical failure of engine. Engineer was wearing hard hat, glasses, gloves, safety toed boots.</t>
  </si>
  <si>
    <t>05/04/2017</t>
  </si>
  <si>
    <t>05/02/2017</t>
  </si>
  <si>
    <t>Cloudy, High Winds</t>
  </si>
  <si>
    <t>Slurry pump engine</t>
  </si>
  <si>
    <t>The crew quickly responded as per the vessel's station bill.  This quick response was aided by the crew completing a fire drill previously that day.  This response to the fire prevented any major damage.</t>
  </si>
  <si>
    <t>DR 54 &amp; 55 loading scows for the Unloader to pump into Cox Creek disposal area.</t>
  </si>
  <si>
    <t>05/23/2017</t>
  </si>
  <si>
    <t>0105</t>
  </si>
  <si>
    <t>06/02/2017</t>
  </si>
  <si>
    <t>Howard Hawrey</t>
  </si>
  <si>
    <t>Dredging operations ongoing at borrow area and pump out. 
At the shipyard the engine was found to be 0.050th.</t>
  </si>
  <si>
    <t>0147</t>
  </si>
  <si>
    <t>Port main engine</t>
  </si>
  <si>
    <t>Propulsion and main pump gear box and shaft.</t>
  </si>
  <si>
    <t>Step Back for Safety, Stop Work, Mechanical - QA/QC</t>
  </si>
  <si>
    <t>06/04/2017</t>
  </si>
  <si>
    <t>Leaver-man on the lever-room and some crew member on the ladder near the canister and other crew member were in the engine room.</t>
  </si>
  <si>
    <t>Port side Cutter Motor # 4, On CSD Ohio canister  and dredge located at PC OH_Cut 01 Digging area in Al Naseem project, Saudi Arabia.</t>
  </si>
  <si>
    <t>Dredge was anchored at PC OH_CUT 01  (Palace Channel)</t>
  </si>
  <si>
    <t>Engine room crew removed the heater wire inside the cutter motor # 4, that was the potentially cause for the unstable operation of cutter motor.</t>
  </si>
  <si>
    <t>06/05/2017</t>
  </si>
  <si>
    <t>Leverman of Dredge Ohio @ 15 years experience, Leverman in other company for 28 years experience</t>
  </si>
  <si>
    <t>Leaver-man on the lever-room operating and deck crew were working on decks and other supporting plants</t>
  </si>
  <si>
    <t xml:space="preserve">CSD Ohio Under water pump impeller </t>
  </si>
  <si>
    <t>The leverman shut down the pumps and raised the ladder for a pump inspection</t>
  </si>
  <si>
    <t>06/20/2017</t>
  </si>
  <si>
    <t>Matthew O'Neill</t>
  </si>
  <si>
    <t>06/16/2017</t>
  </si>
  <si>
    <t>Survey</t>
  </si>
  <si>
    <t xml:space="preserve">CRAB Operator - On CRAB3
CRAB Attendant - Watching CRAB Operations
</t>
  </si>
  <si>
    <t>Plant 772 - Wheel stud holes in rims were wallowed out due to the nuts backing off and being too loose.  Wheel studs uses were too long and nut did not have nylock to keep it in place.</t>
  </si>
  <si>
    <t>No tools were involved.  Claims of improper torque were not correct.  New nuts did not have loctyte or nylock on them and backed off of the bolts.</t>
  </si>
  <si>
    <t>06/19/2017</t>
  </si>
  <si>
    <t>DR 55 - EMD12-645-E8</t>
  </si>
  <si>
    <t>Oil Cooler</t>
  </si>
  <si>
    <t>Memphis rental tow delay.</t>
  </si>
  <si>
    <t>06/30/2017</t>
  </si>
  <si>
    <t>Chris Faught, Stan Ekren, Nathaniel C Woods, Steven Lane</t>
  </si>
  <si>
    <t>Pontoon Tank/Pipeline</t>
  </si>
  <si>
    <t>James Woodell</t>
  </si>
  <si>
    <t>Southern Towing 2 tug Captains.
GLDD Deck Captain.
GLDD 2 Mates riding the tow.</t>
  </si>
  <si>
    <t xml:space="preserve">M/V Sam Yount, 3 anchor barges, pipe raft, deck barge, Jody Davenport, Coyote State </t>
  </si>
  <si>
    <t>7/8" Cables and steamboat rachets</t>
  </si>
  <si>
    <t>Step Back for Safety</t>
  </si>
  <si>
    <t>07/02/2017</t>
  </si>
  <si>
    <t>0330</t>
  </si>
  <si>
    <t>Kevin Holt</t>
  </si>
  <si>
    <t>Dredge Mate #1 &amp; Dredge Mate #2, Dredge Engineer were on the deck of the dredge. The tending boat DH was on the deck of the scow.</t>
  </si>
  <si>
    <t>0465</t>
  </si>
  <si>
    <t>Scow GL - 65 alongside DR 55 port side.</t>
  </si>
  <si>
    <t>Safety Rules, Other</t>
  </si>
  <si>
    <t>Mechanical - PM Plan, Mechanical - QA/QC, Mechanical - Material Specs</t>
  </si>
  <si>
    <t>The dredge crew was on deck preparing to sail the GL-65 scow.  This allowed them to release the lines of the scow quickly preventing the incident from getting worse.</t>
  </si>
  <si>
    <t>07/08/2017</t>
  </si>
  <si>
    <t>Dredge pumping through total pipe length of 5,738 feet.  See attached pump plot #177</t>
  </si>
  <si>
    <t xml:space="preserve">Dredge pumping through cube, 3,480' of submerged pipeline and 1,900' of shore pipe. </t>
  </si>
  <si>
    <t>Both dredge main pumps, jet water pumps and collection gates.</t>
  </si>
  <si>
    <t>Mayport</t>
  </si>
  <si>
    <t>07/05/2017</t>
  </si>
  <si>
    <t>Steve Pippen was in teh wheel house of the tug Indian Dawn towing the GL 65</t>
  </si>
  <si>
    <t>Rental Tug Indian Dawn towing LG65 scow loaded to the disposal area.</t>
  </si>
  <si>
    <t>Indian Dawn and GL 65</t>
  </si>
  <si>
    <t>The crew of the Indian Dawn acted quickly to save the scow from running aground on the jetty.</t>
  </si>
  <si>
    <t>Chris Pomfret</t>
  </si>
  <si>
    <t>07/27/2017</t>
  </si>
  <si>
    <t>Project - Pipeline</t>
  </si>
  <si>
    <t>0565</t>
  </si>
  <si>
    <t>Cube 716 and 2 sink hoses.
Booster Reggie and 1 sink hose.</t>
  </si>
  <si>
    <t>Anchor Barge</t>
  </si>
  <si>
    <t>08/02/2017</t>
  </si>
  <si>
    <t>0101</t>
  </si>
  <si>
    <t xml:space="preserve">Dredge was preforming dredging operation </t>
  </si>
  <si>
    <t>08/18/2017</t>
  </si>
  <si>
    <t>Cameron R Whitmore</t>
  </si>
  <si>
    <t>08/17/2017</t>
  </si>
  <si>
    <t>Richard Alexander</t>
  </si>
  <si>
    <t xml:space="preserve">Dredge IL with idler barge GL 177 digging in the DE River.  Dredge was positioned on the green side of the channel, facing down stream.  </t>
  </si>
  <si>
    <t>Swing winch, custom made DCR ARM amp isolator board</t>
  </si>
  <si>
    <t xml:space="preserve">There are several factors that prevented this from having a longer delay time. Chris Slimmer answering his phone while on vacation, the combination of Bill English and the Assistant Chief trouble shooting the system over the phone to locate the main issue, and the availability of Bill English to be able to get on a plane and head immediately to the dredge once the issue was identified. </t>
  </si>
  <si>
    <t>09/04/2017</t>
  </si>
  <si>
    <t>Dredge Captain in the operators chair in the crane
Operator on the crane near the PLC cabinet
Chief Engineer in the crane engine room
Watch Engineer in the crane engine room</t>
  </si>
  <si>
    <t>Dredge 55 on the red side of the Inner Boston harbor in 42' of water with the BTT112 deckbarge on the portside. The 30 cy (#517) environmental bucket on the port side on the deck, with 4 dump truck tires on top and the service crane between 2 tires above the 30 cy bucket. The 18 cy (#510) bucket on the starboard side of the deck to be lifted over the environmental bucket and port spud onto the deck barge</t>
  </si>
  <si>
    <t>Set of 2 way chains rated for 85,400 lbs hooked to the beckett on the holding wire of the main crane. Closer wire was attached to the holder. Tagline from the crane attached to the becket of the #510 bucket</t>
  </si>
  <si>
    <t>JSA - Job Safety Analysis, SALT - Save A Life Today Rule, Safety Rules</t>
  </si>
  <si>
    <t>09/08/2017</t>
  </si>
  <si>
    <t xml:space="preserve">DR 55 </t>
  </si>
  <si>
    <t>09/05/2017</t>
  </si>
  <si>
    <t>Sam R Morrison</t>
  </si>
  <si>
    <t>0700</t>
  </si>
  <si>
    <t>0214</t>
  </si>
  <si>
    <t>Booster on location</t>
  </si>
  <si>
    <t>JSA - Job Safety Analysis, Mechanical - PM Plan, Mechanical - QA/QC</t>
  </si>
  <si>
    <t xml:space="preserve">Dredge hooked up to the cube 711.  four float, one flex hose to the cube.  then through turning gland, 90 degree elbow, two sink hoses and a 120' steel riser. </t>
  </si>
  <si>
    <t xml:space="preserve">The sea was out of the east putting the dredge facing into the sea. </t>
  </si>
  <si>
    <t>Dredge hooked up to the cube 711.  four float, one flex hose to the cube.  then through turning gland, 90 degree elbow, two sink hoses and a 120' steel riser.</t>
  </si>
  <si>
    <t>Company Policy, Mechanical - QA/QC</t>
  </si>
  <si>
    <t>Crane Damage Cracked Boom</t>
  </si>
  <si>
    <t>Stan Ekren, Steven Lane, Christopher Charron, Jason Campbell</t>
  </si>
  <si>
    <t>Charles Edwards</t>
  </si>
  <si>
    <t>Austin Connell
Joe Wilson 
Charles Edwards</t>
  </si>
  <si>
    <t xml:space="preserve">Barge mounted rental crane </t>
  </si>
  <si>
    <t>Lifting chains
Spud</t>
  </si>
  <si>
    <t>Crane was immediately taken out of service.</t>
  </si>
  <si>
    <t>10/19/2017</t>
  </si>
  <si>
    <t>0134</t>
  </si>
  <si>
    <t>GL 65 Grounding</t>
  </si>
  <si>
    <t>Michael Tester</t>
  </si>
  <si>
    <t>10/29/2017</t>
  </si>
  <si>
    <t>Matt Jack</t>
  </si>
  <si>
    <t>Dark, High Winds</t>
  </si>
  <si>
    <t>Crew was idle on the Dredge 51</t>
  </si>
  <si>
    <t>Scow 65 was moored on the East side of the North mooring in Newark Bay.</t>
  </si>
  <si>
    <t>Pictures of lines below</t>
  </si>
  <si>
    <t>11/15/2017</t>
  </si>
  <si>
    <t>10/28/2017</t>
  </si>
  <si>
    <t>Not Applicable</t>
  </si>
  <si>
    <t>0110</t>
  </si>
  <si>
    <t xml:space="preserve">Vessel was located at Western Channel - Sand Mining Barrow Area CAR CUT 3 Al Naseem Dredging Area </t>
  </si>
  <si>
    <t>After shutdown for inspection, it was found that the Port cutter motor sustained severe burnt on the electrical components. 
The cutter motor was removed in the morning and was replaced with Cutter Motor #2.</t>
  </si>
  <si>
    <t>12/05/2017</t>
  </si>
  <si>
    <t>W912BU-17-C-0041</t>
  </si>
  <si>
    <t>Main pump connected to rear engine that failed. Failed engine connected directly to second 399</t>
  </si>
  <si>
    <t>11/17/2017</t>
  </si>
  <si>
    <t>W9127817</t>
  </si>
  <si>
    <t>0384</t>
  </si>
  <si>
    <t>Company Policy, Safety Rules</t>
  </si>
  <si>
    <t>1. The Site Engineers spoke up as soon as they noticed something was different
2. The operator shutting the engines down and having the fire extinguisher to put the fire out
3. The site engineers calling the tug McCormick Boys to come over
4. The crew on the McCormick Boys noticed that the there was a fire in the exhaust pipe.</t>
  </si>
  <si>
    <t>Adolfo Lopez</t>
  </si>
  <si>
    <t>12/23/2017</t>
  </si>
  <si>
    <t xml:space="preserve">All crew at designated posts on ship. </t>
  </si>
  <si>
    <t xml:space="preserve">Liberty Island's automation. </t>
  </si>
  <si>
    <t>JSA - Job Safety Analysis, PPE - Personal Protection Equipment, Safety Rules, Mechanical - SOP</t>
  </si>
  <si>
    <t>12/21/2017</t>
  </si>
  <si>
    <t>Dredge was digging on the Whiskey Island Project</t>
  </si>
  <si>
    <t>Port and stbd cutter motors were in operation</t>
  </si>
  <si>
    <t>Vigilant watchstanding. Watchstanders visually noticed the problem with the motors and notified the Captain and the Chief of the issue.</t>
  </si>
  <si>
    <t>02/10/2018</t>
  </si>
  <si>
    <t xml:space="preserve">Dredge was digging on the Whiskey Island project </t>
  </si>
  <si>
    <t>Dredge was digging with 2 main engines running 1 main generator and 2 cutter motors running</t>
  </si>
  <si>
    <t xml:space="preserve">2 cutter motors </t>
  </si>
  <si>
    <t>Noon Island_Generator Engine Overspeed_02252018</t>
  </si>
  <si>
    <t>Alvin Reyes</t>
  </si>
  <si>
    <t>Int'l - Hopper Dredging</t>
  </si>
  <si>
    <t>02/25/2018</t>
  </si>
  <si>
    <t>00026</t>
  </si>
  <si>
    <t>Maksim Shliapnikov</t>
  </si>
  <si>
    <t>Chief Engineer and  the engine crew with the assistance of electrical superintendent working in the engine center room at the generator # 1 -</t>
  </si>
  <si>
    <t>No Operation - MV Noon Island currently in lay up status</t>
  </si>
  <si>
    <t>No tools  the generator # 1 Engine room crew warm up the engine.  on Generator #1 unstable frequency they stopped for further troubleshooting.</t>
  </si>
  <si>
    <t>JSA - Job Safety Analysis, SALT - Save A Life Today Rule, SALT Recommended Practice, Stop Work</t>
  </si>
  <si>
    <t>PTP - Pre-Task Planning, Mechanical - QA/QC</t>
  </si>
  <si>
    <t>Employee managed to shut down immediately the fuel valve supply to prevent more damage of the engine.</t>
  </si>
  <si>
    <t>02/01/2018</t>
  </si>
  <si>
    <t>The Dredge Alaska was digging offshore in the Borrow Area. During routine ladder inspection, the crack was found</t>
  </si>
  <si>
    <t xml:space="preserve">Shaft was not in operation when the crack was found. </t>
  </si>
  <si>
    <t xml:space="preserve">Due to routine ladder maintenance / inspections, the crack was caught early before a worse outcome. </t>
  </si>
  <si>
    <t>04/01/2018</t>
  </si>
  <si>
    <t>Cutter Gearbox</t>
  </si>
  <si>
    <t>Bearing Failure</t>
  </si>
  <si>
    <t>Mechanical - PM Plan, Mechanical - SOP, Mechanical - QA/QC, Mechanical - Material Specs</t>
  </si>
  <si>
    <t>04/21/2018</t>
  </si>
  <si>
    <t>Dredge crew was configured with 4 members of the crew and the Captain.</t>
  </si>
  <si>
    <t>0133</t>
  </si>
  <si>
    <t>Dredge 53</t>
  </si>
  <si>
    <t>DR 53 Holder AC/DC Drives</t>
  </si>
  <si>
    <t>The reactor was able to be repaired by Global Tech was the main factor in decreasing the downtime.</t>
  </si>
  <si>
    <t>04/30/2018</t>
  </si>
  <si>
    <t>0143</t>
  </si>
  <si>
    <t>Port Dredge Pump</t>
  </si>
  <si>
    <t>Dredge Pump Coupling</t>
  </si>
  <si>
    <t>05/02/2018</t>
  </si>
  <si>
    <t>04/13/2018</t>
  </si>
  <si>
    <t>Dredge was digging on the BLNG project digging area.</t>
  </si>
  <si>
    <t>Dredge was under operation.</t>
  </si>
  <si>
    <t>the employee immediately grabbed the 5 lbs. dry powder portable fire extinguisher (2 steps-distances from the incident area) he open the panel door and extinguished the fire by using fire extinguisher. The Asst. watch engineer stayed in the area while the watch engineer informed the leverman about the incident, then proceeded to run the emergency generator.</t>
  </si>
  <si>
    <t>Michael Jimenez</t>
  </si>
  <si>
    <t>05/17/2018</t>
  </si>
  <si>
    <t>Freeport LNG 01</t>
  </si>
  <si>
    <t>0100</t>
  </si>
  <si>
    <t>Operator, Mate, Engineer, Deckhand</t>
  </si>
  <si>
    <t>Stop Work, Mechanical - PM Plan, Mechanical - SOP</t>
  </si>
  <si>
    <t>Video of incident provided evidence of the cause of the failure.</t>
  </si>
  <si>
    <t>06/01/2018</t>
  </si>
  <si>
    <t>Standard Mech Dredge Crew - Operator, Mate, Enginer, Deckhand</t>
  </si>
  <si>
    <t>DR 55</t>
  </si>
  <si>
    <t>Dredging in FLNG Basin</t>
  </si>
  <si>
    <t>Troubleshooting by outside technician revealed a loose connection.</t>
  </si>
  <si>
    <t>07/03/2018</t>
  </si>
  <si>
    <t>Idler/Power Barge</t>
  </si>
  <si>
    <t>Dark, High Winds, Severe Storms</t>
  </si>
  <si>
    <t>Dredge was in normal operation dredging within Acceptance Section 3 when pin failure occurred on Port connection</t>
  </si>
  <si>
    <t>0595</t>
  </si>
  <si>
    <t>Dredge Carolina &amp; Idler Barge GL-10</t>
  </si>
  <si>
    <t>Pin connection of GL-10 came free from housing while in normal operation.</t>
  </si>
  <si>
    <t>Mechanical - SOP, Mechanical - Material Specs</t>
  </si>
  <si>
    <t>Extreme Heat</t>
  </si>
  <si>
    <t>Dredge was pumping out.</t>
  </si>
  <si>
    <t>Port main engine turbo chargers. Right and Left Banks</t>
  </si>
  <si>
    <t>Mechanical - PM Plan, Mechanical - Material Specs</t>
  </si>
  <si>
    <t>08/11/2018</t>
  </si>
  <si>
    <t>Normal Dredge ops in Dig Area</t>
  </si>
  <si>
    <t>Port Spud Winch</t>
  </si>
  <si>
    <t>Cavalier State Grounding</t>
  </si>
  <si>
    <t>08/21/2018</t>
  </si>
  <si>
    <t>08/13/2018</t>
  </si>
  <si>
    <t>Michael Rice capt. Tug Hardhead</t>
  </si>
  <si>
    <t>0340</t>
  </si>
  <si>
    <t>Tug hardhead
AB-107, AC Barge and Cavalier State</t>
  </si>
  <si>
    <t>07/26/2018</t>
  </si>
  <si>
    <t>26T</t>
  </si>
  <si>
    <t>Rodel Alagao</t>
  </si>
  <si>
    <t>0219</t>
  </si>
  <si>
    <t>Vessel is alongside to Buster (Booster 6) at ASRY shipyard inner anchorage.</t>
  </si>
  <si>
    <t>Megger test device</t>
  </si>
  <si>
    <t>Mechanical - SOP, Mechanical - QA/QC, Other</t>
  </si>
  <si>
    <t>Company Policy, Mechanical - PM Plan</t>
  </si>
  <si>
    <t xml:space="preserve">The both AC alternators were isolated to prevent more dust to contaminate the area. Both generators were subjected for general overhauling. </t>
  </si>
  <si>
    <t>09/19/2018</t>
  </si>
  <si>
    <t>09/15/2018</t>
  </si>
  <si>
    <t>Normal dredging operations.
Captain, Chief Engineer, Operator, MAte, Deckhand &amp; Engineer.</t>
  </si>
  <si>
    <t>DR 54 operating on the Delaware River</t>
  </si>
  <si>
    <t>Operations were stopped when the damage was discovered and sourcing of replacement parts started.  The ability to find a replacement input shaft reduced the downtime dramatically.</t>
  </si>
  <si>
    <t>AB 118 Damage</t>
  </si>
  <si>
    <t>10/14/2018</t>
  </si>
  <si>
    <t>David Rappe, Steven R Auernhamer, Dave Allen</t>
  </si>
  <si>
    <t>See the attached PDF's for the AB and tug configuration</t>
  </si>
  <si>
    <t>See the attached PDF's for the configuration</t>
  </si>
  <si>
    <t>JSA - Job Safety Analysis, PTP - Pre-Task Planning, Company Policy</t>
  </si>
  <si>
    <t>Spoke to all of the tug boats about the proper way to secure two barges.</t>
  </si>
  <si>
    <t>Alaska anchor contact with hull</t>
  </si>
  <si>
    <t>11/27/2018</t>
  </si>
  <si>
    <t>Mike  Gerlach</t>
  </si>
  <si>
    <t>David Rappe, Bill Baumann, Lynn Nietfeld, James C Gillespie, Dave Allen</t>
  </si>
  <si>
    <t>Leverman in Alaska leverroom
Captain of the Evergreen State in wheelhouse
Captain of the KJ in wheelhouse</t>
  </si>
  <si>
    <t>See attached sketch of vessel configuration.
See anchor and hanger cable picture</t>
  </si>
  <si>
    <t xml:space="preserve">1 1/4" hanger cable
1 1/4" shackle
</t>
  </si>
  <si>
    <t>Mechanical - PM Plan, Other</t>
  </si>
  <si>
    <t>Bilge alarms working correctly identified the problem before too much water was taken on board or water rose to a level that damaged other equipment.</t>
  </si>
  <si>
    <t>Booster Jack Spud Foot / Hull/ and hose Damage</t>
  </si>
  <si>
    <t>Mathew Bishop</t>
  </si>
  <si>
    <t>12/08/2018</t>
  </si>
  <si>
    <t xml:space="preserve">Shawn Boynton </t>
  </si>
  <si>
    <t>David Rappe, James C Gillespie, Dave Allen</t>
  </si>
  <si>
    <t>Caught in</t>
  </si>
  <si>
    <t>One engineer port side watching the spud go down The other engineer on stnd side
Chief engineer at the controls</t>
  </si>
  <si>
    <t>Jacking the spuds down it was notice the float hose was caught between the spud and the barge.Signal was given to raise spud to get the hose out. Couldn't see the flange which was caught under the barge on top of the foot</t>
  </si>
  <si>
    <t>Hose assembly consisting of a Float hose, a sink hose, and a riser pipe attached to both the suction and discharge side of the booster while under tow.</t>
  </si>
  <si>
    <t>12/19/2018</t>
  </si>
  <si>
    <t>Gudalupe Benevides</t>
  </si>
  <si>
    <t xml:space="preserve">Dredge was in normal operations during time of failure. </t>
  </si>
  <si>
    <t>Dredge Carolina was in normal operations during time of failure</t>
  </si>
  <si>
    <t>DR 55 dredging on the Delaware River.</t>
  </si>
  <si>
    <t>DB 186 Hull/Deck Damage</t>
  </si>
  <si>
    <t>12/21/2018</t>
  </si>
  <si>
    <t>Deck or Ramp Barge</t>
  </si>
  <si>
    <t>Struck against</t>
  </si>
  <si>
    <t>Cloudy, High Winds, Rain, Severe Storms</t>
  </si>
  <si>
    <t>Armando Rios</t>
  </si>
  <si>
    <t>The dredge Alaska and Carolina were digging in the Big Bend channel.  The deck barges were located in the nearby staging area.  Both the bullgang and dredge deck crews were assigned to oversee the staging area operations.  Bullgang crews were pulled from the project several times to assist with Egmont Mob/demob.</t>
  </si>
  <si>
    <t>The starboard side of the DB 186 was tied to the port side of the 172.  No fendering between the barges.  PDF of the layout attached</t>
  </si>
  <si>
    <t>Apache Tower Damage</t>
  </si>
  <si>
    <t>02/04/2019</t>
  </si>
  <si>
    <t>Kyle Johnson, Bill Baumann, James C Gillespie</t>
  </si>
  <si>
    <t>Drillboat</t>
  </si>
  <si>
    <t>No crew on board at the time of the incident.</t>
  </si>
  <si>
    <t>0229</t>
  </si>
  <si>
    <t>The apache and the Derrick 68 were tied side to side as the Gulf Dawn started to tow them away from the yard with the tug Foxy 3 assisting.</t>
  </si>
  <si>
    <t>Nonce</t>
  </si>
  <si>
    <t>Tower was recovered when the Apache was brought back to the SI yard.  Damages to the tower were repaired and the tower was trucked to Philadelphia.</t>
  </si>
  <si>
    <t>02/21/2019</t>
  </si>
  <si>
    <t>Incident occurred during crew change from day-shift to night shift.  Typical 4 man crew for both shifts (operator, engineer, mate, deckhand)</t>
  </si>
  <si>
    <t>normal operations in Jacksonville, FL</t>
  </si>
  <si>
    <t>Outlined in incident response</t>
  </si>
  <si>
    <t>03/04/2019</t>
  </si>
  <si>
    <t>072584</t>
  </si>
  <si>
    <t>0302</t>
  </si>
  <si>
    <t>Dredge just finished dumping and began sailing back to the dig site.</t>
  </si>
  <si>
    <t>Dredge 53 Fire</t>
  </si>
  <si>
    <t>03/08/2019</t>
  </si>
  <si>
    <t>Bill Baumann, James C Gillespie, Christopher Charron, Jason Campbell</t>
  </si>
  <si>
    <t xml:space="preserve">Welder was in the sheave room.  The fire watch was going between sheave room and PPE room. </t>
  </si>
  <si>
    <t xml:space="preserve">sheave and PPE room. </t>
  </si>
  <si>
    <t xml:space="preserve">burning torch was being used. </t>
  </si>
  <si>
    <t>JSA - Job Safety Analysis, SALT - Save A Life Today Rule</t>
  </si>
  <si>
    <t xml:space="preserve">JSA and SALT were reviewed but the JSA failed to highlight fire risk and all SALT rules were not followed. </t>
  </si>
  <si>
    <t>03/23/2019</t>
  </si>
  <si>
    <t>Richard Millis</t>
  </si>
  <si>
    <t>Normal dredging operations.</t>
  </si>
  <si>
    <t>0120</t>
  </si>
  <si>
    <t>Dredge New York PP1 Main Engine Seal</t>
  </si>
  <si>
    <t>Replacement of engine</t>
  </si>
  <si>
    <t>Stbd Cutter Motors Overheating</t>
  </si>
  <si>
    <t>04/26/2019</t>
  </si>
  <si>
    <t>Bill Baumann, Armand F Riehl, James C Gillespie</t>
  </si>
  <si>
    <t>Milton Garcia (watch engineer) &amp; Roger Hancock (oiler) on watch during failure.</t>
  </si>
  <si>
    <t xml:space="preserve">Rock chopping </t>
  </si>
  <si>
    <t>Milling cutter</t>
  </si>
  <si>
    <t>Stop Work, Mechanical - PM Plan, Mechanical - SOP, Mechanical - QA/QC, Mechanical - Material Specs, Other</t>
  </si>
  <si>
    <t>Check and address all possible cause for failure. Monitor closer during run conditions for symptoms that indicates any warning sign/s.</t>
  </si>
  <si>
    <t>Dredge New York A-frame Damage</t>
  </si>
  <si>
    <t>0930</t>
  </si>
  <si>
    <t>Employee was located at the front of the observation house at the A-frame controls.</t>
  </si>
  <si>
    <t>A-frame was being pulled back, it went past its normal stopping point. The pull back wires went slack, and the a-frame fell back into the stops.</t>
  </si>
  <si>
    <t>20190523 Ellis Island Hull Damage</t>
  </si>
  <si>
    <t>05/23/2019</t>
  </si>
  <si>
    <t>George Strawn, Russell F. Zimmerman, Paul C Lamourie</t>
  </si>
  <si>
    <t>Chris Harvey</t>
  </si>
  <si>
    <t>Mate on watch at vessel controls
Dragtender on watch at dredge controls</t>
  </si>
  <si>
    <t>ATB Douglas B Mackie/Ellis Island dredging on Nag's Head project.  (see attached map of borrow area/vessel track)</t>
  </si>
  <si>
    <t>Dredge was in the digging cycle of the load.</t>
  </si>
  <si>
    <t>Company Policy, Regulations</t>
  </si>
  <si>
    <t xml:space="preserve">Dragarm was recovered, so no salvage operation needed.  No fuel was leaked and the breach was only to the cofferdam.  </t>
  </si>
  <si>
    <t>07/31/2019</t>
  </si>
  <si>
    <t xml:space="preserve">Operator was in the cab.  The mate and deck hand were preparing to sail the scow. </t>
  </si>
  <si>
    <t xml:space="preserve">scow 602 and dredge 54. </t>
  </si>
  <si>
    <t>21 cubic yard.</t>
  </si>
  <si>
    <t>Calcasieu River Multibeam Head Damage</t>
  </si>
  <si>
    <t>Claire Bradford</t>
  </si>
  <si>
    <t>08/22/2019</t>
  </si>
  <si>
    <t>Christopher Latino</t>
  </si>
  <si>
    <t>Chris Roberts, Russell F. Zimmerman, Armand F Riehl</t>
  </si>
  <si>
    <t>Raeford Millis</t>
  </si>
  <si>
    <t>Tyler Maiers (1yr)-Surveyor in the below cabin at the computer/survey station (stbd side)
Cody Chambers(1yr)-Surveyor in the below cabin at the computer/survey station (stbd side)
Raeford Millis (+15 yrs)-Boat Captain at the inside controls
Deck Hand (4-5 yrs)</t>
  </si>
  <si>
    <t>0380</t>
  </si>
  <si>
    <t>The operator sits on the upper deck of the cabin.The surveyors/deckhand sit in the bottom level of the cabin. The multibeam head is on the bow in the direct view of the operator.</t>
  </si>
  <si>
    <t>The multibeam head is mounted to a hydraulic lever arm at the bow of the Calcasieu River. When deployed  the draft of the head is about 4.2'.</t>
  </si>
  <si>
    <t>JSA - Job Safety Analysis, SALT - Save A Life Today Rule, Company Policy</t>
  </si>
  <si>
    <t>PTP - Pre-Task Planning, Other</t>
  </si>
  <si>
    <t>08/17/2019</t>
  </si>
  <si>
    <t>DR 58</t>
  </si>
  <si>
    <t xml:space="preserve">DR 58 </t>
  </si>
  <si>
    <t>Mechanical - SOP, Mechanical - QA/QC, Mechanical - Material Specs</t>
  </si>
  <si>
    <t>10/01/2019</t>
  </si>
  <si>
    <t>0530</t>
  </si>
  <si>
    <t>DR 54 - dredging of</t>
  </si>
  <si>
    <t>Stern Spud</t>
  </si>
  <si>
    <t>10/31/2019</t>
  </si>
  <si>
    <t>084608</t>
  </si>
  <si>
    <t>David Mills</t>
  </si>
  <si>
    <t>Mate and Dragtender operating vessel.</t>
  </si>
  <si>
    <t>Dredge was involved in bottom dump project</t>
  </si>
  <si>
    <t>Bottom dump system</t>
  </si>
  <si>
    <t>Crews professionalism and experience enabled them to identify the problem and react quickly.</t>
  </si>
  <si>
    <t>11/06/2019</t>
  </si>
  <si>
    <t xml:space="preserve">Operator was in the cab and mate was on the stern of the scow.  The mate heard loud noise coming from the crane and smoke. </t>
  </si>
  <si>
    <t xml:space="preserve">Drg 58 was digging with scow along side with no signs of an issue when the noise was heard and all stop called. </t>
  </si>
  <si>
    <t xml:space="preserve">crane was functioning normally when the failure occurred. </t>
  </si>
  <si>
    <t xml:space="preserve">SOP to grease the bearing is to be done at installation which was 2014 by Marinex. </t>
  </si>
  <si>
    <t>11/25/2019</t>
  </si>
  <si>
    <t>1st Astt Engineer - Fred Ofei
Electrician - Ahmed Eissa
Engineer - Chance Fryar</t>
  </si>
  <si>
    <t>Unloader #2 398 Generator Engine</t>
  </si>
  <si>
    <t>Woodward Type UG 8 Governor</t>
  </si>
  <si>
    <t>JSA - Job Safety Analysis, New Hire Orientation, Safety Rules, Mechanical - PM Plan, Mechanical - SOP, Mechanical - QA/QC, Mechanical - Material Specs</t>
  </si>
  <si>
    <t>Dredge Illinois Fuel Spill</t>
  </si>
  <si>
    <t>Sherry Turner</t>
  </si>
  <si>
    <t>11/28/2019</t>
  </si>
  <si>
    <t>Keith Pearse</t>
  </si>
  <si>
    <t>David Blackmon</t>
  </si>
  <si>
    <t>David  Blackmon - Oiler : at the valves to open
Crew Boat Deckhand: On crew boat waiting to fuel up
Watch Engineer: Restroom</t>
  </si>
  <si>
    <t xml:space="preserve">Crew boat Muskegon River was sterned up against the starboard side of the dredge near the fueling station preparing to be fueled.  </t>
  </si>
  <si>
    <t>Emergency fuel shut off was engaged; valve was turned off and clean-up quickly began.  All authorities were notified by Leverman while Engine Room crew cleaned the spill.  Dredge was tilted to the port side most of the fuel stayed on the deck.</t>
  </si>
  <si>
    <t>12/07/2019</t>
  </si>
  <si>
    <t>Leverman was digging at night, deck crew were performing housekeeping and Engine room crew were in Engine room control room</t>
  </si>
  <si>
    <t>12/10/2019</t>
  </si>
  <si>
    <t>Timothy Fleming</t>
  </si>
  <si>
    <t>DR 55 Fuel Spill</t>
  </si>
  <si>
    <t>12/13/2019</t>
  </si>
  <si>
    <t>12/11/2019</t>
  </si>
  <si>
    <t>Cloudy, Snow</t>
  </si>
  <si>
    <t>Normal crew onboard the dredge.  The dredge was not operational due to a weather delay.</t>
  </si>
  <si>
    <t>JSA - Job Safety Analysis, PTP - Pre-Task Planning, Company Policy, Life Saving Absolutes</t>
  </si>
  <si>
    <t>The crew responded quickly to limit the environmental impact and followed correct communication procedures.</t>
  </si>
  <si>
    <t>12/18/2019</t>
  </si>
  <si>
    <t>015860</t>
  </si>
  <si>
    <t>Lanny Lawrence</t>
  </si>
  <si>
    <t>JSA - Job Safety Analysis, Safety Rules, Mechanical - PM Plan</t>
  </si>
  <si>
    <t>01/28/2020</t>
  </si>
  <si>
    <t>Carolina was dredging</t>
  </si>
  <si>
    <t>Terrapin Trunnion slide</t>
  </si>
  <si>
    <t>12/20/2019</t>
  </si>
  <si>
    <t>02/19/2020</t>
  </si>
  <si>
    <t>Minimal crew while the dredge was laid up in Moorhead City, NC due to weather</t>
  </si>
  <si>
    <t>Prepped for tow completing maintenance in Moorhead City, NC</t>
  </si>
  <si>
    <t>05/10/2020</t>
  </si>
  <si>
    <t>Dragtender assisting ESO with skimmer controls while bottom dumping during the dredging cycle.</t>
  </si>
  <si>
    <t>0148</t>
  </si>
  <si>
    <t>Terrapin Island in process of disposing a load of sand.</t>
  </si>
  <si>
    <t>05/15/2020</t>
  </si>
  <si>
    <t>04/27/2020</t>
  </si>
  <si>
    <t>Rafael Estrada</t>
  </si>
  <si>
    <t>0378</t>
  </si>
  <si>
    <t>Columbia River, 40ft Crew/Survey Vessel. 
Main Engines - 2 Detroit Diesel 8V71</t>
  </si>
  <si>
    <t>Starter Fluid</t>
  </si>
  <si>
    <t>05/13/2020</t>
  </si>
  <si>
    <t xml:space="preserve">Dredge was working dredging hard material in Charleston entrance channel. </t>
  </si>
  <si>
    <t>When the ladder was raised for cutter motor troubleshooting, the deck department noticed the thrust bearing was hot (steaming) and reported it to the Chief engineer.  This prompted the inspection and discovery of the failure before further damage could occur.  Past failures have resulted in much more damage to the housing and shaft.</t>
  </si>
  <si>
    <t>03/02/2020</t>
  </si>
  <si>
    <t>00026T</t>
  </si>
  <si>
    <t>Stand by</t>
  </si>
  <si>
    <t>Stop Work, Mechanical - SOP</t>
  </si>
  <si>
    <t>Internal inspection by 3rd party. Identification of failure, preparation to replace unit</t>
  </si>
  <si>
    <t>06/19/2020</t>
  </si>
  <si>
    <t>Dredge working on anchors in the Charleston entrance channel</t>
  </si>
  <si>
    <t>Company Policy, Mechanical - PM Plan, Mechanical - QA/QC, Mechanical - Material Specs</t>
  </si>
  <si>
    <t>06/03/2020</t>
  </si>
  <si>
    <t xml:space="preserve">Dredge working on anchors in the Charleston entrance channel. </t>
  </si>
  <si>
    <t>Coupling failed on the ladder pump shaft.</t>
  </si>
  <si>
    <t>A complete spare shaft with a new flex coupling half installed was on site and ready for installation. This expedited the repair.</t>
  </si>
  <si>
    <t>07/27/2020</t>
  </si>
  <si>
    <t>07/26/2020</t>
  </si>
  <si>
    <t>DR 53</t>
  </si>
  <si>
    <t>DR 53 digging in Jacksonville wiht 18 cyd bucket.</t>
  </si>
  <si>
    <t>08/23/2020</t>
  </si>
  <si>
    <t>Holt Hartung</t>
  </si>
  <si>
    <t xml:space="preserve">2 Watch Engineers  and Oiler working on the replacement of the gasket after oil leak found </t>
  </si>
  <si>
    <t>Stop Work, Mechanical - QA/QC</t>
  </si>
  <si>
    <t>JSA - Job Safety Analysis, Mechanical - SOP, Mechanical - Material Specs</t>
  </si>
  <si>
    <t>08/19/2020</t>
  </si>
  <si>
    <t>0600</t>
  </si>
  <si>
    <t>Normal dredging Ops</t>
  </si>
  <si>
    <t>Dredging Port Jersey</t>
  </si>
  <si>
    <t>Southern Services rebuilding foundation.</t>
  </si>
  <si>
    <t xml:space="preserve">Ohio Cutter Gearbox Contamination </t>
  </si>
  <si>
    <t>08/26/2020</t>
  </si>
  <si>
    <t xml:space="preserve">The crew involved was the watch engineer and oiler. </t>
  </si>
  <si>
    <t xml:space="preserve">Standard dredging </t>
  </si>
  <si>
    <t xml:space="preserve">No tools were used. </t>
  </si>
  <si>
    <t>22694_Port Engine Gear Box Bearing Failure</t>
  </si>
  <si>
    <t>05/09/2020</t>
  </si>
  <si>
    <t>Jose Gracia, Christopher Gunsten, Garrett Gibson</t>
  </si>
  <si>
    <t>Igor Shlyapnikov</t>
  </si>
  <si>
    <t>Chief Engineer(+3years); Watch Engineer(+2years); Oiler(+2years)</t>
  </si>
  <si>
    <t>0141</t>
  </si>
  <si>
    <t>TSHD Sugar Island arranged for over-bow pump-out configuration through floating swivel(cube); started pump-out</t>
  </si>
  <si>
    <t>Internal inspection by 3rd party. Identification of failure, immediate required repairs of unit.</t>
  </si>
  <si>
    <t>09/07/2020</t>
  </si>
  <si>
    <t xml:space="preserve">Dredge Captain
Levermen
</t>
  </si>
  <si>
    <t>Dredge was operating on wires with the new xmas tree arrangement for the first time. Standard vessel configuration for dredging.</t>
  </si>
  <si>
    <t xml:space="preserve">Two breast winches / one sten winch / 2 swing winches and installed wire rope and anchors. Did any of th anchors have chain or directly attached by cable?  </t>
  </si>
  <si>
    <t>Vessel equipment performance to be reviewed and equipment to be upgraded to achieve required parameters for dredging</t>
  </si>
  <si>
    <t>DR 54 - Boom Heel Pin</t>
  </si>
  <si>
    <t>04/12/2020</t>
  </si>
  <si>
    <t>Normal dredging operations</t>
  </si>
  <si>
    <t>Normal dredging operations in Baltimore using the 47 cyd bucket</t>
  </si>
  <si>
    <t>Damage to the bushings was discovered prior to a catastrophic failure.</t>
  </si>
  <si>
    <t xml:space="preserve">Alaska M/P Thrust Bearing Failure </t>
  </si>
  <si>
    <t>09/26/2020</t>
  </si>
  <si>
    <t>Brian Bickford, James C Gillespie</t>
  </si>
  <si>
    <t xml:space="preserve">Dredge captain </t>
  </si>
  <si>
    <t xml:space="preserve">Dredge pump thrust bearing failure. </t>
  </si>
  <si>
    <t>Impact gun
Wrenches
Measurement tools 
Cleaning consumables</t>
  </si>
  <si>
    <t>Booster Jessie Starboard Gearbox Bearing Failure</t>
  </si>
  <si>
    <t>Nicholas D Williams</t>
  </si>
  <si>
    <t>10/22/2020</t>
  </si>
  <si>
    <t>084727</t>
  </si>
  <si>
    <t>Steven W  Becker, David Rappe, James C Gillespie</t>
  </si>
  <si>
    <t>Unloader Snorkel Drift</t>
  </si>
  <si>
    <t>11/12/2020</t>
  </si>
  <si>
    <t>11/04/2020</t>
  </si>
  <si>
    <t>High Winds, Rain, Severe Storms</t>
  </si>
  <si>
    <t>No crew on board.</t>
  </si>
  <si>
    <t>Cape Girardeau Yard- Crane Boom Failure</t>
  </si>
  <si>
    <t>Cape Girardeau Yard</t>
  </si>
  <si>
    <t>Everett Reed</t>
  </si>
  <si>
    <t>Steven Lane, Jason Campbell</t>
  </si>
  <si>
    <t>Land-Other</t>
  </si>
  <si>
    <t>Crane was position to the left and slightly aft of the truck's trailer, appx 2/3 way back. see attached document</t>
  </si>
  <si>
    <t>see attached document</t>
  </si>
  <si>
    <t>JSA - Job Safety Analysis, Other</t>
  </si>
  <si>
    <t>Personnel were alert and were not standing in any potential danger zones</t>
  </si>
  <si>
    <t>10/13/2020</t>
  </si>
  <si>
    <t xml:space="preserve">~ October 9, sometime before leaving Norfolk there was reports by Carter 
~October 11, the Liberty arrived to Absecon project and commenced project 
~October 15 afternoon the Liberty’s port main engine and starboard generators were experiencing uncommand shutdowns.
~October 20, the ECMs replaced but there were still weird alarms occurring
~October 21, PLC controls replaced, the E-Stop system had replaced diodes, a short on an old guillotine (?) switch located as issue – disconnected solenoid compromised and removed.   
~Restart on Absecon project
</t>
  </si>
  <si>
    <t>Dredge Texas fuel tank vent plugs incident</t>
  </si>
  <si>
    <t>12/07/2020</t>
  </si>
  <si>
    <t>Dredge Texas internal fuel leak incident</t>
  </si>
  <si>
    <t>Dredge on project</t>
  </si>
  <si>
    <t>Regulations</t>
  </si>
  <si>
    <t>Nilene Brunslik</t>
  </si>
  <si>
    <t>12/10/2020</t>
  </si>
  <si>
    <t>072569</t>
  </si>
  <si>
    <t xml:space="preserve">1.	Foundation Wastage caused flexing. Inadequately Engineered platform to begin with. 
2.	Start up Overloaded. 
3.	Jet Valve Leaks
4.	Production demand, Production estimates / project completion schedule
5.	Full understanding of what to check alignment wise and how to check it. 
</t>
  </si>
  <si>
    <t>n/a</t>
  </si>
  <si>
    <t>01/06/2021</t>
  </si>
  <si>
    <t>12/21/2020</t>
  </si>
  <si>
    <t>12/17/2020</t>
  </si>
  <si>
    <t>Normal Operations</t>
  </si>
  <si>
    <t>0451</t>
  </si>
  <si>
    <t>Dredge NY loading the GL 501 scow</t>
  </si>
  <si>
    <t>DR New York Boom Cylinder Failure</t>
  </si>
  <si>
    <t>12/27/2020</t>
  </si>
  <si>
    <t>Normal operations</t>
  </si>
  <si>
    <t>Dredging on the Jacksonville C deepening project.</t>
  </si>
  <si>
    <t>The Dredge NY crew is very skilled in changing out cylinders which limited the downtime to less than 30 hours.</t>
  </si>
  <si>
    <t xml:space="preserve">Pass A'Loutre Survey </t>
  </si>
  <si>
    <t>01/15/2021</t>
  </si>
  <si>
    <t>David J Johanson, Christopher Gunsten, Garrett Gibson</t>
  </si>
  <si>
    <t>Cloudy, Dark</t>
  </si>
  <si>
    <t>Marlene Macron</t>
  </si>
  <si>
    <t>Surveyors on survey boat Hollie Belle conduction channel surveys.  PE, PM, SM onboard Dredge Illinois observing dredging operations</t>
  </si>
  <si>
    <t xml:space="preserve">Hypack 2018.  Hi and Lo frequency transducers.  </t>
  </si>
  <si>
    <t>tape measure, RTK, lead line</t>
  </si>
  <si>
    <t>PTP - Pre-Task Planning, Mechanical - SOP, Mechanical - QA/QC</t>
  </si>
  <si>
    <t>01/27/2021</t>
  </si>
  <si>
    <t>072732</t>
  </si>
  <si>
    <t>0466</t>
  </si>
  <si>
    <t>Scow was under tow from the Anne Jarrett and dumped remotely. No one was onboard the scow.</t>
  </si>
  <si>
    <t>Tug Anne Jarrett with Scow 66 under tow for disposal operations.</t>
  </si>
  <si>
    <t>Crane Boom Failure</t>
  </si>
  <si>
    <t>Terreo Hathorn</t>
  </si>
  <si>
    <t>03/05/2021</t>
  </si>
  <si>
    <t>Omega Crane Barge</t>
  </si>
  <si>
    <t>02/24/2021</t>
  </si>
  <si>
    <t>Dredge IL Cutter Gearbox Input Shaft Bearing Failure- Port Side</t>
  </si>
  <si>
    <t>Dredge was digging in normal operation</t>
  </si>
  <si>
    <t>Standard Operating Procedure (SOP) must be written for these type of vessels to include ensuring a mooring plan is made for each class of vessel at the beginning of each project which is site specific and contains inclement weather contingencies and proper mooring configuration/procedures.  Also important that the crew is shown the plan and is made readily available to them.</t>
  </si>
  <si>
    <t>Chris C Harris</t>
  </si>
  <si>
    <t>03/15/2017</t>
  </si>
  <si>
    <t>WO to be created to install a automatic float switch on the bilge pump</t>
  </si>
  <si>
    <t>The written SOP must include instructions for Boat Operators to observe the vessel binder each shift to ensure availability of relevant documentation. Perform Vessel inspections and submit the maintenance checklist to the Technical Department on a daily basis.</t>
  </si>
  <si>
    <t>WO to be created for the drain holes with one way scuppers and close off the side scuppers and drain holes with one way scuppers and close off the side scuppers.</t>
  </si>
  <si>
    <t>Make SOP for all divisions that all cranes are not to tow anywhere outside of immediate dredging work area unless the boom is in the saddled or lowered to lowest level and secured.</t>
  </si>
  <si>
    <t>07/28/2017</t>
  </si>
  <si>
    <t>Hydraulic, Rivers &amp; Lakes, Hopper, Mechanical</t>
  </si>
  <si>
    <t>Develop new Voyage Plans for inshore towing. SMS voyage plan does not apply to inland hazards.</t>
  </si>
  <si>
    <t>Rivers &amp; Lakes</t>
  </si>
  <si>
    <t>Review Incident with all shifts and display "Prevent Sinkings" poster.</t>
  </si>
  <si>
    <t>Bryan P Dast</t>
  </si>
  <si>
    <t>12/31/2016</t>
  </si>
  <si>
    <t>Develop a training program to be used during the orientation process, prior to job startup, which includes adding pipeline, moving equipment, hazard recognition and accountability policies.</t>
  </si>
  <si>
    <t>Steve O'Hara</t>
  </si>
  <si>
    <t>Develop SOP for General / Assistant Foremen to ensure operators are operating or standing-by away from hazards prior to being "out of sight". (Check-in communication system)</t>
  </si>
  <si>
    <t>08/14/2016</t>
  </si>
  <si>
    <t>Develop JSA for piping up near the waterline at night.</t>
  </si>
  <si>
    <t>Re-design discharge pipe adapters or an additional rubber hose connection between the pump casing and discharge adapter required.</t>
  </si>
  <si>
    <t>Develop a JSA for specific pump pipe adapters</t>
  </si>
  <si>
    <t>01/31/2017</t>
  </si>
  <si>
    <t>project orientation for each employee prior to starting work on new projects</t>
  </si>
  <si>
    <t>JSA template for on the job equipment moves. Safety Alert - When JSA appropriate</t>
  </si>
  <si>
    <t>post job specific hazards on all vessels and support equipment on project</t>
  </si>
  <si>
    <t>Remind Captain / Crane Operators to complete a JSA for all support equipment moves; to include (Derrick, Barge, etc..) Fleet and Project wide assessment</t>
  </si>
  <si>
    <t>Instruct Derrick Operator to always cradle the boom of the derrick during transit away from immediate dredge work area. If not, provide reason per crane operator or tug captain for advance approval by dredge manager</t>
  </si>
  <si>
    <t>consult navigation charts or chart plotters per USCG regulations</t>
  </si>
  <si>
    <t>Review Pump Program recommendations for location of Booster 9 behind Dredge Ohio</t>
  </si>
  <si>
    <t>Michael Bermeo</t>
  </si>
  <si>
    <t>10/31/2017</t>
  </si>
  <si>
    <t>Review dig instructions and patterns of lever-man(recommendations on dig method needed?)</t>
  </si>
  <si>
    <t>A - Review Casting/QC Procedures with manufacture 
B - Send damaged pump shell for UT Investigation</t>
  </si>
  <si>
    <t>The operator shall check to ensure the load weight and radius in within the crane capacity chart prior to making any lift.</t>
  </si>
  <si>
    <t>A critical lift plan shall be completed prior to lifting the cube.</t>
  </si>
  <si>
    <t>The hoses connected to the cube shall be aligned parallel to the barge as to prevent the load drifting further away from the crane.  In addition the cube (lifting point) shall be placed as close to the crane as possible prior to rigging and lifting the cube.</t>
  </si>
  <si>
    <t>1- For "deep water vessels", the engineering department will provide an updated survey as and when its available. JSA to confirm that this has been done. An IIF action Alert will be drafted.
2- Site Manager / Safety Department will provide coaching to the Captain and will assist him in writing a JSA for general vessel navigation.</t>
  </si>
  <si>
    <t>JSA to include requesting the dredge crew to provide a safe passage to the dredge for when operating in a confined area</t>
  </si>
  <si>
    <t>Safety accountability and terminate letter to be issued to the boat operator due to negligence</t>
  </si>
  <si>
    <t>02/26/2017</t>
  </si>
  <si>
    <t>Coaching to be provided to all boat operators with respect to safe navigation around site, with emphasis being placed on the use of the technological aids on board, namely the survey positioning computer and the GPS tracker</t>
  </si>
  <si>
    <t>Refrain from using a multibeam boat as a 24 hour crew boat. If a Multibeam boat is to be used as a 24 hour crew boat, only operators who are familiar with the multibeam system and how to protect it should be allowed to operate the boat.</t>
  </si>
  <si>
    <t>Discuss incident with the Captain and Tug Owner.</t>
  </si>
  <si>
    <t>CA did not solve the problem</t>
  </si>
  <si>
    <t>Finalize standard methodology for changing boom assist wire and document in SOP.</t>
  </si>
  <si>
    <t>03/02/2017</t>
  </si>
  <si>
    <t>Update JSA as needed and review RAC Codes.</t>
  </si>
  <si>
    <t>Toolbox updated SOP &amp; JSA with entire crew and distribute</t>
  </si>
  <si>
    <t>Cecil Constanzi</t>
  </si>
  <si>
    <t>Create detailed procedure for recording headlog measurements which will include required materials, wire installation instructions, drawings, data collection methodology and personnel required to be present.  SOP to be included with future drydock specifications as an attachment.</t>
  </si>
  <si>
    <t>Distribute SOP to Maintenance Managers, Mechanical Dredging Division Manager, Mechanical Dredging Division Dredge Manager, Fleet Maintenance Manager and SVP Plant and Equipment</t>
  </si>
  <si>
    <t>Devise Quality Control checks and Quality Control reports for recording headlog measurements and incorporate into SOP for recording headlog measurements.</t>
  </si>
  <si>
    <t>Devise Quality Assurance checks and Quality Assurance reports regarding headlog measurements and incorporate into SOP for recording headlog measurements.</t>
  </si>
  <si>
    <t>Create a Mob/Demob Best Practice Procedure for Fill Site and post to Bullseye-Project Management Folder.</t>
  </si>
  <si>
    <t>06/10/2017</t>
  </si>
  <si>
    <t>Conduct Formal JSA Training with crew</t>
  </si>
  <si>
    <t>Wade Smith</t>
  </si>
  <si>
    <t>Create JSA for working without a spreader and distribute to all GLDD Fill Sites/Foreman.</t>
  </si>
  <si>
    <t>Yard/Bull Gang</t>
  </si>
  <si>
    <t>Review Fill Site Training Presentation.  Post Presentation to Bullseye-Project Management Folder.</t>
  </si>
  <si>
    <t>Written Warning directed to operators to follow dig instructions and procedures</t>
  </si>
  <si>
    <t>Develop pre-job risk assessment for equipment damage due to bucket dig depth and scow draft</t>
  </si>
  <si>
    <t>A grease schematic and checklist needs to be implemented for confirming and verifying the Preventive Maintenance on the equipment</t>
  </si>
  <si>
    <t>Bill Daisey</t>
  </si>
  <si>
    <t>new daily greasing check list should have a signature for both the watch engineer, and the Chief Engineer and/or Site Superintendent to sign for verification that the work is being completed correctly</t>
  </si>
  <si>
    <t>The engineer daily log inspection needs to have temperature readings on the log the same as the other machinery so that the watch engineer has a measurement to know when the bearing is bad</t>
  </si>
  <si>
    <t>The engineers and site superintendent have been made aware to inspect all hydraulic pumps rotation by visually inspecting/checking the arrow rotation of the old pump and the new pump</t>
  </si>
  <si>
    <t>A new proportional relief valve was installed</t>
  </si>
  <si>
    <t>Engine was reworked to fix broken internal piston pins</t>
  </si>
  <si>
    <t>Split equipment into two tows</t>
  </si>
  <si>
    <t>Replaced spud winched with new units and instructed operators to only utilize the new winches to lift the spuds.</t>
  </si>
  <si>
    <t>10/30/2017</t>
  </si>
  <si>
    <t>Create an SOP for Lifting Barge Spuds with Crane.</t>
  </si>
  <si>
    <t>09/05/2018</t>
  </si>
  <si>
    <t>Develop a project specific mooring procedure for securing scows which should be added to the Pre Mob Checklist to ask if the mooring plan is in place prior to starting a project. This mooring plan should detail the minimum requirements for tying up vessels. Specifically, the type of lines to be used, the method of wrapping the line and the number of lines to be used based on the type of vessel being secured. Rental tugs should be required to inform Great Lakes management immediately if they are unable to meet these requirements at any time during the contracted project.</t>
  </si>
  <si>
    <t>03/14/2018</t>
  </si>
  <si>
    <t>The SI severe weather plan should be revised to clearly define at what level of wind speed, in mph, the additional precautions stated in the plan should be implemented.</t>
  </si>
  <si>
    <t>Stephan Brogna</t>
  </si>
  <si>
    <t>12/08/2017</t>
  </si>
  <si>
    <t>Need to add physical means of stopping the engine, such as fuel pump manual shut off(back-up of existing solenoid), fuel shut off valve after secondary filters.</t>
  </si>
  <si>
    <t>Need to modify the present standard job for Engine testing interval from Quarterly to Monthly and review / add the checklist the testing procedure and parameters (Temperature, pressure, RPM).</t>
  </si>
  <si>
    <t>Need to modify the present standard job for Engine testing interval from Quarterly to Monthly and review / add the checklist with testing procedure and parameters.</t>
  </si>
  <si>
    <t>Need to compile Start-up procedure list with necessary pre-start checklist and emergency engine shutting down procedures.</t>
  </si>
  <si>
    <t>remove tug capt. from project as he is deemed unsuitable, capt had already left the site.</t>
  </si>
  <si>
    <t>consult with all parties as to the planning and ensure all agree.</t>
  </si>
  <si>
    <t>08/17/2018</t>
  </si>
  <si>
    <t>Ensure the tug Capt. has a alternate plan in event of sudden adverse weather.</t>
  </si>
  <si>
    <t>Have a JSA training session with the Bullgang</t>
  </si>
  <si>
    <t>12/01/2018</t>
  </si>
  <si>
    <t>Have a training session with the Bullgang on JSA's and review the SALT section on JSA requirements.</t>
  </si>
  <si>
    <t>A JSA done for securing all of the equipment at the end of the day.</t>
  </si>
  <si>
    <t>11/15/2018</t>
  </si>
  <si>
    <t>Prepare action alert for the fleet reviewing hazards of hanging anchors and moving the dredge.  Including hazards such as: ground contact with the anchor, failed rigging, slack in the anchor wire.</t>
  </si>
  <si>
    <t>Updated instructions on the dredges to ensure if a phone call is received from the pilots that the dredge confirms via VHF that all parties are up to date. (call the other dredge and confirm)</t>
  </si>
  <si>
    <t>Addition to Booster placement JSA should be added to entail acknowledgement of hose positions during operation of spuds.</t>
  </si>
  <si>
    <t>06/30/2019</t>
  </si>
  <si>
    <t>Revised JSA to include additional step focused on hose locstion during entire evolution.</t>
  </si>
  <si>
    <t>Hold a meeting with crew about never tying barges steel to steel, no matter how long the barges are expected to be tied together</t>
  </si>
  <si>
    <t>06/10/2019</t>
  </si>
  <si>
    <t>Oak Brook management to have a discussion with design engineers about adding fendering to all new barges moving forward</t>
  </si>
  <si>
    <t>02/20/2019</t>
  </si>
  <si>
    <t>Update SMS Checklist for Tow to verify mooring lines are only tied to proper deck fittings.</t>
  </si>
  <si>
    <t>Christopher M Wire</t>
  </si>
  <si>
    <t>05/29/2019</t>
  </si>
  <si>
    <t>Update SMS Checklist for Tow to include a section to evaluate how a tandem tow is being prepared.</t>
  </si>
  <si>
    <t>Create and distribute an IIF Bulletin detailing mooring lines can only be tied on proper deck fittings.</t>
  </si>
  <si>
    <t>Elevate the accountability consequences for failure to follow and enforce company procedures with respect to hot work operations.</t>
  </si>
  <si>
    <t>Dredge 53 crew to receive training on SMS and hot work permit by site management or SSHO.</t>
  </si>
  <si>
    <t>05/01/2019</t>
  </si>
  <si>
    <t>Train dredge 53 crew using the Hot Work powerpoint and mentor them using the MCIA for this incident by management or SSHO.</t>
  </si>
  <si>
    <t>10/02/2019</t>
  </si>
  <si>
    <t>Create a JSA for operating the A-frame to include testing operation of the limit switch and proximity switch to show they are both operational. Also include a statement that says the winch will not be operated if either of the limit switches are not working. Also install a sign on the winch controls stating the SOP for operating the winch includes testing the operation of both limit switches prior to use.</t>
  </si>
  <si>
    <t>Reinforce with project management team and vessel managers that employees reporting to work need to be fit for duty. Reinforce in Mechanical Fleet SLT and follow up with an email.</t>
  </si>
  <si>
    <t>01/31/2020</t>
  </si>
  <si>
    <t>Develop an standard job to inspect the limit switch and the proximity switch to inspect the condition and operation of the limit switches.</t>
  </si>
  <si>
    <t>Install a proximity sensor at A-frame stops. (redundant mechanical system)</t>
  </si>
  <si>
    <t>Division Management to draft a Operational Guidelines document for Douglas Mackie/Ellis Island</t>
  </si>
  <si>
    <t>09/30/2019</t>
  </si>
  <si>
    <t>Angle sensor to be moved to the top of the gimbal</t>
  </si>
  <si>
    <t>12/01/2019</t>
  </si>
  <si>
    <t>Aluminum bolts and nuts have been ordered for the new head connections.</t>
  </si>
  <si>
    <t>09/23/2019</t>
  </si>
  <si>
    <t>The side mount will be reviewed with the subject matter experts and the survey team in Oakbrook. If decided this is necessary, the side mount can be installed at the next longer dry dock time period.</t>
  </si>
  <si>
    <t>christopher Miller</t>
  </si>
  <si>
    <t>10/29/2020</t>
  </si>
  <si>
    <t>Operator will be given performance accountability and coaching on situational awareness.</t>
  </si>
  <si>
    <t>Add that the depth sounder of the navigation will be the only part of the navigational system turned off to the JSA.</t>
  </si>
  <si>
    <t>08/24/2019</t>
  </si>
  <si>
    <t>Adding that the matrix only be loaded from the main Hypack screen to the JSA. During this time, the boat operator can turn the depth finder back on if not in the channel.</t>
  </si>
  <si>
    <t>08/24/2018</t>
  </si>
  <si>
    <t>Review SALT book and coach of the Captain/Engineers of the expectations to completing/running a survey.</t>
  </si>
  <si>
    <t>01/25/2020</t>
  </si>
  <si>
    <t>Accountability consequences should be assigned to the Supervisor (Watch Engineer) and crew member (Oiler)</t>
  </si>
  <si>
    <t>Install an audible and visual high level alarm to alert operator.</t>
  </si>
  <si>
    <t>10/01/2020</t>
  </si>
  <si>
    <t>Install a high level shutoff switch in the fuel tank.</t>
  </si>
  <si>
    <t>09/03/2020</t>
  </si>
  <si>
    <t>Complete training with all Mechanical Fleet Captains &amp; Chiefs on proper procedure for completing Oil record book.</t>
  </si>
  <si>
    <t>Create appropriate SJ for unit inspection</t>
  </si>
  <si>
    <t>01/23/2021</t>
  </si>
  <si>
    <t>Create appropriate SJ for unit inspection. Check if there are any already implemented SJ's on another Hopper Dredges</t>
  </si>
  <si>
    <t>Implement early stage notification systems such as high temperature alarm.</t>
  </si>
  <si>
    <t>Create detailed SJ with required measurements/readings to be taken during unit inspection.</t>
  </si>
  <si>
    <t>SJ's and SP's to be implemented and utilized on daily basis</t>
  </si>
  <si>
    <t>Crane Operator will be required to attend NCCCO for re-training before operating another crane at GLDD.</t>
  </si>
  <si>
    <t>01/22/2021</t>
  </si>
  <si>
    <t>Develop a policy / procedure to record the installation and removal of any temporary plugs, blanks, etc.</t>
  </si>
  <si>
    <t>Steve Monson</t>
  </si>
  <si>
    <t>01/31/2021</t>
  </si>
  <si>
    <t>Develop a policy / procedure to address the closure of any tank top.  To include a checklist of items such as plugs, vents, debris, tools, etc.  The policy shall address the temporary closure of a tank and third party closures.</t>
  </si>
  <si>
    <t>Write a technote regarding proper survey boat calibration techniques</t>
  </si>
  <si>
    <t>Distribute technote to the engineering division.</t>
  </si>
  <si>
    <t>MCIA Verification Manager</t>
  </si>
  <si>
    <t>Columbia River</t>
  </si>
  <si>
    <t>Booster 9</t>
  </si>
  <si>
    <t>Apache</t>
  </si>
  <si>
    <t>Calcasieu River</t>
  </si>
  <si>
    <t>Cavalier State</t>
  </si>
  <si>
    <t>AB-118</t>
  </si>
  <si>
    <t>Booster Jack</t>
  </si>
  <si>
    <t>Derrick 65</t>
  </si>
  <si>
    <t>Ohio River</t>
  </si>
  <si>
    <t>Dredge-55</t>
  </si>
  <si>
    <t>Unloader #2</t>
  </si>
  <si>
    <t>Commodore</t>
  </si>
  <si>
    <t>0138</t>
  </si>
  <si>
    <t>0142</t>
  </si>
  <si>
    <t>0151</t>
  </si>
  <si>
    <t>0152</t>
  </si>
  <si>
    <t>0170</t>
  </si>
  <si>
    <t>0212</t>
  </si>
  <si>
    <t>0215</t>
  </si>
  <si>
    <t>0216</t>
  </si>
  <si>
    <t>0217</t>
  </si>
  <si>
    <t>0218</t>
  </si>
  <si>
    <t>0243</t>
  </si>
  <si>
    <t>0244</t>
  </si>
  <si>
    <t>0245</t>
  </si>
  <si>
    <t>0303</t>
  </si>
  <si>
    <t>0307</t>
  </si>
  <si>
    <t>0311</t>
  </si>
  <si>
    <t>0316</t>
  </si>
  <si>
    <t>0322</t>
  </si>
  <si>
    <t>0334</t>
  </si>
  <si>
    <t>0341</t>
  </si>
  <si>
    <t>0342</t>
  </si>
  <si>
    <t>0343</t>
  </si>
  <si>
    <t>0354</t>
  </si>
  <si>
    <t>0355</t>
  </si>
  <si>
    <t>0356</t>
  </si>
  <si>
    <t>0357</t>
  </si>
  <si>
    <t>0360</t>
  </si>
  <si>
    <t>0362</t>
  </si>
  <si>
    <t>0363</t>
  </si>
  <si>
    <t>0365</t>
  </si>
  <si>
    <t>0366</t>
  </si>
  <si>
    <t>0367</t>
  </si>
  <si>
    <t>0368</t>
  </si>
  <si>
    <t>0369</t>
  </si>
  <si>
    <t>0371</t>
  </si>
  <si>
    <t>0372</t>
  </si>
  <si>
    <t>0373</t>
  </si>
  <si>
    <t>0375</t>
  </si>
  <si>
    <t>0377</t>
  </si>
  <si>
    <t>0382</t>
  </si>
  <si>
    <t>0390</t>
  </si>
  <si>
    <t>0391</t>
  </si>
  <si>
    <t>0392</t>
  </si>
  <si>
    <t>0394</t>
  </si>
  <si>
    <t>0395</t>
  </si>
  <si>
    <t>0396</t>
  </si>
  <si>
    <t>0397</t>
  </si>
  <si>
    <t>0411</t>
  </si>
  <si>
    <t>0412</t>
  </si>
  <si>
    <t>0413</t>
  </si>
  <si>
    <t>0414</t>
  </si>
  <si>
    <t>0431</t>
  </si>
  <si>
    <t>0452</t>
  </si>
  <si>
    <t>0461</t>
  </si>
  <si>
    <t>0463</t>
  </si>
  <si>
    <t>0467</t>
  </si>
  <si>
    <t>0468</t>
  </si>
  <si>
    <t>0469</t>
  </si>
  <si>
    <t>0471</t>
  </si>
  <si>
    <t>0472</t>
  </si>
  <si>
    <t>0506</t>
  </si>
  <si>
    <t>0512</t>
  </si>
  <si>
    <t>0515</t>
  </si>
  <si>
    <t>0516</t>
  </si>
  <si>
    <t>0517</t>
  </si>
  <si>
    <t>0520</t>
  </si>
  <si>
    <t>0519</t>
  </si>
  <si>
    <t>0522</t>
  </si>
  <si>
    <t>0524</t>
  </si>
  <si>
    <t>0531</t>
  </si>
  <si>
    <t>0533</t>
  </si>
  <si>
    <t>0535</t>
  </si>
  <si>
    <t>0537</t>
  </si>
  <si>
    <t>0540</t>
  </si>
  <si>
    <t>0541</t>
  </si>
  <si>
    <t>0542</t>
  </si>
  <si>
    <t>0543</t>
  </si>
  <si>
    <t>0544</t>
  </si>
  <si>
    <t>0545</t>
  </si>
  <si>
    <t>0546</t>
  </si>
  <si>
    <t>0547</t>
  </si>
  <si>
    <t>0548</t>
  </si>
  <si>
    <t>0560</t>
  </si>
  <si>
    <t>0562</t>
  </si>
  <si>
    <t>0563</t>
  </si>
  <si>
    <t>0564</t>
  </si>
  <si>
    <t>0566</t>
  </si>
  <si>
    <t>0569</t>
  </si>
  <si>
    <t>0570</t>
  </si>
  <si>
    <t>0571</t>
  </si>
  <si>
    <t>0572</t>
  </si>
  <si>
    <t>0573</t>
  </si>
  <si>
    <t>0574</t>
  </si>
  <si>
    <t>0575</t>
  </si>
  <si>
    <t>0576</t>
  </si>
  <si>
    <t>0577</t>
  </si>
  <si>
    <t>0578</t>
  </si>
  <si>
    <t>0579</t>
  </si>
  <si>
    <t>Dredge-53</t>
  </si>
  <si>
    <t>Dredge-54</t>
  </si>
  <si>
    <t>Dredge-58</t>
  </si>
  <si>
    <t>Newbuild Hopper</t>
  </si>
  <si>
    <t>Rock Install Vessel</t>
  </si>
  <si>
    <t>Jack</t>
  </si>
  <si>
    <t>Jessie</t>
  </si>
  <si>
    <t>Reggie</t>
  </si>
  <si>
    <t>Erin</t>
  </si>
  <si>
    <t>Buster</t>
  </si>
  <si>
    <t>Texas JR</t>
  </si>
  <si>
    <t>Captain Barney</t>
  </si>
  <si>
    <t>Fuel Barge 1001</t>
  </si>
  <si>
    <t>Fuel Barge 1002</t>
  </si>
  <si>
    <t>Fuel Barge 1003</t>
  </si>
  <si>
    <t>Lake Michigan</t>
  </si>
  <si>
    <t>D.B. Mackie</t>
  </si>
  <si>
    <t>PR Dickinson</t>
  </si>
  <si>
    <t>Brangus</t>
  </si>
  <si>
    <t>Richard M Lowry</t>
  </si>
  <si>
    <t>McCormack Boys</t>
  </si>
  <si>
    <t>Plametto State</t>
  </si>
  <si>
    <t>Evergreen State</t>
  </si>
  <si>
    <t>Volunteer State</t>
  </si>
  <si>
    <t>Tarheel State</t>
  </si>
  <si>
    <t>Hoosier State</t>
  </si>
  <si>
    <t>Lake Tahoe</t>
  </si>
  <si>
    <t>Lone Star State</t>
  </si>
  <si>
    <t>Multi-Cat 01</t>
  </si>
  <si>
    <t>Multi-Cat 02</t>
  </si>
  <si>
    <t>West Bay</t>
  </si>
  <si>
    <t>Cooper River</t>
  </si>
  <si>
    <t>St Johns River</t>
  </si>
  <si>
    <t>Muskegon River</t>
  </si>
  <si>
    <t>Saginaw River</t>
  </si>
  <si>
    <t>St. Louis River</t>
  </si>
  <si>
    <t>Wolf River</t>
  </si>
  <si>
    <t>York River</t>
  </si>
  <si>
    <t>East River</t>
  </si>
  <si>
    <t xml:space="preserve">Miami River </t>
  </si>
  <si>
    <t>Colorado River</t>
  </si>
  <si>
    <t>Potomac River</t>
  </si>
  <si>
    <t>Pearl River</t>
  </si>
  <si>
    <t>South Bay</t>
  </si>
  <si>
    <t>Sandusky Bay</t>
  </si>
  <si>
    <t>Winyah Bay</t>
  </si>
  <si>
    <t>Hamby Pond</t>
  </si>
  <si>
    <t>Raritan Bay</t>
  </si>
  <si>
    <t>Galveston Bay</t>
  </si>
  <si>
    <t>Chesapeake Bay</t>
  </si>
  <si>
    <t>Sturgeon Bay</t>
  </si>
  <si>
    <t>GL-601 Scow</t>
  </si>
  <si>
    <t>GL-602 Scow</t>
  </si>
  <si>
    <t>GL-603 Scow</t>
  </si>
  <si>
    <t>GL-604 Scow</t>
  </si>
  <si>
    <t>GL-31 Scow</t>
  </si>
  <si>
    <t>GL-501 Scow</t>
  </si>
  <si>
    <t>GL-502 Scow</t>
  </si>
  <si>
    <t>GL-61 Scow</t>
  </si>
  <si>
    <t>GL-63 Scow</t>
  </si>
  <si>
    <t>GL-64 Scow</t>
  </si>
  <si>
    <t>GL-66 Scow</t>
  </si>
  <si>
    <t>GL-65 Scow</t>
  </si>
  <si>
    <t>GL-67 Scow</t>
  </si>
  <si>
    <t>GL-68 Scow</t>
  </si>
  <si>
    <t>GL-69 Scow</t>
  </si>
  <si>
    <t>GL-701 Scow</t>
  </si>
  <si>
    <t>GL-702 Scow</t>
  </si>
  <si>
    <t>GL-117 Deck Barge</t>
  </si>
  <si>
    <t>GL-123 Deck Barge</t>
  </si>
  <si>
    <t>GL-126 Deck Barge</t>
  </si>
  <si>
    <t>GL-127 Deck Barge</t>
  </si>
  <si>
    <t>GL-128 Deck Barge</t>
  </si>
  <si>
    <t>GL-129 Deck Barge</t>
  </si>
  <si>
    <t>GL-146 Deck Barge</t>
  </si>
  <si>
    <t>GL-148 Deck Barge</t>
  </si>
  <si>
    <t>GL-150 Deck Barge</t>
  </si>
  <si>
    <t>GL-173 Deck Barge</t>
  </si>
  <si>
    <t>GL-175 Spider Barge</t>
  </si>
  <si>
    <t>GL-177 Spud Barge</t>
  </si>
  <si>
    <t>GLDD-537-BH</t>
  </si>
  <si>
    <t>GL-182 Deck Barge</t>
  </si>
  <si>
    <t>GL-183 Deck Barge</t>
  </si>
  <si>
    <t>DB-184</t>
  </si>
  <si>
    <t>DB-185</t>
  </si>
  <si>
    <t>DB-186</t>
  </si>
  <si>
    <t>DB-187</t>
  </si>
  <si>
    <t>GL-160 Skidder Barge</t>
  </si>
  <si>
    <t>GL-161 Skidder Barge</t>
  </si>
  <si>
    <t>GL-162 Skidder Barge</t>
  </si>
  <si>
    <t>GL-101 Anchor Barge</t>
  </si>
  <si>
    <t>GL-102 Anchor Barge</t>
  </si>
  <si>
    <t>GL-103 Anchor Barge</t>
  </si>
  <si>
    <t>GL-107 Anchor Barge</t>
  </si>
  <si>
    <t>GL-111 Anchor Barge</t>
  </si>
  <si>
    <t>GL-104 Anchor Barge</t>
  </si>
  <si>
    <t>AB-113</t>
  </si>
  <si>
    <t>AB-114</t>
  </si>
  <si>
    <t>AB-115</t>
  </si>
  <si>
    <t>GL-109 Anchor Barge</t>
  </si>
  <si>
    <t>GL-110 Anchor Barge</t>
  </si>
  <si>
    <t>AB-116</t>
  </si>
  <si>
    <t>GL-112 Anchor Barge</t>
  </si>
  <si>
    <t>AB-119</t>
  </si>
  <si>
    <t>AB-120</t>
  </si>
  <si>
    <t>AB0117</t>
  </si>
  <si>
    <t>0584</t>
  </si>
  <si>
    <t>0585</t>
  </si>
  <si>
    <t>0591</t>
  </si>
  <si>
    <t>0592</t>
  </si>
  <si>
    <t>0594</t>
  </si>
  <si>
    <t>0601</t>
  </si>
  <si>
    <t>0602</t>
  </si>
  <si>
    <t>0603</t>
  </si>
  <si>
    <t>0604</t>
  </si>
  <si>
    <t>0605</t>
  </si>
  <si>
    <t>0606</t>
  </si>
  <si>
    <t>0607</t>
  </si>
  <si>
    <t>0608</t>
  </si>
  <si>
    <t>0609</t>
  </si>
  <si>
    <t>0610</t>
  </si>
  <si>
    <t>0611</t>
  </si>
  <si>
    <t>0615</t>
  </si>
  <si>
    <t>0620</t>
  </si>
  <si>
    <t>0622</t>
  </si>
  <si>
    <t>0623</t>
  </si>
  <si>
    <t>0624</t>
  </si>
  <si>
    <t>0625</t>
  </si>
  <si>
    <t>K5 4002 Spud Barge</t>
  </si>
  <si>
    <t>GLDD-585-BH</t>
  </si>
  <si>
    <t>GL-142 Idler Barge</t>
  </si>
  <si>
    <t>GL-143 Spud Barge</t>
  </si>
  <si>
    <t>GL-141 Idler Barge</t>
  </si>
  <si>
    <t>G.L.10</t>
  </si>
  <si>
    <t>Derrick 60</t>
  </si>
  <si>
    <t>Derrick 71</t>
  </si>
  <si>
    <t>Derrick 62</t>
  </si>
  <si>
    <t>Derrick 72</t>
  </si>
  <si>
    <t>Derrick 64</t>
  </si>
  <si>
    <t>Derrick 66</t>
  </si>
  <si>
    <t>Drrick 73</t>
  </si>
  <si>
    <t>Derrick 68</t>
  </si>
  <si>
    <t>Derrick 69</t>
  </si>
  <si>
    <t>Derrick 70</t>
  </si>
  <si>
    <t>MB 1700</t>
  </si>
  <si>
    <t>Crane 1</t>
  </si>
  <si>
    <t>Crane 6</t>
  </si>
  <si>
    <t>Crane 22</t>
  </si>
  <si>
    <t>Crane 8</t>
  </si>
  <si>
    <t>Derrick 74</t>
  </si>
  <si>
    <t>Derrick 75</t>
  </si>
  <si>
    <t>0626</t>
  </si>
  <si>
    <t>0627</t>
  </si>
  <si>
    <t>0631</t>
  </si>
  <si>
    <t>0633</t>
  </si>
  <si>
    <t>0639</t>
  </si>
  <si>
    <t>0690</t>
  </si>
  <si>
    <t>0691</t>
  </si>
  <si>
    <t>0692</t>
  </si>
  <si>
    <t>0701</t>
  </si>
  <si>
    <t>0703</t>
  </si>
  <si>
    <t>0704</t>
  </si>
  <si>
    <t>0706</t>
  </si>
  <si>
    <t>0708</t>
  </si>
  <si>
    <t>0709</t>
  </si>
  <si>
    <t>0710</t>
  </si>
  <si>
    <t>0711</t>
  </si>
  <si>
    <t>0712</t>
  </si>
  <si>
    <t>0713</t>
  </si>
  <si>
    <t>0714</t>
  </si>
  <si>
    <t>0715</t>
  </si>
  <si>
    <t>0716</t>
  </si>
  <si>
    <t>0717</t>
  </si>
  <si>
    <t>0718</t>
  </si>
  <si>
    <t>0719</t>
  </si>
  <si>
    <t>Derrick 76</t>
  </si>
  <si>
    <t>Derrick 77</t>
  </si>
  <si>
    <t>Grove RT880 Crane</t>
  </si>
  <si>
    <t>Crane 7</t>
  </si>
  <si>
    <t>Crane 17</t>
  </si>
  <si>
    <t>Cat 336EL Excavator</t>
  </si>
  <si>
    <t>Cat 390 Excavator</t>
  </si>
  <si>
    <t>Excavator GL-692</t>
  </si>
  <si>
    <t>Air Compressors</t>
  </si>
  <si>
    <t>Pump</t>
  </si>
  <si>
    <t>Welders</t>
  </si>
  <si>
    <t>Misc Equip</t>
  </si>
  <si>
    <t>Utility Vehicles</t>
  </si>
  <si>
    <t>OFC Dump Shack</t>
  </si>
  <si>
    <t>G.L. 710 PO Cube</t>
  </si>
  <si>
    <t>G.L. 711 PO Cube</t>
  </si>
  <si>
    <t>G.L. 712 PO Cube</t>
  </si>
  <si>
    <t>Survey Equip</t>
  </si>
  <si>
    <t>G.L. 714 PO Cube</t>
  </si>
  <si>
    <t>G.L. 715 PO Cube</t>
  </si>
  <si>
    <t>G.L. 716 PO Cube</t>
  </si>
  <si>
    <t>G.L. 717 PO Cube</t>
  </si>
  <si>
    <t>G.L. 718 PO Cube</t>
  </si>
  <si>
    <t>G.L. 719 PO Cube</t>
  </si>
  <si>
    <t>0735</t>
  </si>
  <si>
    <t>0736</t>
  </si>
  <si>
    <t>0761</t>
  </si>
  <si>
    <t>0771</t>
  </si>
  <si>
    <t>0772</t>
  </si>
  <si>
    <t>R004</t>
  </si>
  <si>
    <t>R010</t>
  </si>
  <si>
    <t>R011</t>
  </si>
  <si>
    <t>R012</t>
  </si>
  <si>
    <t>R013</t>
  </si>
  <si>
    <t>R015</t>
  </si>
  <si>
    <t>R017</t>
  </si>
  <si>
    <t>R018</t>
  </si>
  <si>
    <t>R019</t>
  </si>
  <si>
    <t>R030</t>
  </si>
  <si>
    <t>R031</t>
  </si>
  <si>
    <t>R032</t>
  </si>
  <si>
    <t>G.L. 735 PO Cube</t>
  </si>
  <si>
    <t xml:space="preserve">G.L. 736 PO Cube </t>
  </si>
  <si>
    <t>Drill Rig</t>
  </si>
  <si>
    <t>Survey Crab 2</t>
  </si>
  <si>
    <t>Survey Crab 3</t>
  </si>
  <si>
    <t>Iowa</t>
  </si>
  <si>
    <t>Sandpiper</t>
  </si>
  <si>
    <t>L.W.</t>
  </si>
  <si>
    <t>L.P.</t>
  </si>
  <si>
    <t>Little Rock</t>
  </si>
  <si>
    <t>Chris L</t>
  </si>
  <si>
    <t>Booster R030-22</t>
  </si>
  <si>
    <t>Booster R031-22</t>
  </si>
  <si>
    <t>Booster R032-20</t>
  </si>
  <si>
    <t>Lake Lady</t>
  </si>
  <si>
    <t>Maggie</t>
  </si>
  <si>
    <t>R033</t>
  </si>
  <si>
    <t>R034</t>
  </si>
  <si>
    <t>R035</t>
  </si>
  <si>
    <t>R036</t>
  </si>
  <si>
    <t>R037</t>
  </si>
  <si>
    <t>R038</t>
  </si>
  <si>
    <t>R039</t>
  </si>
  <si>
    <t>R040</t>
  </si>
  <si>
    <t>R041</t>
  </si>
  <si>
    <t>R042</t>
  </si>
  <si>
    <t>R043</t>
  </si>
  <si>
    <t>R044</t>
  </si>
  <si>
    <t>R045</t>
  </si>
  <si>
    <t>R046</t>
  </si>
  <si>
    <t>R047</t>
  </si>
  <si>
    <t>R051</t>
  </si>
  <si>
    <t>R057</t>
  </si>
  <si>
    <t>R058</t>
  </si>
  <si>
    <t>R060</t>
  </si>
  <si>
    <t>R061</t>
  </si>
  <si>
    <t>R062</t>
  </si>
  <si>
    <t>R063</t>
  </si>
  <si>
    <t>R064</t>
  </si>
  <si>
    <t>R065</t>
  </si>
  <si>
    <t>R067</t>
  </si>
  <si>
    <t>Booster R033-20</t>
  </si>
  <si>
    <t>Booster R034-20</t>
  </si>
  <si>
    <t>Booster R035-20</t>
  </si>
  <si>
    <t>Booster R036-20</t>
  </si>
  <si>
    <t>Booster R044-20</t>
  </si>
  <si>
    <t>Booster R045-20</t>
  </si>
  <si>
    <t>Booster R037</t>
  </si>
  <si>
    <t>Booster R038-18</t>
  </si>
  <si>
    <t>Booster R039</t>
  </si>
  <si>
    <t>Booster R040</t>
  </si>
  <si>
    <t>Booster R041</t>
  </si>
  <si>
    <t>Booster R042</t>
  </si>
  <si>
    <t>Booster R043</t>
  </si>
  <si>
    <t>Booster R046-18</t>
  </si>
  <si>
    <t>Booster R047-08</t>
  </si>
  <si>
    <t>Fort Smith</t>
  </si>
  <si>
    <t>White River</t>
  </si>
  <si>
    <t>Captain Zed</t>
  </si>
  <si>
    <t>Farm Boy</t>
  </si>
  <si>
    <t>Plow Boy</t>
  </si>
  <si>
    <t>Chore Boy</t>
  </si>
  <si>
    <t>Uniserve</t>
  </si>
  <si>
    <t>Arkansas</t>
  </si>
  <si>
    <t>Missouri</t>
  </si>
  <si>
    <t>Delaware Bay</t>
  </si>
  <si>
    <t>Plant</t>
  </si>
  <si>
    <t>DO NOT MOVE OR CHANGE</t>
  </si>
  <si>
    <t>Gear Box</t>
  </si>
  <si>
    <t>Tagline/Boom Assist</t>
  </si>
  <si>
    <t>A-Frame (Wires, Winch, etc)</t>
  </si>
  <si>
    <t>Structural damage/cracks on hog wire anchors</t>
  </si>
  <si>
    <t>brake pins damaged</t>
  </si>
  <si>
    <t>Pump Bearing</t>
  </si>
  <si>
    <t xml:space="preserve">Line Shaft Bearing  </t>
  </si>
  <si>
    <t>Replacement of Cutter gearbox HS input shaft bearings &amp; HS Intermediate shaft bearings.</t>
  </si>
  <si>
    <t>No Findings entered</t>
  </si>
  <si>
    <t>Quotes to remove and install new back stay dead end deck</t>
  </si>
  <si>
    <t>change inboard brake band ( working brake band)</t>
  </si>
  <si>
    <t xml:space="preserve">band had broke on the dead end portion of band about 2 inches from clevis pin hole
brake was straight across band, meaning there no side trust on band. also found a keeper missing for clevis pin </t>
  </si>
  <si>
    <t>Trouble-shoot boom motor getting hot / smoking</t>
  </si>
  <si>
    <t>BOOM NOT REACTING PROPERLY
WHEN OPERATOR BOOM UP THE BOOM WOULD SLOWLY GO DOWN
WHILE TROUBLE SHOOTING IT WAS NOTICED THE THE BOOM MOTOR WAS SMOKING AND VERY HOT</t>
  </si>
  <si>
    <t>Y</t>
  </si>
  <si>
    <t>the cracks on the bow at the tub base are flexing and opening up. also excessive movement in the rail and popping sounds. Welding</t>
  </si>
  <si>
    <t>Jax Yard Marina Damage</t>
  </si>
  <si>
    <t>04/02/2021</t>
  </si>
  <si>
    <t>James Woodell was on the crew/deck boat supervising the operation.
Fabian Lozano was the mate on the Plowboy directly on the port side of the crane barge as the signal person.
Ricky Crayton was the mate on the Plowboy assisting with connecting the float hose together.
Kessel Ebanks was the crane operator in the Omega Crane.</t>
  </si>
  <si>
    <t>PTP - Pre-Task Planning, Company Policy, Stop Work</t>
  </si>
  <si>
    <t>01/31/2022</t>
  </si>
  <si>
    <t>Crane operator must complete NCCCO certification for a Telescopic Boom Crane - Swing Cab (TLL)</t>
  </si>
  <si>
    <t>06/30/2021</t>
  </si>
  <si>
    <t>Stern spud wire broke</t>
  </si>
  <si>
    <t>MCC / Switch Gear</t>
  </si>
  <si>
    <t>bucket fell in scow (full load) drives tripped. troubleshooting. changed 2 blown fuses on closer, test. issue with holder drum not turning/inspected and found broken shaft on holder gearbox</t>
  </si>
  <si>
    <t>pump liner wore out</t>
  </si>
  <si>
    <t>Spud (Stern) Bottom Wire Change</t>
  </si>
  <si>
    <t>stbd bottom spud wire failed, prematurely 
decided to replace stern spud bottom wire, due to its difficult to lift spud using our crane if need be</t>
  </si>
  <si>
    <t>Install new liner in #2 pump / Oak Island N.C.</t>
  </si>
  <si>
    <t>Weeks liner installed 
having problems with adjustment / adjustment froze up 
new liners die first week in May 2021</t>
  </si>
  <si>
    <t>&lt;-- (Arbitrary numbers for analysis purposes only)</t>
  </si>
  <si>
    <t>GL10 Idler Barge</t>
  </si>
  <si>
    <t>05/11/2021</t>
  </si>
  <si>
    <t>084815</t>
  </si>
  <si>
    <t>Jose Gracia, Brian Bickford</t>
  </si>
  <si>
    <t>05/05/2021</t>
  </si>
  <si>
    <t>Dredge and GL10 normal dredging operations</t>
  </si>
  <si>
    <t>Bearing failure normal Dredging operation</t>
  </si>
  <si>
    <t>Ellis Island Miss Dump</t>
  </si>
  <si>
    <t>05/21/2021</t>
  </si>
  <si>
    <t>Crystopher Barnett</t>
  </si>
  <si>
    <t>George Strawn, James M Walker, Chris Roberts, Garrett Gibson</t>
  </si>
  <si>
    <t>0130</t>
  </si>
  <si>
    <t>Vessel was operational with full crew</t>
  </si>
  <si>
    <t>Vessel was in transit from dredging area to the disposal area. Vessel was operating as ATB with no other support equipment</t>
  </si>
  <si>
    <t>After observing alarm crew pressed bottom dump cylinder back up to close bottom dump doors</t>
  </si>
  <si>
    <t>Create SJ to inspect/clean the heat exchanger that will allow the crew to replace the Zinc anodes on a frequent basis.</t>
  </si>
  <si>
    <t>Stephen Bugnaski</t>
  </si>
  <si>
    <t>07/01/2021</t>
  </si>
  <si>
    <t>Mike Huebsch</t>
  </si>
  <si>
    <t>A load indicator must be installed on the crane</t>
  </si>
  <si>
    <t>GL10</t>
  </si>
  <si>
    <t>winch issues</t>
  </si>
  <si>
    <t>Gearbox repair.</t>
  </si>
  <si>
    <t>EDL Data Tab Ref</t>
  </si>
  <si>
    <t>Remove and reinstall UWP gear case top cover</t>
  </si>
  <si>
    <t xml:space="preserve">Discover that the port speed pinon shaft bearings are lock and they are wearing out </t>
  </si>
  <si>
    <t>Engine / Motor</t>
  </si>
  <si>
    <t>spring bearing</t>
  </si>
  <si>
    <t>engine overheated and shut down again. Replace Stbd Turbo</t>
  </si>
  <si>
    <t>Stbd main pump gear box and shafting</t>
  </si>
  <si>
    <t xml:space="preserve">With the new set up on the Jessie there are couplings that are suppose to let shaft slide . The coupling is not suppose to corrode or rust but it had become so rusted that it did not slide. There was to much load placed on the thrust bearing for gear box so it failed. A line has been added into the work order to take coupling apart and inspect them every time the thrust bearing is moved. </t>
  </si>
  <si>
    <t>Liberty Island Main STBD Engine Turbo Failure</t>
  </si>
  <si>
    <t>06/08/2021</t>
  </si>
  <si>
    <t>072759</t>
  </si>
  <si>
    <t>George Strawn, Mike Kraljevic, James M Walker, Chris Roberts</t>
  </si>
  <si>
    <t>Michael Las Dulce</t>
  </si>
  <si>
    <t>Stbd M/E running</t>
  </si>
  <si>
    <t>Turbo</t>
  </si>
  <si>
    <t>Change top spud wire</t>
  </si>
  <si>
    <t xml:space="preserve">Annual wire change due, and also replaced adjustment bolts with new and new pin
  While installing the wedge in the wedge socket night crew dropped wedge overboard. no spear onboard, had to fly a wedge in from the Dredge 53  </t>
  </si>
  <si>
    <t>Install new spring bearing insert</t>
  </si>
  <si>
    <t>bearing failed due to oil cooler raw water feed being plugged with mud.</t>
  </si>
  <si>
    <t>REPLACE SME INBOARD TURBO CHARGER</t>
  </si>
  <si>
    <t>NEW TURBO:     PART NUMBER: 189-4427
                           SER NUMBER     T25405 514369
ENGINE HOURS WHEN REPLACED: 114,880 HRS
FOUND METAL IN EXHAUST UPTAKE
FOUND EXCESSIVE OIL AND METAL ON AFTER COOLERS, REPLACED FORE AND AFT AFTER COOLERS
FAILED TURBO SENT BACK TO ABB
AFTER COOLERS SENT TO GLDD YARD, WAITING FOR QUOTES TO HAVE CLEANED AND PRESSURE TESTED.</t>
  </si>
  <si>
    <t>Dredge Pump (Stbd) remove and replace crack shell</t>
  </si>
  <si>
    <t>The pump shell cracked while pumping. 
Cleaned the line using the port pump and shut down to replace the shell.
Pump shell changed out, gaskets and O-ring replaced.  ordered new shell to have spare</t>
  </si>
  <si>
    <t>Dredge Pump (Stbd) Replace shell</t>
  </si>
  <si>
    <t xml:space="preserve">Pump shell cracked at the trunk while digging as a result of a miss alignment of the elbow to the pump shell
installed a shell the Buster had on hand and ordered another for them against the carolina 
After install the miss alignment was clean and elbow was cut in order to realign the pump.  </t>
  </si>
  <si>
    <t xml:space="preserve">Thrust Bearing  </t>
  </si>
  <si>
    <t>Inspect and clean thrust bearing &amp; add 2nd heat exchanger</t>
  </si>
  <si>
    <t>No Findings Entered</t>
  </si>
  <si>
    <t>Pass A'Loutre GL 660 Dozer Sinking</t>
  </si>
  <si>
    <t>David Rappe, Garrett Gibson, Dave Allen</t>
  </si>
  <si>
    <t xml:space="preserve">GL 660 was working at spreader location 1 and began to move to spreader location 2.  GL 661 working at spreader location 1.  Marsh buggy not operational.  Komatsu D61 down.  </t>
  </si>
  <si>
    <t>Dozers setup at spreader locations.  As the y-valves were switched, dozers moved over to the current line</t>
  </si>
  <si>
    <t>D6 LGP bulldozer</t>
  </si>
  <si>
    <t>Due to weather and other non-functional equipment, removal of the dozer was delayed.  Eventually, 3 snatch blocks were used in conjunction with the dozers and marsh buggy.  Rain delayed the recovery as the hole where the dozer was consistently filled with water and had to be drained prior to recovery efforts.</t>
  </si>
  <si>
    <t>Take coupling apart, inspect then reassemble after rear main thrust bearing has been moved.</t>
  </si>
  <si>
    <t>When putting back together ensure inserts a serviceable condition, replace if any cracks visible, lubricate, makes rue cover slide over coupling freely.</t>
  </si>
  <si>
    <t>Main Generator Engine</t>
  </si>
  <si>
    <t>governor repair</t>
  </si>
  <si>
    <t>0851204/0851205</t>
  </si>
  <si>
    <t>@ DOCK FOR MAINT. &amp; REPAIRS</t>
  </si>
  <si>
    <t>Replace UWP motor</t>
  </si>
  <si>
    <t>Trouble Shoot Hoist Generator</t>
  </si>
  <si>
    <t xml:space="preserve">Hoist generator not putting out 500 volts. after cleaning brush rigging and commutator generator working properly  </t>
  </si>
  <si>
    <t>Troubleshoot Governor Issues</t>
  </si>
  <si>
    <t>Converted to SO# 1760239:  No Findings Entered</t>
  </si>
  <si>
    <t>Manually open D8 dredge valve. / Troubleshoot why dredge valve D8 isn't opening.</t>
  </si>
  <si>
    <t>Dredge Pump (Port) Rebuild</t>
  </si>
  <si>
    <t>The pump shell cracked while pumping. 
Cleaned the line using the strb  pump and shut down to replace the shell.
Pump shell changed out, gaskets and O-ring replaced.  ordered new shell to have spare</t>
  </si>
  <si>
    <t>Install upgraded Avid Extreme 550 Inverters</t>
  </si>
  <si>
    <t>All inverters replaced in holder drive.</t>
  </si>
  <si>
    <t>Replace ladder pump motor</t>
  </si>
  <si>
    <t xml:space="preserve">Found the windings in the installed motor burnt
Had new motor transferred from Norfolk Yard.
Final alignment numbers are in the attachments. </t>
  </si>
  <si>
    <t>Rebuild Pump</t>
  </si>
  <si>
    <t>Rebuilt bearing housing. Replaced upper/lower bearings and seals, shaft sleeve, cleaned and painted housing
Used 1 inboard grease seal part #13535. (shows none in inventory)</t>
  </si>
  <si>
    <t>Replace stbd jet pump line shaft bearing and install the spare</t>
  </si>
  <si>
    <t>Forward and aft bearing failure on line shaft, some indication that impeller was pinned up against the door after failure. Stuffing box found to be wasted away on the back side due to excessive leakage.</t>
  </si>
  <si>
    <t>Andy Larkin / Brian Goetchius</t>
  </si>
  <si>
    <t>Dave Allen / Joe Gracia</t>
  </si>
  <si>
    <t>Terry Newberry</t>
  </si>
  <si>
    <r>
      <t xml:space="preserve">The drag tender reported down that he couldn't open D8. After verifying that the fuse &amp; sensors were fine, we opened the inspection cover off the valve to do an internal inspection. We identified that the gate was not level, meaning when the valve closed it sat unevenly, causing it to be pinched which restricts it from opening. After draining the water out of the pipe, we removed the plug on the bottom of the valve &amp; used an enerpac to jack the valve open. Once the valve was open, we finished pumping a load. 
Total downtime: 0854-1258 </t>
    </r>
    <r>
      <rPr>
        <sz val="11"/>
        <color rgb="FFFF0000"/>
        <rFont val="Calibri"/>
        <family val="2"/>
        <scheme val="minor"/>
      </rPr>
      <t>(4 hours).</t>
    </r>
    <r>
      <rPr>
        <sz val="11"/>
        <color theme="1"/>
        <rFont val="Calibri"/>
        <family val="2"/>
        <scheme val="minor"/>
      </rPr>
      <t xml:space="preserve">            Again, D8 wouldn't open back up. This time, we LOTO the valve stack for D8 (closed 3 valves). We then bled the pressure off the valve stack. We removed the bottom hydraulic hose to the valve cylinder &amp; plugged it. We installed an enerpac adapter fitting to the bottom cylinder port, in order to manually open the valve with the enerpac. Once the enerpac was hooked up, we opened the valve stack valves. We then manually opened D8. Once opened, we removed the dim plugs off the valve stack so the valve couldn't close. 
Total downtime: 2224-0130 (</t>
    </r>
    <r>
      <rPr>
        <sz val="11"/>
        <color rgb="FFFF0000"/>
        <rFont val="Calibri"/>
        <family val="2"/>
        <scheme val="minor"/>
      </rPr>
      <t>3 hours</t>
    </r>
    <r>
      <rPr>
        <sz val="11"/>
        <color theme="1"/>
        <rFont val="Calibri"/>
        <family val="2"/>
        <scheme val="minor"/>
      </rPr>
      <t>)</t>
    </r>
  </si>
  <si>
    <t># MCIA's started</t>
  </si>
  <si>
    <t># MCIA's completed</t>
  </si>
  <si>
    <t># EDL MM w/ WO#'s</t>
  </si>
  <si>
    <t># EDL MM w/o WO#'s</t>
  </si>
  <si>
    <t># EDL MM entries (&gt;24hrs)</t>
  </si>
  <si>
    <t># MCIA's in progress</t>
  </si>
  <si>
    <t>CA count</t>
  </si>
  <si>
    <t>EDL</t>
  </si>
  <si>
    <t>MCIA</t>
  </si>
  <si>
    <t>check</t>
  </si>
  <si>
    <t># EDL MM w/ MCIA coorelation</t>
  </si>
  <si>
    <t>Calculations - Do not alter</t>
  </si>
  <si>
    <t>Reference</t>
  </si>
  <si>
    <t>EDL Data</t>
  </si>
  <si>
    <t>SafeLyncs - Cases</t>
  </si>
  <si>
    <t>SafeLyncs - Corrective Actions</t>
  </si>
  <si>
    <t>EDL v. SafeLyncs</t>
  </si>
  <si>
    <t>RAM Steering Committee</t>
  </si>
  <si>
    <t>Chris Roberts / Mike Kraljevic</t>
  </si>
  <si>
    <t>Data Point</t>
  </si>
  <si>
    <t># MCIA's Ready for Review</t>
  </si>
  <si>
    <t># MCIA's Ready for Edits</t>
  </si>
  <si>
    <t># MCIA's requiring Corrective Actions Validated</t>
  </si>
  <si>
    <t># EDL MM determined "No" MCIA required</t>
  </si>
  <si>
    <t># EDL MM determined "Yes" MCIA required, not started</t>
  </si>
  <si>
    <t># EDL MM still requiring determination</t>
  </si>
  <si>
    <t>*</t>
  </si>
  <si>
    <t>Sydcarl Thwaits</t>
  </si>
  <si>
    <t>Dr 58 Boom Drop</t>
  </si>
  <si>
    <t>08/01/2021</t>
  </si>
  <si>
    <t>Starboard Main Pump</t>
  </si>
  <si>
    <t>06/15/2021</t>
  </si>
  <si>
    <t>Jose Gracia, Brian Bickford, Tim Riehl</t>
  </si>
  <si>
    <t>Captain
Chief Engineer
Deck Captain
Mates
Crew</t>
  </si>
  <si>
    <t>GL10 is attached to the Dredge Carolina</t>
  </si>
  <si>
    <t>Ordered new pump shell and elbow.</t>
  </si>
  <si>
    <t>Dredge personnel did not foresee the alignment issue on the elbow.  Not sure as to why alignment was not correct.</t>
  </si>
  <si>
    <t>Ladder Pump / Gear Box</t>
  </si>
  <si>
    <t>04/26/2021</t>
  </si>
  <si>
    <t>GL10 is connected to the Dredge Carolina</t>
  </si>
  <si>
    <t>None were involved.</t>
  </si>
  <si>
    <t>Step Back for Safety, Mechanical - SOP</t>
  </si>
  <si>
    <t>Captain heard noise coming from the gear box and investigated.  Maintenance departed shut project down until repairs could be made.</t>
  </si>
  <si>
    <t>Main Pump Thrust Bearings Port side</t>
  </si>
  <si>
    <t>05/28/2021</t>
  </si>
  <si>
    <t>0730</t>
  </si>
  <si>
    <t>Captain
Chief
Deck Captain
Mate
Crew</t>
  </si>
  <si>
    <t>GL10 attached to the Dredge Carolina</t>
  </si>
  <si>
    <t>None Noted.</t>
  </si>
  <si>
    <t>Upgrade the equipment recovery plan to account for 20 ton snatch blocks with shackle type hooks</t>
  </si>
  <si>
    <t>Order new pressure sensors indictors</t>
  </si>
  <si>
    <t>SOP was written for individuals for when they came on shift.</t>
  </si>
  <si>
    <t>Member was written up for actions.</t>
  </si>
  <si>
    <t>Hull</t>
  </si>
  <si>
    <t>Hull / House Repair</t>
  </si>
  <si>
    <t>coast guard inspecting the hull</t>
  </si>
  <si>
    <t>After lightning storm , boom up to swing off deck. Come around to start digging. Had to make a move, after making move went to boom down and boom would not stop.</t>
  </si>
  <si>
    <t>at dock</t>
  </si>
  <si>
    <t>Major Mech. Repair to swing wire hydraulics</t>
  </si>
  <si>
    <t>Swing Sheaves</t>
  </si>
  <si>
    <t>Tree Structure</t>
  </si>
  <si>
    <t>Steering</t>
  </si>
  <si>
    <t>Rudder</t>
  </si>
  <si>
    <t>Converted to SO# 1761962: Please add into the messages or comments or RFQ;
United States Crane (Orlando) visited the dredge and declined the repairs.
WHECO from Charleston wanted the boom to be sent to their shop for repair.
Certified Boom Repair (Tampa) was interested but could not commit for several weeks.
Southern Crane (Houma) looked at the job and can start immediately (please award the PO to them, no need to RFQ)
Once they source and quote the steel required for repairs I will amend this PO.</t>
  </si>
  <si>
    <t>Repair Boom Cords</t>
  </si>
  <si>
    <t>Replace Thrush Washers / Inspect engine components</t>
  </si>
  <si>
    <t>Converted to SO# 1762496:  performed lead test for each cylinder and found unacceptable clearances
no ELECTRICAL  controls or PLC  were checked</t>
  </si>
  <si>
    <t>Dredge at Dock for STB Main HYD Repairs</t>
  </si>
  <si>
    <t>moving to office location for repairs</t>
  </si>
  <si>
    <t>coupler to thrust bearing broke</t>
  </si>
  <si>
    <t>Ladder</t>
  </si>
  <si>
    <t>Wire</t>
  </si>
  <si>
    <t>Ladder wire strarting to part. Changing wire. All stop oder due to lighting</t>
  </si>
  <si>
    <t>underwater pump wont start back up. Waiting on parts.</t>
  </si>
  <si>
    <t>Drive (Motor, Gear Box, etc)</t>
  </si>
  <si>
    <t>CHECKING ON NOISE FFROM ONE OF THE SWINGS ON 996 TAKE SWING MOTOR OFF SWING PLANATERY #111 TO CKECK SUN GEAR</t>
  </si>
  <si>
    <t>Change Stay Wires</t>
  </si>
  <si>
    <t>Wires showed up on project at 15:45 03Sept2021
Day crew removed both port and stbd wires and placed on BTT crane
Night crew set up wire and installed both wires throughout the night installing the last pin at 5:30
Day crew finished up with installing keeper on all pins and and sprayed paint at wire thimble connection</t>
  </si>
  <si>
    <t>Repair stbd pump coupling &amp; Thrust bear replacement</t>
  </si>
  <si>
    <t xml:space="preserve">We found that the coupling seal ring was broken and the coupling engaging teeth were worn off. While the runner was trying to be removed the thrust bearing top cover was lifted by the force of trying to remove the runner.  </t>
  </si>
  <si>
    <t>Port Hyd. Service System: Repair Leak in Piping</t>
  </si>
  <si>
    <t>We were losing oil in the port service system excessively, a leak was foundn the port #1 wing tank void.  The space was properly ventilated, oil was sucked out as best as we could. The sectin of pipe was cut out and a new segment was installed in its place.  The system was tested for leaks, once qualified the system was returned to service.
It is suggested that the PypLOK swage tool is purchased to cut down on down time required to complete this recurring issue.</t>
  </si>
  <si>
    <t>Troubleshoot Swing Gear - Install new Swing gear</t>
  </si>
  <si>
    <t>Completed 
Failed bearing had to be changed
Serialized swing box #4 failed @9,237 hours on unite
Installed serialized swing box #5</t>
  </si>
  <si>
    <t>Dredge Carolina MP Thrust Bearing Coupling</t>
  </si>
  <si>
    <t>09/03/2021</t>
  </si>
  <si>
    <t>GL10 attached to the dredge.</t>
  </si>
  <si>
    <t>Project down for more than 24 hours due to project had to have replacement part trucked from out of state.</t>
  </si>
  <si>
    <t>Tim  Cantwell</t>
  </si>
  <si>
    <t>09/30/2021</t>
  </si>
  <si>
    <t>Discuss importance of not overriding alarms. Dragtenders to begin to keeping running log of outstanding VOSTA issues, including overrides.</t>
  </si>
  <si>
    <t>Draft change alarm added to Hopper Positioning.</t>
  </si>
  <si>
    <t>Pin bottom dump doors for dump runs for the rest of the MOBILE project</t>
  </si>
  <si>
    <t>Not spending the time and money to broadcast the issue to make the decision.</t>
  </si>
  <si>
    <t>SAFELYNCS DATA ONLY:</t>
  </si>
  <si>
    <t>EDL / NS ENTERPRISE DATA</t>
  </si>
  <si>
    <t>SAFELYNCS DATA</t>
  </si>
  <si>
    <t xml:space="preserve">CORRELATED EDL &amp; SAFELYNCS DATA </t>
  </si>
  <si>
    <t>RAM STEERING COMMITTEE DECISION-MAKING</t>
  </si>
  <si>
    <t>Mechanical Seal / Packing will be fixed when new one arrives</t>
  </si>
  <si>
    <t>all wires failed sooner than expected. Have not asked the question about manufacturing. Southwest Wire Rope.</t>
  </si>
  <si>
    <t>RAM Steering Committee comments</t>
  </si>
  <si>
    <t>Failed Heat Exchanger - if repaired twice, needs replacing. Only applicable to ALASKA and ILLINOIS.  Add step to SJ, determine number of times failed prior, at second, replace vice repair.  Check in December if added to SJ.</t>
  </si>
  <si>
    <t>Related to above.</t>
  </si>
  <si>
    <t xml:space="preserve">Proposal in to replace next SY period - </t>
  </si>
  <si>
    <t>Found to be failed linkage on rack to injectors; lack of experience on EMD to recognize</t>
  </si>
  <si>
    <t>Determined MCIA is required; MCIA has not been started yet</t>
  </si>
  <si>
    <t>TCR - The only item I have for this date is that it corresponds to the trunnion repair after the Mate ran into the pumpout barge, impacted by strong St. Johns River current, while digging on the Mayport, FL project. We do not need an MCIA as it was a repair of self-induced damage.</t>
  </si>
  <si>
    <t>TCR - This down time corresponds with a repair / investigation visit from MAK and Beier. MAK was performing a firmware upgrade and Beier was reviewing the DP/DT - ECDIS interface</t>
  </si>
  <si>
    <t>TCR - I think this already has an MCIA from the project site. Can we check? If not the root cause was running agounr in a shallow dig area - See the Damage Report - and the analysis findings from the rudder shop that examined the threads.</t>
  </si>
  <si>
    <t>TCR - This was a planned repair period after we sprung leaks in the leelson jet piping. We took the 2-3 days to perform many repair items. This also occurred while were at the Mayport, FL project</t>
  </si>
  <si>
    <t>TCR - This delay lasted 36 hours. The first 24-hours was the time it took to get another (replacement) O2 meter from the landside support. The space where the leaking pipe occurred was in a Confined Space so there was no action until the meter was received. The last 12 hours was the actual mechanical repair. It did not meet the MCIA level, however, the Division worked with the Safety Department and they are now supplying two o2 meters for each vessel in a set rotation so that 2x units are on hand for at least 10 months out of a year.</t>
  </si>
  <si>
    <t>Not related to EDL delay</t>
  </si>
  <si>
    <t>Taken care of as MCIA case # 391</t>
  </si>
  <si>
    <t>Is this related to MCIA #407 below?  Incident dates are off a few weeks from each other.</t>
  </si>
  <si>
    <t>SWING WINCH HYDRAULIC PUMP ISSUES</t>
  </si>
  <si>
    <t>Stern spud wire about to break</t>
  </si>
  <si>
    <t>Main Engine/Propulsion</t>
  </si>
  <si>
    <t>Ellis Drag Head Computer Fried - Needs to be remoted into</t>
  </si>
  <si>
    <t>STB rudder non-responsive</t>
  </si>
  <si>
    <t>Liberty Island Turbo Failure</t>
  </si>
  <si>
    <t>10/14/2021</t>
  </si>
  <si>
    <t>George Strawn, James M Walker, Chris Roberts, James C Gillespie, Garrett Gibson</t>
  </si>
  <si>
    <t>0430</t>
  </si>
  <si>
    <t>CAT Engine Turbo having 7000 hours use. Normal PM is 18,000 swap out.</t>
  </si>
  <si>
    <t>R032 Booster 3516 engine failure</t>
  </si>
  <si>
    <t>10/25/2021</t>
  </si>
  <si>
    <t>Eric Perez</t>
  </si>
  <si>
    <t>10/31/2020</t>
  </si>
  <si>
    <t>11/15/2021</t>
  </si>
  <si>
    <t>10/20/2021</t>
  </si>
  <si>
    <t>Kelly Briscoe</t>
  </si>
  <si>
    <t>10/18/2021</t>
  </si>
  <si>
    <t>10/30/2021</t>
  </si>
  <si>
    <t>Retrain all crew on the hazards of working in soft material</t>
  </si>
  <si>
    <t>11/10/2021</t>
  </si>
  <si>
    <t>Troubeshoot and repair spud drive</t>
  </si>
  <si>
    <t>Phase A melted on the 480 vac power.
Removed the block assembly and connect the wiring
Reprogrammed the micrologix computer
tested drive</t>
  </si>
  <si>
    <t>Change bottom spud wire</t>
  </si>
  <si>
    <t>wire failed, large bad areas found, requiring wire to be changed</t>
  </si>
  <si>
    <t>Port Main Engine inboard and outboard turbo failure</t>
  </si>
  <si>
    <t>Bearing failure on the left bank turbo (outboard)
Blade damage on the right bank turbo (Inboard)</t>
  </si>
  <si>
    <t>Stbd gimbal wire retrieval</t>
  </si>
  <si>
    <t>Retrieve stbd drgarm after stbd gimbal wire breaks.  Change stbd gimbal wire once dragarm is secure on deck.  Change all other dragarm wires.</t>
  </si>
  <si>
    <t>Troubleshooting P/S Steering Gear Systems rudder control</t>
  </si>
  <si>
    <t>Three of four cylinders has oil leaking pass the piston seals.</t>
  </si>
  <si>
    <t>NONE</t>
  </si>
  <si>
    <t xml:space="preserve"> 1002284</t>
  </si>
  <si>
    <t xml:space="preserve">R032 is a 20" skid mounted 2000hp booster </t>
  </si>
  <si>
    <t>JSA - Job Safety Analysis, SALT - Save A Life Today Rule, SALT Recommended Practice, Life Saving Absolutes</t>
  </si>
  <si>
    <t>Delay Tracker ID #</t>
  </si>
  <si>
    <t>11/30/2021</t>
  </si>
  <si>
    <t>TRIPPING</t>
  </si>
  <si>
    <t>port pump gland seal, went to dock for repairs</t>
  </si>
  <si>
    <t>stardboard side</t>
  </si>
  <si>
    <t>was cleaning out line when steel engine coolant fitting cracked causing antifreeze to leak in engine room. reweld fitting and get back to running</t>
  </si>
  <si>
    <t>Port spud repair</t>
  </si>
  <si>
    <t>Starboard breast wire broke while moving anchors.</t>
  </si>
  <si>
    <t>replace 3 heads on main engine 3516</t>
  </si>
  <si>
    <t>R&amp;L</t>
  </si>
  <si>
    <t>Remove the UWP Motor</t>
  </si>
  <si>
    <t>Impeller - Port dredge pump - Remove &amp; install for gland seal replacement</t>
  </si>
  <si>
    <t>found gland seal leaking water into the bilge</t>
  </si>
  <si>
    <t>Make repairs to swing winch frame</t>
  </si>
  <si>
    <t>Weld cracks in winch foundation</t>
  </si>
  <si>
    <t>Change Wire</t>
  </si>
  <si>
    <t>25Nov2021 - Removed bottom wire from drum, cut into sections as it was lifted from winch room
                      Pulled all slack from top wire from winch and placed on deck behind spud
                      Cleaned winch room in preparation of changing wire
26Nov2021 - Installing emergency lift cylinders
                      Install a new half moon above existing
                      Connect hydraulic hoses and test
27Nov2021 - Divers in the water to retrieve wire
                       Truck with wire delayed
                       Installing bottom stern wire onto port bottom wire 
                       Ordered new wire to replace
                       Task completed around 22:00 and dredge returned to work</t>
  </si>
  <si>
    <t>problem with new swing hydralic going into gear oil</t>
  </si>
  <si>
    <t>Main/Aux Generators</t>
  </si>
  <si>
    <t>PP1</t>
  </si>
  <si>
    <t>spudded down in inner harbor for work to PP1 and Gen 1/inspections</t>
  </si>
  <si>
    <t>fracture in underwater pump</t>
  </si>
  <si>
    <t>Generator #1</t>
  </si>
  <si>
    <t>LOST GENERATOR DUE TO ELECTRICAL TRIP @00:20,SWITCH GENERATOR. BLOWER FOR BOOM ASSIST KEEPS TRIPPING OUT</t>
  </si>
  <si>
    <t>GEARBOX WENT DOWN</t>
  </si>
  <si>
    <t>replace head on main engine</t>
  </si>
  <si>
    <t>Boom Assist Wire</t>
  </si>
  <si>
    <t>Boom assist wire broke</t>
  </si>
  <si>
    <t>Replace stern spud wire</t>
  </si>
  <si>
    <t>022442</t>
  </si>
  <si>
    <t>RR1229</t>
  </si>
  <si>
    <t>015526</t>
  </si>
  <si>
    <t>0646</t>
  </si>
  <si>
    <t>GL 646</t>
  </si>
  <si>
    <t>072445</t>
  </si>
  <si>
    <t>SAVANNAH HARBOR EXPANSION PROJECT (SHEP)</t>
  </si>
  <si>
    <t>G.L. 175</t>
  </si>
  <si>
    <t>022582</t>
  </si>
  <si>
    <t>AL NASEEM CENTRAL &amp; EASTERN CHNL DREDGIN</t>
  </si>
  <si>
    <t>Booster #9</t>
  </si>
  <si>
    <t>072464</t>
  </si>
  <si>
    <t>015607</t>
  </si>
  <si>
    <t>PHILADELPHIA NAVAL  RESERVE BASIN MAINT.</t>
  </si>
  <si>
    <t>GL 54</t>
  </si>
  <si>
    <t>015516</t>
  </si>
  <si>
    <t>084379</t>
  </si>
  <si>
    <t>072527</t>
  </si>
  <si>
    <t>DUVAL COUNTY SHORE  PROTECTTION 2016</t>
  </si>
  <si>
    <t>Misc. Equip</t>
  </si>
  <si>
    <t>000000</t>
  </si>
  <si>
    <t>Off Project</t>
  </si>
  <si>
    <t>GL 55</t>
  </si>
  <si>
    <t>015591</t>
  </si>
  <si>
    <t>BALTIMORE HARBOR &amp;  CHANNELS - MAINT.DRG</t>
  </si>
  <si>
    <t>015664</t>
  </si>
  <si>
    <t>G.L. 63</t>
  </si>
  <si>
    <t>072446</t>
  </si>
  <si>
    <t>TAMPA HARBOR        MAINTENANCE DREDGING</t>
  </si>
  <si>
    <t>Lady Theo</t>
  </si>
  <si>
    <t>015681</t>
  </si>
  <si>
    <t>015578</t>
  </si>
  <si>
    <t>DELAWARE RIVER ROCK REACH B</t>
  </si>
  <si>
    <t>G.L. 702</t>
  </si>
  <si>
    <t>072561</t>
  </si>
  <si>
    <t>MOREHEAD CITY HARBOR&amp; CUTOFF ANGLE MAINT</t>
  </si>
  <si>
    <t>015654</t>
  </si>
  <si>
    <t>BALTIMORE HARBOR &amp;CHANNELS - MAINT DRG.</t>
  </si>
  <si>
    <t>Unloader No. 2</t>
  </si>
  <si>
    <t>015661</t>
  </si>
  <si>
    <t>UPPER CHESAPEAKE BAY MAINT.DREDGING 2017</t>
  </si>
  <si>
    <t>G.L. 64</t>
  </si>
  <si>
    <t>015656</t>
  </si>
  <si>
    <t>RR1244</t>
  </si>
  <si>
    <t>CHARLOTTE COUNTY EROSION CONTROL</t>
  </si>
  <si>
    <t>COMMODORE</t>
  </si>
  <si>
    <t>072506</t>
  </si>
  <si>
    <t>DARE COUNTY BEACH   RENOURISHMENT</t>
  </si>
  <si>
    <t>Crab-3</t>
  </si>
  <si>
    <t>072553</t>
  </si>
  <si>
    <t>MATOC TASK ORDER - US NAVAL ST. MAYPORT</t>
  </si>
  <si>
    <t>G.L. 65</t>
  </si>
  <si>
    <t>072571</t>
  </si>
  <si>
    <t>MYRTLE BEACH REACH 1&amp; 3 -BCH.RENOUR.2017</t>
  </si>
  <si>
    <t>G.L. 111</t>
  </si>
  <si>
    <t>084414</t>
  </si>
  <si>
    <t>NRDA Caillou Lake Headlands; LA</t>
  </si>
  <si>
    <t>015675</t>
  </si>
  <si>
    <t>PHILA TO THE SEA    MAINTENANCE DREDGING</t>
  </si>
  <si>
    <t>015666</t>
  </si>
  <si>
    <t>BOSTON HARBOR CAD CELL</t>
  </si>
  <si>
    <t>RR1201</t>
  </si>
  <si>
    <t>DOUBLE CREEK MAINT. DREDGING 2017</t>
  </si>
  <si>
    <t>015719</t>
  </si>
  <si>
    <t>MANHATTAN CRUISE TERMINAL- MAINT.DREDG.</t>
  </si>
  <si>
    <t>015724</t>
  </si>
  <si>
    <t>UPPER CHESAPEAKE    MAINTENANCE DREDGING</t>
  </si>
  <si>
    <t>084569</t>
  </si>
  <si>
    <t>0150</t>
  </si>
  <si>
    <t>NOON ISLAND</t>
  </si>
  <si>
    <t>015687</t>
  </si>
  <si>
    <t>084609</t>
  </si>
  <si>
    <t>FREEPORT LNG        MAINT.DREDGING</t>
  </si>
  <si>
    <t>GL 53</t>
  </si>
  <si>
    <t>072601</t>
  </si>
  <si>
    <t>FORT PIERCE-BEACH RENOURISHMENT</t>
  </si>
  <si>
    <t>Charleston Entrance Channel; Contract 2</t>
  </si>
  <si>
    <t>022711</t>
  </si>
  <si>
    <t>Oceanus &amp; GSC&amp;E Trenching &amp; Backfilling</t>
  </si>
  <si>
    <t>G.L. 10</t>
  </si>
  <si>
    <t>084510</t>
  </si>
  <si>
    <t>MSCIP PHASE 1;BARRIER ISLAND;CAMILLE CUT</t>
  </si>
  <si>
    <t>072623</t>
  </si>
  <si>
    <t>MYRTLE BEACH RENOURISHMENT</t>
  </si>
  <si>
    <t>015765</t>
  </si>
  <si>
    <t>Hydrohammer Rock With NY</t>
  </si>
  <si>
    <t>072606</t>
  </si>
  <si>
    <t>TAMPA HARBR.-BIG BEND CHANL-NEW WORK DRG</t>
  </si>
  <si>
    <t>015771</t>
  </si>
  <si>
    <t>072597</t>
  </si>
  <si>
    <t>Jacksonville Harbor Deepening Contract B</t>
  </si>
  <si>
    <t>Mackie</t>
  </si>
  <si>
    <t>072616</t>
  </si>
  <si>
    <t>NAGS HEAD BEACH RENOURISHMENT</t>
  </si>
  <si>
    <t>GL 58</t>
  </si>
  <si>
    <t>015822</t>
  </si>
  <si>
    <t>Boston Harbor Maintenance</t>
  </si>
  <si>
    <t>Corpus Christi Ent Channel Deepening</t>
  </si>
  <si>
    <t>015863</t>
  </si>
  <si>
    <t>IWW Delaware River to Chesapeake</t>
  </si>
  <si>
    <t>Sea Isle to Ocean City; NJ</t>
  </si>
  <si>
    <t>072714</t>
  </si>
  <si>
    <t>TYBEE ISLAND; GA</t>
  </si>
  <si>
    <t>015837</t>
  </si>
  <si>
    <t>Port of Davisville; RI Maint / New Work</t>
  </si>
  <si>
    <t>015865</t>
  </si>
  <si>
    <t>York Spit; Baltimore Harbor; MD &amp; VA</t>
  </si>
  <si>
    <t>022694</t>
  </si>
  <si>
    <t>Investment Gateway Bahrain (IGB2)</t>
  </si>
  <si>
    <t>015896</t>
  </si>
  <si>
    <t>Port Jersey Channel; NJ</t>
  </si>
  <si>
    <t>015845</t>
  </si>
  <si>
    <t>Baltimore Harbor and Channels; MD</t>
  </si>
  <si>
    <t>084604</t>
  </si>
  <si>
    <t>Sabine LNG</t>
  </si>
  <si>
    <t>MSCIP Ship Island Restoration; PH 3&amp;4</t>
  </si>
  <si>
    <t>015914</t>
  </si>
  <si>
    <t>Great Egg Harbor Inlet to Absecon Island; NJ</t>
  </si>
  <si>
    <t>Charleston Harbor Deepening/Widening Con. 1</t>
  </si>
  <si>
    <t>Post 45 Lower Charleston Harbor; Contract 4</t>
  </si>
  <si>
    <t>072727</t>
  </si>
  <si>
    <t>Jacksonville Harbor Deepening Contract C</t>
  </si>
  <si>
    <t>G.L. 501</t>
  </si>
  <si>
    <t>G.L. 66</t>
  </si>
  <si>
    <t>RR1428</t>
  </si>
  <si>
    <t>Yazoo River Basin</t>
  </si>
  <si>
    <t>Freeport Harbor Lower Stauffer C</t>
  </si>
  <si>
    <t>084863</t>
  </si>
  <si>
    <t>Mobile Harbor Deepening &amp; Widening; Phase 3</t>
  </si>
  <si>
    <t>South Atlantic Regional Harbor Dredging</t>
  </si>
  <si>
    <t>084826</t>
  </si>
  <si>
    <t>Panama City Beaches; FL</t>
  </si>
  <si>
    <t>Tagline Winch (motor, gearbox, etc.)</t>
  </si>
  <si>
    <t>Tagline gearbox repair</t>
  </si>
  <si>
    <t>Working on Welding repairs in Boom. Spudded down in Inner Harbor near office.</t>
  </si>
  <si>
    <t>Replace impeller UWP.</t>
  </si>
  <si>
    <t>Remove broken impeller 
Install new impeller
 Remove new front door liner and install old wear liner for extend clearance 
Thrust bearing issues  new impeller trap down about 1/4'' 
new impeller touch front pump shell . 
I mpeller clearance   1/4''  
move thrust bearing about 1/4'' back 
Reported  have Thrust bearing issues.  plan to fix next time shutdown for repairs after we finish cammeron meadows project.
Sean McGowan
Inspected impeller and pump.  The old front door was installed and rotated 180 from how it was removed.  The problem seems to be the thrust bearing that was installed is 'shorter' then the original thrust bearing which is causing the entire pump shaft and impeller to sit inside the pump housing crooked.  We plan on measuring the axial, radial play a our earliest convenience.  Mark Manfredi is looking for our thrust bearing sent out for repair AND the notes of what was actually done to it.</t>
  </si>
  <si>
    <t>replace boom assist blower motor</t>
  </si>
  <si>
    <t>Found blower motor to be faulted. Blower removed. Blower motor replaced. Blower installed. Work completed by Aaron Taylor, Dalton Padgett and Archie Gray.</t>
  </si>
  <si>
    <t>HPU Gear Hydraulic Failure</t>
  </si>
  <si>
    <t xml:space="preserve">Uppon HPU Hydraulic Single pump failure we noticed that the spline adaptor was cracked and the shaft on the pump was missed shaped , so i instructed the crew to change single pump due to the flaws on the pump , after single pump was installed and crew test ran engine and noticed knocking coming from the main drive gear internally , i instructed them to pull the K27 Pump to inspect the internal gears uppon inspection we noticed that gears on the inside of the gear box where bad so we proceeded to dissemble the gear box and found further damage 
1. Needed new bearings 
2. Bearing Pockets on gear housing had wear
3.  Gears where bad on the main input shaft, K27 Bearing, Double pump, Single pump 
4. Rear seal was bad 
Uppon repair ,
We changed bearings and gears proceeded to assemble and then filled back up the fluids and test ran the system to get the air out of the system </t>
  </si>
  <si>
    <t>Dredge Main engine mechanical failure</t>
  </si>
  <si>
    <t xml:space="preserve">Converted to SO# 1768533:  Inspection Details: Inspected Engine found that the engine Cylinder #9 Drop a valve which caused the engine to over heat and fail , upon inspection we found that the head was badly scared and had to be replaced, also  inspected the turbo found damage on the turbo fins so we replaced , also bore scoped the exhaust manifolds to inspect for  loose trash that could potentially cause more damage upon start up are inspection we reassembled engine and filled with fluids and test ran (GOOD) </t>
  </si>
  <si>
    <t>change boom assist wire</t>
  </si>
  <si>
    <t xml:space="preserve">wire broke. day shift and night shift worked around clock to remove wire from point sheave. it was a mess up there. </t>
  </si>
  <si>
    <t>change stern spud wire</t>
  </si>
  <si>
    <t xml:space="preserve">both crews worked on installing wire for several days. wire was installed backwards and had to be removed . during removal we broke chaser. wire was installed byjack kelley </t>
  </si>
  <si>
    <t>Tagline gearbox repairs</t>
  </si>
  <si>
    <t>Coverted to SO# 1768428:  No Findings Entered yet</t>
  </si>
  <si>
    <t>2022 Summary</t>
  </si>
  <si>
    <t>01/12/2022</t>
  </si>
  <si>
    <t>10/15/2021</t>
  </si>
  <si>
    <t>01/01/2022</t>
  </si>
  <si>
    <t>11/05/2021</t>
  </si>
  <si>
    <t>11/16/2022</t>
  </si>
  <si>
    <t>Compressed Air</t>
  </si>
  <si>
    <t>Water froze in air lines</t>
  </si>
  <si>
    <t>Work on PP1; Moved to Spud down location outside of office to finish repairs</t>
  </si>
  <si>
    <t>Pump end seal failed
Stuffing box shot
Thrust Bearing is 14,400LBS dry.
Front door with clean-out 24,000lbs
Bearing:
Lift=
Thrust=</t>
  </si>
  <si>
    <t>Thrust bearing replacement</t>
  </si>
  <si>
    <t>Gland seal water leaks approx. 2 gallons per minute.
Gland seals tore up.
Realigned lineshaft brg. to pump seal housing.</t>
  </si>
  <si>
    <t>Replace the  gland seal -  Stbd Pump - Leaking too much water</t>
  </si>
  <si>
    <t>CHANGE OIL AND FILTERS</t>
  </si>
  <si>
    <t>replaced k27 pump, pilot pump, and 2 saffer pumps on ladderffer</t>
  </si>
  <si>
    <t>Vessel at anchor surveying the vessel to find the sounce of water and and follw up repairs to the hull.</t>
  </si>
  <si>
    <t>hydraulic pump</t>
  </si>
  <si>
    <t>Piping/Hoses</t>
  </si>
  <si>
    <t>Repair Bow Connection Elbow Pipe</t>
  </si>
  <si>
    <t>4814445, 4814426</t>
  </si>
  <si>
    <t>Scheduled Maintenance. Opportunity tasks - replace sleeve</t>
  </si>
  <si>
    <t>Ellis Island Overbow Elbow Failure</t>
  </si>
  <si>
    <t>David Dye</t>
  </si>
  <si>
    <t>016003</t>
  </si>
  <si>
    <t>Sandy Hook to Barnegat Inlet; NJ</t>
  </si>
  <si>
    <t>02/18/2022</t>
  </si>
  <si>
    <t>George Strawn, Mike Kraljevic, James M Walker, Chris Roberts, David Rappe, Mark L. Reid, Dave Allen</t>
  </si>
  <si>
    <t>JSA - Job Safety Analysis, Mechanical - SOP, Mechanical - Material Specs, Other</t>
  </si>
  <si>
    <t>Project Number</t>
  </si>
  <si>
    <t>Project Name</t>
  </si>
  <si>
    <t>David Delp</t>
  </si>
  <si>
    <t>03/01/2022</t>
  </si>
  <si>
    <t>Write a smart sheet  for proper bearing assembly</t>
  </si>
  <si>
    <t>Write a smart sheet for proper bearing QC requirements</t>
  </si>
  <si>
    <t>Use no less than 220 oil grade as per bearing manufacture</t>
  </si>
  <si>
    <t>Replace Sprockets and Drive Chain on GL10 Spud Winch</t>
  </si>
  <si>
    <t xml:space="preserve">26 Jan 2022 - 2230hrs - Chain is skipping on Spud Winch hoist traction motor sprocket. Excessive wear found on both sprockets. New sprockets have been received and have been sent to be bored to shaft specs.
27 Jan 2022 - Hooked up drve chain to jacking motor to attempt sud movement. Chain skipped on gearbox input shaft sprocket. Jackng motor is in fixed positon on Gearbox and proper chain tensioning is not possible. Drive sprocket worn excessively. Removed Traction motor and sent to shop to have tapered sprocket mounted. Worn gearbox input shaft sprocket removed. Shaft dressed and prepped for new sprocket.
28 Jan 2022 - New Gearbox sprocket received and installed. Traction motor with drive sprocket received, mounted and aligned. Chain installed, wires connected, and function tested. Dredging resumed approx 2330hrs. </t>
  </si>
  <si>
    <t>Troubleshoot boom drift and stick float issues</t>
  </si>
  <si>
    <t>Found the pressure for booming up was at 80 bar, adjusted to 200 bar. 
Replaced all 4 relief valves on the boom cylinder load hold blocks wich rectified the boom drifting issue. 
On the stick float we found that the 1st and 2nd stage were not set correctly. Set to recommended specs from Keith.
Aaron Taylor</t>
  </si>
  <si>
    <t>Services for Repairs</t>
  </si>
  <si>
    <t>Converted to SO# 1770758:  No Findings</t>
  </si>
  <si>
    <t>Stuffing box R&amp;R / Sleave replacement</t>
  </si>
  <si>
    <t>Stuffing box was eaten away on the inside.</t>
  </si>
  <si>
    <t>replace booster pump impeller</t>
  </si>
  <si>
    <t>aft hoist motor failed</t>
  </si>
  <si>
    <t>Repairs to Booster Pump</t>
  </si>
  <si>
    <t>Repairs to booster pump after impeller structural failure.
Disassemble piping and pump assembly.
Clean and maintenance thrust bearing shaft.
Replace cracked suction liner.
Reassemble pump with new impeller.
Reassemble piping.</t>
  </si>
  <si>
    <t>Aft Hoist Motor Replaced</t>
  </si>
  <si>
    <t>Removed the aft hoist motor #2 in crane.  Replaced with a spare motor we had sitting in Norfolk VA.  This was a reconditioned motor that had been installed in the crane previously and serviced by Keystone Electric in Baltimore.  Operator noticed a burned electrical smell in the crane.  Further inspection of the hoist motor revealed possible failure of motor.  See picture attached.  Commutator bars had solder bubbling our of ends.</t>
  </si>
  <si>
    <t># 2 Hoist DC Motor Removal and Replacement Style Old Style # 27N8958 New Style # 27N8959</t>
  </si>
  <si>
    <t>Findings will be entered when report is completed by service provider ( Key Stone Electric )</t>
  </si>
  <si>
    <t>Xtree Inspection (ILM)</t>
  </si>
  <si>
    <t xml:space="preserve">Found pin on center sheave with wedges missing on both sides and pin had moved toward one side ready to come out sheave box.
Welder hammered pin in place and welder welded wedges in place welder reported that original wedges had very little weld on them and bearly any penetration . 
Found one missing bottom 4 inch pin that secures tree on bottom of frame . </t>
  </si>
  <si>
    <t>No. Increase cooling by installing a secondary blower</t>
  </si>
  <si>
    <t>No. Allignment checking rolers , moved shieve over. All encompassing.</t>
  </si>
  <si>
    <t>No. Hole in the hull repaired in the SY.</t>
  </si>
  <si>
    <t>No. Damage due to trash.</t>
  </si>
  <si>
    <t>No. Scheduled downtime for suction pumping.</t>
  </si>
  <si>
    <t xml:space="preserve">No. We have an annual machine audit. Hoist drum brake failure. </t>
  </si>
  <si>
    <t>No. They wer overdue for replacement. Replace during a major SY period. We elected not to service them. Action do we have an adequate inspection (SJ) on other vessels</t>
  </si>
  <si>
    <t>No. This is a known issue that occurs every 6/8 weeks.  This a 3 day downtime to repair.  Parts are on backorder with a long lead time.</t>
  </si>
  <si>
    <t>Brian G looking into this.</t>
  </si>
  <si>
    <t>No.</t>
  </si>
  <si>
    <t>No. BBI investigared, a design flaw Capital request in submitted.</t>
  </si>
  <si>
    <t>CRANE TRIPPED, TROUBLE SHOOTING</t>
  </si>
  <si>
    <t>wire shorted out</t>
  </si>
  <si>
    <t>Shafting</t>
  </si>
  <si>
    <t>While adjusting the impellor pump, the shaft and bearings in the gear box assembly broke.</t>
  </si>
  <si>
    <t>broke stern wire</t>
  </si>
  <si>
    <t>Leak in spud well</t>
  </si>
  <si>
    <t>lifting stern spud to take a step back.....spud started freefalling down... Bottom wire broke</t>
  </si>
  <si>
    <t>Stbd Dredge Engine - Troubleshoot Shutdowns</t>
  </si>
  <si>
    <t>C/O Hoist Motor FWD #1 Drive Transformer</t>
  </si>
  <si>
    <t>Replace Ladder Pump Motor</t>
  </si>
  <si>
    <t>Dredge Pump Line Shaft and bearing repair</t>
  </si>
  <si>
    <t>replace D03 ) bone crusher hose (ILM)</t>
  </si>
  <si>
    <t>Pick and secure</t>
  </si>
  <si>
    <t>Wire failed on 30April2022 @ 23:30.
01May2022 - Brainstormed a plan to pick and secure spud to continue shoaling
02May2022 - Divers onboard inspecting sheaves and location of wire - wire jumped sheave on stbd side and sheave on port side was completely missing
                      Divers help crew remove and place wire through bottom sheave od spud
                      Crew pulled wire onto deck and secured.
                      Rolled eye in cable and secured with cable clamps
                      Capt Tom onboard dredge discussing a plan to lift spud with Dredge 55
03May2022 - Dredge 55 arrived at dredge @ 08:00
                       Picked up spud and secured on dogs @ 18'
                       Welder installing wedges around spud and welding in place
                       Reinstall cat walk on front of carriage
                       Pull carriage back to stern and secure to continue dredging operations</t>
  </si>
  <si>
    <t xml:space="preserve">captain found 2 bubbles on out side of hose and damage ribs on the inside </t>
  </si>
  <si>
    <t>Converted to SO# 1773985:  PI @ dock due to brkn shaft gear bx in pmp impllr. RTW 5/1 aftr repair complt. The Padre Island remained at dock due to the shaft and bearings in the gear box assembly breaking while the dredge pump impeller was adjusted on 4/23 (SJ081). Estimated RTW 5/1 once repair is completed.</t>
  </si>
  <si>
    <t>Change out idler pulley pillar block #2 engine</t>
  </si>
  <si>
    <t>Main generator. Pillow block shaft replacement. The pillow block shaft for the idler pulley was found to be bent following the repairs to the bearing on the pillow block this morning. The dredge is down and will remain down until the replacement shaft is received and can be installed. bearing went out in pillar block, changed out pillar block and installed shaft.  ordered the parts</t>
  </si>
  <si>
    <t>Motor had a bad leg it burned up all three conductors wires
Also burned up the windings inside. Dredge continue repairing UWP motor. Est. ROW is evening of 4/16.</t>
  </si>
  <si>
    <t>Initial troubleshooting involved:
1.  the change out of snap in terminal strip connector blocks that showed damage.
2. The cutting back and adding of wire extensions where damage was showing.
3. Checking tightness of connections
4. Changing out blown fuses.
5. Inspecting the wiring in the transformer and re-wiring suspected connections.
6. Checking resistance with multi meter and Megger through various sections of the circuits.
See all attachments included in this WO  
This transformer has been requested to be added to NS Remove failed 480/240V  7.5 KVA Transformer for the Hoist Motor FWD #1 Drive- Square D P/N 7S40F  Grainger # 2CN73  Cost $ 1350.00</t>
  </si>
  <si>
    <t xml:space="preserve">The differential lube oil pressure sensors were showing code of irregular  or erratic readings.
The sensors were replaced and the codes did not clear.
Cylinder cut out test were performed and sent to the Carter Cat tech for review.
The ECM was swapped out with the one from the port dredge engine to check for possible ECM failure.
The port dredge ran all night with the stbd ECM installed.
The stbd dredge engine ran with the Port ECM all night and shut down in the AM.
A Cat Tech from Carter CAt  arrived on 3 April around noon to assist with trouble shooting the engine.
The ECM's were returned to their proper engines and troubleshooting was begun.
It was determined that there was a short in the signal wire from the unfiltered lube oil sensor.
A by-pass wire was ran externally along the wire harness from the sensor to the connection block in the main ECM.
The engine was tested to check for codes and there were no more active codes.
The wire was secured to the existing wire harness with wire ties and the engine was test ran by topping off the existing load,
The engine pumped off a complete load with out any issues.
The ship returned to work at 1800 on April 3rd. </t>
  </si>
  <si>
    <t>drum shifted on shaft</t>
  </si>
  <si>
    <t>Ellis Island hooked up to pumpout location</t>
  </si>
  <si>
    <t>Float hose with probe hooked up to overbow elbow</t>
  </si>
  <si>
    <t>Recommend analysis of overbow assembly looking at adding additional supports similar to other hopper dredges.</t>
  </si>
  <si>
    <t xml:space="preserve">Dodge Island - Rudder Damage / Loss </t>
  </si>
  <si>
    <t>084820</t>
  </si>
  <si>
    <t>Mobile Harbor Deepening &amp; Widening; AL</t>
  </si>
  <si>
    <t>08/25/2021</t>
  </si>
  <si>
    <t>Mike Kraljevic, James M Walker</t>
  </si>
  <si>
    <t>George Hofmann</t>
  </si>
  <si>
    <t>Mate - Cory Gallagher</t>
  </si>
  <si>
    <t>05/31/2022</t>
  </si>
  <si>
    <t>Ensure exhaust is clear of debris prior to install of turbos.</t>
  </si>
  <si>
    <t>05/10/2022</t>
  </si>
  <si>
    <t>Review over the bow pipe design, Replace pipe with new pipe</t>
  </si>
  <si>
    <t>Plan trailing to avoid the area.</t>
  </si>
  <si>
    <t>08/27/2021</t>
  </si>
  <si>
    <t>DryDocking for Repairs to Side Shell of Starboard Spudwell</t>
  </si>
  <si>
    <t>Converted to SO#1774391:  No Findings</t>
  </si>
  <si>
    <t>Repair Drum</t>
  </si>
  <si>
    <t>Converted to SO#1775812:  No Findings / Not Completed yet - still IP</t>
  </si>
  <si>
    <t xml:space="preserve">We knew we needed to changed based on earlier inspection but decision was made to not take down time until end of job, which resulted in failure. </t>
  </si>
  <si>
    <r>
      <t>x-mas tree repair, QC issues with welds with pins/sheaves on x-mas tree.</t>
    </r>
    <r>
      <rPr>
        <sz val="11"/>
        <color theme="1"/>
        <rFont val="Calibri"/>
        <family val="2"/>
        <scheme val="minor"/>
      </rPr>
      <t xml:space="preserve"> Yes to MCIA, requested vessel/project to start MCIA.</t>
    </r>
  </si>
  <si>
    <r>
      <t>replace UWP motor, motor had a bad leg – burned up all 3 conductor wires</t>
    </r>
    <r>
      <rPr>
        <sz val="11"/>
        <color theme="1"/>
        <rFont val="Calibri"/>
        <family val="2"/>
        <scheme val="minor"/>
      </rPr>
      <t>. Yes to MCIA, requested vessel/project to start MCIA.</t>
    </r>
  </si>
  <si>
    <t># &gt; 24hrs</t>
  </si>
  <si>
    <t>Year:</t>
  </si>
  <si>
    <t>Count</t>
  </si>
  <si>
    <t>Ohio Plugged Subline</t>
  </si>
  <si>
    <t>Brandon Suire</t>
  </si>
  <si>
    <t>084837</t>
  </si>
  <si>
    <t>Corpus Christi Ship Channel Upper Bay Reach</t>
  </si>
  <si>
    <t>06/16/2022</t>
  </si>
  <si>
    <t>Nick  Yancy</t>
  </si>
  <si>
    <t>Jose Gracia, David Rappe, David J Johanson, Scott Baumann, Dave Allen</t>
  </si>
  <si>
    <t>06/17/2022</t>
  </si>
  <si>
    <t xml:space="preserve">LM was at the dredge controls actively digging the dredge. Booster Engineer attending Booster controls. </t>
  </si>
  <si>
    <t xml:space="preserve">Dredge Ohio was digging inbound on the green side of the channel STA 109+100. Dredge ladder depth at 53' and up to 38'. Box cutting as slope program not working. Digging on 18,000' of Subline. About 8,000' of line before Booster . Booster inline at STA 102+200, running properly at time of incident. </t>
  </si>
  <si>
    <t xml:space="preserve">Dredge Ohio and Booster 9. </t>
  </si>
  <si>
    <t>Ohio UWP Gearbox &amp; Thrust Bearing Failures</t>
  </si>
  <si>
    <t>Mark Manfredi</t>
  </si>
  <si>
    <t>Jose Gracia, Brian Bickford, Scott Baumann, Dave Allen</t>
  </si>
  <si>
    <t>Ohio UWP GB Intermediate Bearing Failure</t>
  </si>
  <si>
    <t>06/25/2022</t>
  </si>
  <si>
    <t>06/12/2022</t>
  </si>
  <si>
    <t>Boom Wires</t>
  </si>
  <si>
    <t>remove broken wire rubber rest on boom</t>
  </si>
  <si>
    <t>Crane rail tabs breaking off</t>
  </si>
  <si>
    <t>Planned CAT engine work</t>
  </si>
  <si>
    <t>Boom / Gantry Sheaves</t>
  </si>
  <si>
    <t>Bearing on holding wire tip sheave failed</t>
  </si>
  <si>
    <t>AC Drive Motor, check end time.</t>
  </si>
  <si>
    <t>Choke coil burnt up</t>
  </si>
  <si>
    <t>UWP gearbox oil leak</t>
  </si>
  <si>
    <t>1JUL22
We opened the gearbox and replaced all the bearings and the output seal and the oil cooler.  Then we smoked the aft bearing on the port intermediate shaft.  Had ato remove the shaft and install a sleeve and new bearing on the shaft then reinstall the shaft and monitored the temps upon restart.  The cause of the bearing failure was the gear oil circulation pump wasn't pumping enough oil and the flow meter was adjusted down.  Installed a new pump and ordered a new spare, see REQ#:  4579432 and a spare spider coupling REQ#:  4579455 for spares.  Adjusting the flow meter to alarm properly and training the crew on operations so this doesn't happen again.  Also replaced 5 of the oil flow regulators.
Up and running bearing temps are all around 130 degrees F and the oil flow is 36 gpm.</t>
  </si>
  <si>
    <t>Crop and renew Lacing on Boom</t>
  </si>
  <si>
    <t>Converted to SO#1775779:   Requirements:
 Crop and Renew two sections of damaged lacing on the Main Boom- The repair areas are in such positions that two crews could work simultaneously. This is the preference of GLDD
Damaged Area #1 - Angle Iron A-36 - 3-1/2 in x 2-1/2 in x 3/8 in
Damaged Area #2- Angle Iron A-36- 4 in x 3in x 3/8 in
Request 2 each 20 ft pieces of each size angle iron blasted and primed for cost purposes.</t>
  </si>
  <si>
    <t>Boom Point Sheave asem removal</t>
  </si>
  <si>
    <t>Boom Point Sheave Retainer ring weld failed and alowed boom point sheaves to move around from side to side.</t>
  </si>
  <si>
    <t>Troubleshoot closing drive tripping</t>
  </si>
  <si>
    <t>drive tripped off 15 times, changed bridge board, 0600
drive tripped off at 1600, found burnt up bridge board and 75 ohm resistors burnt up</t>
  </si>
  <si>
    <t>Benshaw 2400 repair</t>
  </si>
  <si>
    <t>Bad Control Board</t>
  </si>
  <si>
    <t>.1JUL22
We opened the gearbox and replaced all the bearings and the output seal and the oil cooler.  Then we smoked the aft bearing on the port intermediate shaft.  Had ato remove the shaft and install a sleeve and new bearing on the shaft then reinstall the shaft and monitored the temps upon restart.  The cause of the bearing failure was the gear oil circulation pump wasn't pumping enough oil and the flow meter was adjusted down.  Installed a new pump and ordered a new spare, see REQ#:  4579432 and a spare spider coupling REQ#:  4579455 for spares.  Adjusting the flow meter to alarm properly and training the crew on operations so this doesn't happen again.  Also replaced 5 of the oil flow regulators.
Up and running bearing temps are all around 130 degrees F and the oil flow is 36 gpm.</t>
  </si>
  <si>
    <t>Change out burnt up coil on Closer phase</t>
  </si>
  <si>
    <t>Changed out coil that was burnt up, and found 1 broken wire on capacitor on SCR</t>
  </si>
  <si>
    <t>y</t>
  </si>
  <si>
    <t>Component Failure / replaced with onboard spare</t>
  </si>
  <si>
    <t>Mechanical Division</t>
  </si>
  <si>
    <t>Hydraulic Division</t>
  </si>
  <si>
    <t>Hopper Division</t>
  </si>
  <si>
    <t>Rivers &amp; Lakes Division</t>
  </si>
  <si>
    <t>All Vessels</t>
  </si>
  <si>
    <t>Crack in shaft / Flinger ring hid the crack / Add shear wave inspection ??  NDT Test / Smart Sheet Engineering Research / Critical Spare addition - Bearing - Add Serialized Part for assembly - Oil Analysis indicated a problem. The "spare" bearing assembly was thrown away by mistake.</t>
  </si>
  <si>
    <t>07/05/2022</t>
  </si>
  <si>
    <t>Replace Hydraulic Motor</t>
  </si>
  <si>
    <t>Completed by Todd Reisinger / Dalton Padgett / Archie Gray / Jason Sprague / David D'Zurilla / James Deyton / Jack Kelley
New motor has been installed and tested</t>
  </si>
  <si>
    <t>Weld up cracking on bucket</t>
  </si>
  <si>
    <t>Completed by Paul Murdock</t>
  </si>
  <si>
    <t>K27 pump failure &amp; Removal</t>
  </si>
  <si>
    <t>We where having issues with the hydraulics , issues- hydraulics causing issues do to pilot pump on the 3406 blowing the seal and filling the engine up with hydraulic fluid which came out of the valve cover breather and sprayed all over the wall , so we installed a gauge to determine pump pressure which was not stable and was causing other peaces of equipment to fail ( traveling spuds, holding spud , and cutter head issues ) The engine driven pump supplies pilot pressure to all these peaces of equipment ( Symptoms where traveling spuds and holding spuds where coming up together and not function correctly , Free fall was not operational function was going straight up Cutter head had no function just free spinning in one direction 
1. Changed pilot pump on the 3406
2. Changed K27 pump on the 3406
3. Changed Cutter Head 
4. Changed Cutter Head motor</t>
  </si>
  <si>
    <t>Ladder Pump Gearbox Quarterly PM/Inspection</t>
  </si>
  <si>
    <t>Replaced STBD high speed shaft and bearings.
Replaced Port intermediate aft bearing.
Hone port intermediate bearing bore.
Replaced 2 antiroll pins for Port high speed aft bearing and Port intermediate aft bearing.
Cleaned out all oil squirters screens and adjust for proper bearing oil flow.
Checked backlash on all gears. average lash was .018 to .020 thousands.
Resealed box and torqued all superbolts to 55ft lbs.
After torque there was a .008 clearance between split line near aft intermediate bearing.
Realigned Stbd motor and changed coupling, hardware and gaskets.
Test gearbox bearing temperatures. highest temp was 135 degrees.</t>
  </si>
  <si>
    <t>Port Generator - Replace air starter</t>
  </si>
  <si>
    <t>broken into two, should be removed as MM</t>
  </si>
  <si>
    <t>Failure - broken wire on stern spud, no MCIA</t>
  </si>
  <si>
    <t>add SJ to inspect</t>
  </si>
  <si>
    <t>Check WO for time period if it pertains</t>
  </si>
  <si>
    <t>Sheave assembly disassembled by SY, no drawings at that time.</t>
  </si>
  <si>
    <t>Slimmer/Bill English -</t>
  </si>
  <si>
    <t>New part failure -</t>
  </si>
  <si>
    <t>New part failure - choke coil, added to critical spares list for onboard</t>
  </si>
  <si>
    <t>SUEZ CANAL; EGYPT</t>
  </si>
  <si>
    <t>MISS RVR &amp; HARBOR; KY; MO; AR; TN</t>
  </si>
  <si>
    <t>ROBERT MOSES STATE PARK; FIRE ISLAND; NY</t>
  </si>
  <si>
    <t>WILMINGTON INNER HARBOR; SMITH ISLAND</t>
  </si>
  <si>
    <t>BARNEGAT INLET; LONG BEACH ISLAND; NJ</t>
  </si>
  <si>
    <t>SHELL ISLAND WEST NRDA RESTORATION PROJ.</t>
  </si>
  <si>
    <t>CAPE MAY INLET; NJ</t>
  </si>
  <si>
    <t>WILMINGTON; DE</t>
  </si>
  <si>
    <t>TOWNSENDS &amp; HEREFORD INLETS</t>
  </si>
  <si>
    <t>GULFPORT HARBOR BAR CHANNEL; MS</t>
  </si>
  <si>
    <t>BEACH HAVEN &amp; HOLGATE BEACHES; NJ</t>
  </si>
  <si>
    <t>FIRE ISLAND INLET; NY</t>
  </si>
  <si>
    <t>10 May 2022 - As per Mike K. the report from CAT indicated that "something, some object, could have hit the blades and caused the failure." 
So... there is no next step.</t>
  </si>
  <si>
    <t>Ohio Ladder Damage from Swing Wire</t>
  </si>
  <si>
    <t>08/27/2022</t>
  </si>
  <si>
    <t>Thomas Salter, David Mills, Jose Gracia, David Rappe, Scott Baumann, Dave Allen</t>
  </si>
  <si>
    <t xml:space="preserve">Deck crew was on AB103 with Tug Eliana, Dredge Leverman was at the dredge controls. </t>
  </si>
  <si>
    <t>Dredge was digging inbound on the red side of the channel between buoy marker R50 and R56. At time of incident the dredge was moving the port anchor. The dredge deck crew was on the AB103 with the Tug Eliana. This incident happened at about 4:30AM</t>
  </si>
  <si>
    <t>Anchor barge, Dredge Ohio, Tug Eliana</t>
  </si>
  <si>
    <t>07/11/2022</t>
  </si>
  <si>
    <t>09/09/2022</t>
  </si>
  <si>
    <t>Need to coach the leverman on the proper procedure for when velocity drops down below minimum level.</t>
  </si>
  <si>
    <t>Need to coach the Leverman on paying attention to dig pattern.</t>
  </si>
  <si>
    <t>Coaching Leverman on being aware of what gauges are reading, and what to do when things don't look right.</t>
  </si>
  <si>
    <t>Boom motor failure</t>
  </si>
  <si>
    <t>Installing xmas tree before starting up</t>
  </si>
  <si>
    <t>Starboard Turbo Overheated/Failure - Repair</t>
  </si>
  <si>
    <t>Gimbal bolts sheared</t>
  </si>
  <si>
    <t>Ladder Structure</t>
  </si>
  <si>
    <t>changing the power pack</t>
  </si>
  <si>
    <t>Complete Inspection of all DC Motors / Generators brushes/holders and commutators associated with Crane Boom Operation</t>
  </si>
  <si>
    <t>Amerimex came out to Dredge-54 and ispected and repaired all motors as needed.</t>
  </si>
  <si>
    <t>Inspect and repair vibration in STBD pump Driveline</t>
  </si>
  <si>
    <t>STBD pump Driveline is shaking badly.  Troubleshooting and inspecting. Went through the Driveline to find the source of vibration.  Determined to rebuild the HRC coupling on the fly wheel.</t>
  </si>
  <si>
    <t>Condut the UT Survey as Required for ABS LL Renewal</t>
  </si>
  <si>
    <t>Converted to SO# 1778416:  Incorrect vessel (Derrick 64)</t>
  </si>
  <si>
    <t>Stbd Propulsion engine inboard turbo failure and Exhaust bellows</t>
  </si>
  <si>
    <t>Exhaust bellows found damaged and torn away from the inlet exhaust to turbo. This is what caused the high temp on the engine. The loss of exhaust to the turbo. Inspection of engine and turbo's we then found damaged to the compressor blades. `</t>
  </si>
  <si>
    <t>Remove and replace stbd gimble from damage</t>
  </si>
  <si>
    <t>Damaged ladder service water lines and air lines</t>
  </si>
  <si>
    <t>Swing wire got slack and ripped off ladder service water line, cooling water line for ladder gear box cooler, and ladder air supply line for winches.
Repaired and replaced all damaged lines, put new flanges, gaskets and bolts.
Tested for leaks.
Flushed out any debris from ladder service water line.</t>
  </si>
  <si>
    <t>Change Out EMD Injector #1 cylinder on main gen.</t>
  </si>
  <si>
    <t>Main generator injector #1 &amp; 2 were changed out at 11916 hours 08/28/22</t>
  </si>
  <si>
    <t>Greg Bell</t>
  </si>
  <si>
    <t>Greg Bell booster operator</t>
  </si>
  <si>
    <t>Booster 32-20</t>
  </si>
  <si>
    <t>Install spare engine</t>
  </si>
  <si>
    <t>R010 Iowa Dredge Ladder Cable Failure</t>
  </si>
  <si>
    <t>RR1453</t>
  </si>
  <si>
    <t>Memphis District SATOC 24-29 inch CSD Rental</t>
  </si>
  <si>
    <t>09/07/2022</t>
  </si>
  <si>
    <t>Chad Bourg</t>
  </si>
  <si>
    <t>Stan Ekren</t>
  </si>
  <si>
    <t>GL-10 GE-752 Motor Coupling Failure</t>
  </si>
  <si>
    <t>Bobby Conners Jr</t>
  </si>
  <si>
    <t>084889</t>
  </si>
  <si>
    <t>HSC Expansion Channel Improvments</t>
  </si>
  <si>
    <t>27,423,526</t>
  </si>
  <si>
    <t>09/17/2022</t>
  </si>
  <si>
    <t>Christopher Martin</t>
  </si>
  <si>
    <t>Thomas Peyton, Steven W  Becker, David J Johanson, Dave Allen</t>
  </si>
  <si>
    <t xml:space="preserve">Ohio Ladder Winch </t>
  </si>
  <si>
    <t>10/08/2022</t>
  </si>
  <si>
    <t>Zachary Price</t>
  </si>
  <si>
    <t xml:space="preserve">Corpus Christi Channel </t>
  </si>
  <si>
    <t>10/06/2022</t>
  </si>
  <si>
    <t>Insure adequate maintenance personnel are onsite during maintenance periods.</t>
  </si>
  <si>
    <t>Adhere to the OEM recommended maintenance schedule.</t>
  </si>
  <si>
    <t>Suggest a different business model be instituted in accounting.</t>
  </si>
  <si>
    <t>10/05/2022</t>
  </si>
  <si>
    <t>Main Pump #1</t>
  </si>
  <si>
    <t>Ladder wire broke</t>
  </si>
  <si>
    <t>brake on holding drum not holding load, troubleshooting</t>
  </si>
  <si>
    <t>Pipeline</t>
  </si>
  <si>
    <t>Pipe Leak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</si>
</sst>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
    <numFmt numFmtId="165" formatCode="&quot;$&quot;#,##0"/>
    <numFmt numFmtId="166" formatCode="mm/dd/yy;@"/>
    <numFmt numFmtId="167" formatCode="yy/mm/dd;@"/>
    <numFmt numFmtId="168" formatCode="0.0"/>
  </numFmts>
  <fonts count="9" x14ac:knownFonts="1">
    <font>
      <sz val="11"/>
      <color theme="1"/>
      <name val="Calibri"/>
      <family val="2"/>
      <scheme val="minor"/>
    </font>
    <font>
      <b/>
      <sz val="11"/>
      <color theme="1"/>
      <name val="Calibri"/>
      <family val="2"/>
      <scheme val="minor"/>
    </font>
    <font>
      <sz val="10"/>
      <name val="Calibri"/>
      <family val="2"/>
      <scheme val="minor"/>
    </font>
    <font>
      <sz val="11"/>
      <color rgb="FF9C0006"/>
      <name val="Calibri"/>
      <family val="2"/>
      <scheme val="minor"/>
    </font>
    <font>
      <sz val="11"/>
      <name val="Calibri"/>
      <family val="2"/>
      <scheme val="minor"/>
    </font>
    <font>
      <sz val="11"/>
      <color rgb="FF000000"/>
      <name val="Calibri"/>
      <family val="2"/>
    </font>
    <font>
      <sz val="11"/>
      <color rgb="FFFF0000"/>
      <name val="Calibri"/>
      <family val="2"/>
      <scheme val="minor"/>
    </font>
    <font>
      <sz val="10"/>
      <name val="Arial"/>
      <family val="2"/>
    </font>
    <font>
      <b/>
      <sz val="11"/>
      <color rgb="FF000000"/>
      <name val="Calibri"/>
      <family val="2"/>
    </font>
  </fonts>
  <fills count="24">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rgb="FFFFC7CE"/>
      </patternFill>
    </fill>
    <fill>
      <patternFill patternType="solid">
        <fgColor theme="3"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s>
  <cellStyleXfs count="3">
    <xf numFmtId="0" fontId="0" fillId="0" borderId="0"/>
    <xf numFmtId="0" fontId="3" fillId="8" borderId="0" applyNumberFormat="0" applyBorder="0" applyAlignment="0" applyProtection="0"/>
    <xf numFmtId="0" fontId="5" fillId="0" borderId="0"/>
  </cellStyleXfs>
  <cellXfs count="302">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 fontId="0" fillId="0" borderId="0" xfId="0" applyNumberFormat="1" applyFill="1" applyAlignment="1">
      <alignment horizontal="center" vertical="center"/>
    </xf>
    <xf numFmtId="2" fontId="0" fillId="0" borderId="0" xfId="0" applyNumberFormat="1" applyFill="1" applyAlignment="1">
      <alignment horizontal="center" vertical="center"/>
    </xf>
    <xf numFmtId="0" fontId="2" fillId="0" borderId="0" xfId="0" applyFont="1" applyFill="1" applyBorder="1" applyAlignment="1">
      <alignment horizontal="center" vertical="center" wrapText="1"/>
    </xf>
    <xf numFmtId="0" fontId="0" fillId="0" borderId="0" xfId="0" applyAlignment="1">
      <alignment horizontal="center" vertical="center" wrapText="1"/>
    </xf>
    <xf numFmtId="1" fontId="0" fillId="0" borderId="0" xfId="0" applyNumberFormat="1" applyFill="1" applyAlignment="1">
      <alignment horizontal="center" vertical="center" wrapText="1"/>
    </xf>
    <xf numFmtId="1" fontId="0" fillId="0" borderId="0" xfId="0" applyNumberFormat="1" applyAlignment="1">
      <alignment horizontal="center" vertical="center" wrapText="1"/>
    </xf>
    <xf numFmtId="1" fontId="0" fillId="0" borderId="0" xfId="0" applyNumberFormat="1" applyFill="1" applyAlignment="1">
      <alignment horizontal="left" vertical="center" wrapText="1"/>
    </xf>
    <xf numFmtId="0" fontId="1" fillId="0" borderId="0" xfId="0" applyFont="1" applyAlignment="1">
      <alignment horizontal="center" vertical="center"/>
    </xf>
    <xf numFmtId="0" fontId="0" fillId="0" borderId="0" xfId="0" applyAlignment="1">
      <alignment horizontal="left" vertical="center" wrapText="1"/>
    </xf>
    <xf numFmtId="1" fontId="0" fillId="0" borderId="0" xfId="0" applyNumberFormat="1" applyAlignment="1">
      <alignment horizontal="left" vertical="center" wrapText="1"/>
    </xf>
    <xf numFmtId="1" fontId="0" fillId="2" borderId="0" xfId="0" applyNumberFormat="1" applyFill="1" applyAlignment="1">
      <alignment horizontal="center" vertical="center" wrapText="1"/>
    </xf>
    <xf numFmtId="1" fontId="0" fillId="2" borderId="0" xfId="0" applyNumberFormat="1" applyFill="1" applyAlignment="1">
      <alignment horizontal="left" vertical="center" wrapText="1"/>
    </xf>
    <xf numFmtId="1" fontId="0" fillId="0" borderId="0" xfId="0" quotePrefix="1" applyNumberFormat="1" applyFill="1" applyAlignment="1">
      <alignment horizontal="center" vertical="center" wrapText="1"/>
    </xf>
    <xf numFmtId="1" fontId="0" fillId="3" borderId="0" xfId="0" applyNumberFormat="1" applyFill="1" applyAlignment="1">
      <alignment horizontal="left" vertical="center" wrapText="1"/>
    </xf>
    <xf numFmtId="1" fontId="0" fillId="3" borderId="0" xfId="0" applyNumberFormat="1" applyFill="1" applyAlignment="1">
      <alignment horizontal="center" vertic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0" fontId="0" fillId="0" borderId="0" xfId="0" applyFill="1"/>
    <xf numFmtId="0" fontId="0" fillId="5" borderId="2" xfId="0" applyFill="1" applyBorder="1" applyAlignment="1">
      <alignment horizontal="center"/>
    </xf>
    <xf numFmtId="0" fontId="0" fillId="0" borderId="5" xfId="0" applyBorder="1"/>
    <xf numFmtId="0" fontId="0" fillId="0" borderId="6" xfId="0" applyBorder="1"/>
    <xf numFmtId="0" fontId="0" fillId="0" borderId="0" xfId="0" applyBorder="1"/>
    <xf numFmtId="0" fontId="0" fillId="0" borderId="0" xfId="0" applyBorder="1" applyAlignment="1"/>
    <xf numFmtId="0" fontId="0" fillId="0" borderId="7" xfId="0" applyBorder="1"/>
    <xf numFmtId="0" fontId="0" fillId="0" borderId="6" xfId="0" applyBorder="1" applyAlignment="1">
      <alignment horizontal="left" vertical="center"/>
    </xf>
    <xf numFmtId="0" fontId="0" fillId="0" borderId="0" xfId="0" applyBorder="1" applyAlignment="1">
      <alignment horizontal="left" vertical="center"/>
    </xf>
    <xf numFmtId="2" fontId="0" fillId="4" borderId="8" xfId="0" applyNumberFormat="1" applyFill="1" applyBorder="1" applyAlignment="1">
      <alignment horizontal="center" vertical="center"/>
    </xf>
    <xf numFmtId="0" fontId="0" fillId="0" borderId="0" xfId="0" applyBorder="1" applyAlignment="1">
      <alignment horizontal="left"/>
    </xf>
    <xf numFmtId="0" fontId="0" fillId="4" borderId="8" xfId="0" applyFill="1" applyBorder="1" applyAlignment="1">
      <alignment horizontal="center"/>
    </xf>
    <xf numFmtId="0" fontId="0" fillId="0" borderId="6" xfId="0" applyBorder="1" applyAlignment="1">
      <alignment horizontal="left"/>
    </xf>
    <xf numFmtId="0" fontId="0" fillId="0" borderId="6" xfId="0" applyFill="1" applyBorder="1" applyAlignment="1">
      <alignment horizontal="left" vertical="center"/>
    </xf>
    <xf numFmtId="0" fontId="0" fillId="0" borderId="6" xfId="0" applyBorder="1" applyAlignment="1">
      <alignment vertical="top"/>
    </xf>
    <xf numFmtId="0" fontId="0" fillId="0" borderId="10" xfId="0" applyBorder="1"/>
    <xf numFmtId="0" fontId="0" fillId="0" borderId="11" xfId="0" applyBorder="1"/>
    <xf numFmtId="0" fontId="0" fillId="0" borderId="12" xfId="0" applyBorder="1"/>
    <xf numFmtId="0" fontId="0" fillId="3" borderId="0" xfId="0" applyFill="1"/>
    <xf numFmtId="165" fontId="0" fillId="5" borderId="1" xfId="0" applyNumberFormat="1" applyFill="1" applyBorder="1" applyAlignment="1">
      <alignment horizontal="center" vertical="center" wrapText="1"/>
    </xf>
    <xf numFmtId="1" fontId="0" fillId="0" borderId="13" xfId="0" applyNumberFormat="1" applyFill="1" applyBorder="1" applyAlignment="1">
      <alignment horizontal="center" vertical="center" wrapText="1"/>
    </xf>
    <xf numFmtId="1" fontId="0" fillId="0" borderId="3" xfId="0" applyNumberFormat="1" applyFill="1" applyBorder="1" applyAlignment="1">
      <alignment horizontal="right" vertical="center"/>
    </xf>
    <xf numFmtId="1" fontId="0" fillId="0" borderId="10" xfId="0" applyNumberFormat="1" applyFill="1" applyBorder="1" applyAlignment="1">
      <alignment horizontal="right" vertical="center"/>
    </xf>
    <xf numFmtId="1" fontId="0" fillId="0" borderId="4"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11" xfId="0" applyBorder="1" applyAlignment="1">
      <alignment horizontal="center" vertical="center"/>
    </xf>
    <xf numFmtId="1" fontId="0" fillId="0" borderId="6" xfId="0" applyNumberFormat="1" applyFill="1" applyBorder="1" applyAlignment="1">
      <alignment horizontal="right" vertical="center"/>
    </xf>
    <xf numFmtId="1" fontId="0" fillId="0" borderId="11" xfId="0" applyNumberFormat="1" applyBorder="1" applyAlignment="1">
      <alignment horizontal="center" vertical="center"/>
    </xf>
    <xf numFmtId="1" fontId="0" fillId="6" borderId="17" xfId="0" applyNumberFormat="1" applyFill="1" applyBorder="1" applyAlignment="1">
      <alignment horizontal="center" vertical="center" wrapText="1"/>
    </xf>
    <xf numFmtId="1" fontId="0" fillId="6" borderId="0" xfId="0" applyNumberFormat="1" applyFill="1" applyAlignment="1">
      <alignment horizontal="center" vertical="center"/>
    </xf>
    <xf numFmtId="0" fontId="0" fillId="6" borderId="6" xfId="0" applyFill="1" applyBorder="1" applyAlignment="1">
      <alignment horizontal="center" vertical="center"/>
    </xf>
    <xf numFmtId="0" fontId="0" fillId="6" borderId="17" xfId="0" applyFill="1" applyBorder="1" applyAlignment="1">
      <alignment horizontal="center" vertical="center" wrapText="1"/>
    </xf>
    <xf numFmtId="165" fontId="0" fillId="4" borderId="15" xfId="0" applyNumberFormat="1" applyFill="1" applyBorder="1" applyAlignment="1">
      <alignment horizontal="center" vertical="center" wrapText="1"/>
    </xf>
    <xf numFmtId="165" fontId="0" fillId="4" borderId="18" xfId="0" applyNumberFormat="1" applyFill="1" applyBorder="1" applyAlignment="1">
      <alignment horizontal="center" vertical="center" wrapText="1"/>
    </xf>
    <xf numFmtId="2" fontId="0" fillId="7" borderId="14" xfId="0" applyNumberFormat="1" applyFill="1" applyBorder="1" applyAlignment="1">
      <alignment horizontal="center" vertical="center" wrapText="1"/>
    </xf>
    <xf numFmtId="1" fontId="1" fillId="0" borderId="16" xfId="0" applyNumberFormat="1" applyFont="1" applyFill="1" applyBorder="1" applyAlignment="1">
      <alignment horizontal="center" vertical="center" wrapText="1"/>
    </xf>
    <xf numFmtId="1" fontId="0" fillId="0" borderId="3" xfId="0" applyNumberFormat="1" applyFont="1" applyFill="1" applyBorder="1" applyAlignment="1">
      <alignment horizontal="right" vertical="center"/>
    </xf>
    <xf numFmtId="1" fontId="0" fillId="0" borderId="16" xfId="0" applyNumberFormat="1" applyFont="1" applyFill="1" applyBorder="1" applyAlignment="1">
      <alignment horizontal="center" vertical="center" wrapText="1"/>
    </xf>
    <xf numFmtId="2" fontId="0" fillId="6" borderId="0" xfId="0" applyNumberFormat="1" applyFill="1" applyAlignment="1">
      <alignment horizontal="center" vertical="center"/>
    </xf>
    <xf numFmtId="0" fontId="0" fillId="6" borderId="17" xfId="0" applyFill="1" applyBorder="1" applyAlignment="1">
      <alignment horizontal="center" vertical="center"/>
    </xf>
    <xf numFmtId="3" fontId="0" fillId="0" borderId="17" xfId="0" applyNumberFormat="1" applyBorder="1" applyAlignment="1">
      <alignment horizontal="center" vertical="center"/>
    </xf>
    <xf numFmtId="1" fontId="0" fillId="0" borderId="17" xfId="0" applyNumberFormat="1" applyBorder="1" applyAlignment="1">
      <alignment horizontal="center" vertical="center"/>
    </xf>
    <xf numFmtId="3" fontId="0" fillId="7" borderId="17" xfId="0" applyNumberFormat="1" applyFill="1" applyBorder="1" applyAlignment="1">
      <alignment horizontal="center" vertical="center"/>
    </xf>
    <xf numFmtId="2" fontId="0" fillId="7" borderId="17" xfId="0" applyNumberFormat="1" applyFill="1" applyBorder="1" applyAlignment="1">
      <alignment horizontal="center" vertical="center"/>
    </xf>
    <xf numFmtId="165" fontId="0" fillId="6" borderId="17" xfId="0" applyNumberFormat="1" applyFill="1" applyBorder="1" applyAlignment="1">
      <alignment horizontal="center" vertical="center"/>
    </xf>
    <xf numFmtId="165" fontId="0" fillId="4" borderId="17" xfId="0" applyNumberFormat="1" applyFill="1" applyBorder="1" applyAlignment="1">
      <alignment horizontal="center" vertical="center"/>
    </xf>
    <xf numFmtId="165" fontId="0" fillId="4" borderId="18" xfId="0" applyNumberFormat="1" applyFill="1" applyBorder="1" applyAlignment="1">
      <alignment horizontal="center" vertical="center"/>
    </xf>
    <xf numFmtId="165" fontId="0" fillId="5" borderId="8" xfId="0" applyNumberFormat="1" applyFill="1" applyBorder="1" applyAlignment="1">
      <alignment horizontal="center" vertical="center" wrapText="1"/>
    </xf>
    <xf numFmtId="165" fontId="0" fillId="4" borderId="25" xfId="0" applyNumberFormat="1" applyFill="1" applyBorder="1" applyAlignment="1">
      <alignment horizontal="center" vertical="center" wrapText="1"/>
    </xf>
    <xf numFmtId="165" fontId="0" fillId="4" borderId="21" xfId="0" applyNumberFormat="1" applyFill="1" applyBorder="1" applyAlignment="1">
      <alignment horizontal="center" vertical="center" wrapText="1"/>
    </xf>
    <xf numFmtId="0" fontId="0" fillId="0" borderId="0" xfId="0" applyFill="1" applyAlignment="1">
      <alignment horizontal="center" vertical="center"/>
    </xf>
    <xf numFmtId="165" fontId="0" fillId="5" borderId="9" xfId="0" applyNumberFormat="1" applyFill="1" applyBorder="1" applyAlignment="1">
      <alignment horizontal="center" vertical="center" wrapText="1"/>
    </xf>
    <xf numFmtId="165" fontId="0" fillId="4" borderId="24" xfId="0" applyNumberFormat="1" applyFill="1" applyBorder="1" applyAlignment="1">
      <alignment horizontal="center" vertical="center" wrapText="1"/>
    </xf>
    <xf numFmtId="1" fontId="1" fillId="0" borderId="22" xfId="0" applyNumberFormat="1" applyFont="1" applyFill="1" applyBorder="1" applyAlignment="1">
      <alignment horizontal="center" vertical="center" wrapText="1"/>
    </xf>
    <xf numFmtId="1" fontId="1" fillId="0" borderId="23" xfId="0" applyNumberFormat="1" applyFont="1" applyFill="1" applyBorder="1" applyAlignment="1">
      <alignment horizontal="center" vertical="center" wrapText="1"/>
    </xf>
    <xf numFmtId="1" fontId="1" fillId="0" borderId="20" xfId="0" applyNumberFormat="1" applyFont="1" applyFill="1" applyBorder="1" applyAlignment="1">
      <alignment horizontal="center" vertical="center" wrapText="1"/>
    </xf>
    <xf numFmtId="1" fontId="0" fillId="0" borderId="0" xfId="0" applyNumberFormat="1" applyFill="1" applyBorder="1" applyAlignment="1">
      <alignment horizontal="right" vertical="center"/>
    </xf>
    <xf numFmtId="165" fontId="0" fillId="0" borderId="0"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 fontId="1" fillId="0" borderId="5" xfId="0" applyNumberFormat="1" applyFont="1" applyFill="1" applyBorder="1" applyAlignment="1">
      <alignment horizontal="center" vertical="center" wrapText="1"/>
    </xf>
    <xf numFmtId="1" fontId="0" fillId="0" borderId="5" xfId="0" applyNumberFormat="1" applyFont="1" applyFill="1" applyBorder="1" applyAlignment="1">
      <alignment horizontal="center" vertical="center" wrapText="1"/>
    </xf>
    <xf numFmtId="4" fontId="0" fillId="7" borderId="26" xfId="0" applyNumberFormat="1" applyFill="1" applyBorder="1" applyAlignment="1">
      <alignment horizontal="center" vertical="center" wrapText="1"/>
    </xf>
    <xf numFmtId="1" fontId="1" fillId="0" borderId="16" xfId="0" applyNumberFormat="1" applyFont="1" applyFill="1" applyBorder="1" applyAlignment="1">
      <alignment horizontal="center" vertical="center"/>
    </xf>
    <xf numFmtId="1" fontId="0" fillId="0" borderId="16" xfId="0" applyNumberFormat="1" applyFont="1" applyFill="1" applyBorder="1" applyAlignment="1">
      <alignment horizontal="center" vertical="center"/>
    </xf>
    <xf numFmtId="4" fontId="0" fillId="7" borderId="13" xfId="0" applyNumberFormat="1" applyFill="1" applyBorder="1" applyAlignment="1">
      <alignment horizontal="center" vertical="center"/>
    </xf>
    <xf numFmtId="1" fontId="0" fillId="6" borderId="7" xfId="0" applyNumberFormat="1" applyFill="1" applyBorder="1" applyAlignment="1">
      <alignment horizontal="center" vertical="center" wrapText="1"/>
    </xf>
    <xf numFmtId="1" fontId="0" fillId="0" borderId="26" xfId="0" applyNumberFormat="1" applyFill="1" applyBorder="1" applyAlignment="1">
      <alignment horizontal="center" vertical="center" wrapText="1"/>
    </xf>
    <xf numFmtId="2" fontId="0" fillId="7" borderId="28" xfId="0" applyNumberFormat="1" applyFill="1" applyBorder="1" applyAlignment="1">
      <alignment horizontal="center" vertical="center" wrapText="1"/>
    </xf>
    <xf numFmtId="165" fontId="0" fillId="4" borderId="29" xfId="0" applyNumberFormat="1" applyFill="1" applyBorder="1" applyAlignment="1">
      <alignment horizontal="center" vertical="center" wrapText="1"/>
    </xf>
    <xf numFmtId="0" fontId="0" fillId="6" borderId="7" xfId="0" applyFill="1" applyBorder="1" applyAlignment="1">
      <alignment horizontal="center" vertical="center" wrapText="1"/>
    </xf>
    <xf numFmtId="0" fontId="0" fillId="0" borderId="0" xfId="0" applyFill="1" applyAlignment="1">
      <alignment horizontal="left" vertical="center" wrapText="1"/>
    </xf>
    <xf numFmtId="165" fontId="0" fillId="0" borderId="0" xfId="0" applyNumberFormat="1" applyFill="1" applyBorder="1" applyAlignment="1">
      <alignment horizontal="center" vertical="center"/>
    </xf>
    <xf numFmtId="2" fontId="0" fillId="6" borderId="17" xfId="0" applyNumberFormat="1" applyFill="1" applyBorder="1" applyAlignment="1">
      <alignment horizontal="center" vertical="center"/>
    </xf>
    <xf numFmtId="4" fontId="0" fillId="0" borderId="19" xfId="0" applyNumberFormat="1" applyFill="1" applyBorder="1" applyAlignment="1">
      <alignment horizontal="center" vertical="center"/>
    </xf>
    <xf numFmtId="4" fontId="0" fillId="0" borderId="27" xfId="0" applyNumberFormat="1" applyFill="1" applyBorder="1" applyAlignment="1">
      <alignment horizontal="center" vertical="center" wrapText="1"/>
    </xf>
    <xf numFmtId="4" fontId="0" fillId="0" borderId="19" xfId="0" applyNumberFormat="1" applyFill="1" applyBorder="1" applyAlignment="1">
      <alignment horizontal="center" vertical="center" wrapText="1"/>
    </xf>
    <xf numFmtId="2" fontId="0" fillId="0" borderId="0" xfId="0" applyNumberFormat="1" applyFill="1" applyBorder="1" applyAlignment="1">
      <alignment horizontal="center" vertical="center"/>
    </xf>
    <xf numFmtId="0" fontId="0" fillId="0" borderId="0" xfId="0" applyFill="1" applyBorder="1" applyAlignment="1">
      <alignment horizontal="center" vertical="center" wrapText="1"/>
    </xf>
    <xf numFmtId="1"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wrapText="1"/>
    </xf>
    <xf numFmtId="4" fontId="0" fillId="0" borderId="0" xfId="0" applyNumberFormat="1" applyFill="1" applyBorder="1" applyAlignment="1">
      <alignment horizontal="center" vertical="center" wrapText="1"/>
    </xf>
    <xf numFmtId="1" fontId="0" fillId="0" borderId="0" xfId="0" applyNumberFormat="1" applyFill="1" applyBorder="1" applyAlignment="1">
      <alignment horizontal="center" vertical="center" wrapText="1"/>
    </xf>
    <xf numFmtId="2" fontId="0" fillId="0" borderId="0" xfId="0" applyNumberFormat="1" applyFill="1" applyBorder="1" applyAlignment="1">
      <alignment horizontal="center" vertical="center" wrapText="1"/>
    </xf>
    <xf numFmtId="1" fontId="4" fillId="2" borderId="0" xfId="1" applyNumberFormat="1" applyFont="1" applyFill="1" applyAlignment="1">
      <alignment horizontal="center" vertical="center" wrapText="1"/>
    </xf>
    <xf numFmtId="0" fontId="0" fillId="0" borderId="0" xfId="0" applyAlignment="1">
      <alignment horizontal="center"/>
    </xf>
    <xf numFmtId="0" fontId="1" fillId="9" borderId="0" xfId="0" applyFont="1" applyFill="1" applyAlignment="1">
      <alignment horizontal="center" vertical="center" wrapText="1"/>
    </xf>
    <xf numFmtId="166" fontId="0" fillId="0" borderId="0" xfId="0" applyNumberFormat="1" applyAlignment="1">
      <alignment horizontal="center" vertic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2" fontId="0" fillId="0" borderId="0" xfId="0" applyNumberFormat="1"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horizontal="center" vertical="center" wrapText="1"/>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166"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xf>
    <xf numFmtId="166" fontId="1" fillId="9" borderId="1" xfId="0" applyNumberFormat="1" applyFont="1" applyFill="1" applyBorder="1" applyAlignment="1">
      <alignment horizontal="center" vertical="center"/>
    </xf>
    <xf numFmtId="2" fontId="1" fillId="9" borderId="1" xfId="0" applyNumberFormat="1" applyFont="1" applyFill="1" applyBorder="1" applyAlignment="1">
      <alignment horizontal="center" vertical="center"/>
    </xf>
    <xf numFmtId="0" fontId="1" fillId="9" borderId="1" xfId="0" applyFont="1" applyFill="1" applyBorder="1" applyAlignment="1">
      <alignment horizontal="center" vertical="center"/>
    </xf>
    <xf numFmtId="49" fontId="0" fillId="0" borderId="0" xfId="0" applyNumberFormat="1"/>
    <xf numFmtId="49" fontId="0" fillId="0" borderId="0" xfId="0" applyNumberFormat="1" applyFill="1" applyAlignment="1">
      <alignment horizontal="center" vertical="center" wrapText="1"/>
    </xf>
    <xf numFmtId="49" fontId="0" fillId="0" borderId="0" xfId="0" applyNumberFormat="1" applyFill="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xf>
    <xf numFmtId="0" fontId="0" fillId="0" borderId="0" xfId="0" applyNumberFormat="1" applyAlignment="1">
      <alignment horizontal="center" vertical="center" wrapText="1"/>
    </xf>
    <xf numFmtId="0" fontId="0" fillId="0" borderId="0" xfId="0" applyNumberFormat="1" applyAlignment="1">
      <alignment horizontal="center" vertical="center"/>
    </xf>
    <xf numFmtId="49" fontId="1" fillId="10" borderId="0" xfId="0" applyNumberFormat="1" applyFont="1" applyFill="1" applyAlignment="1">
      <alignment horizontal="center" vertical="center"/>
    </xf>
    <xf numFmtId="0" fontId="1" fillId="10" borderId="0" xfId="0" applyFont="1" applyFill="1" applyAlignment="1">
      <alignment horizontal="center" vertical="center"/>
    </xf>
    <xf numFmtId="164" fontId="0" fillId="0" borderId="0" xfId="0" applyNumberFormat="1" applyAlignment="1">
      <alignment horizontal="center" vertical="center"/>
    </xf>
    <xf numFmtId="0" fontId="0" fillId="12" borderId="0" xfId="0" applyFill="1" applyAlignment="1">
      <alignment horizontal="left" vertical="center"/>
    </xf>
    <xf numFmtId="0" fontId="0" fillId="12" borderId="0" xfId="0" applyFill="1"/>
    <xf numFmtId="2" fontId="0" fillId="0" borderId="0" xfId="0" applyNumberFormat="1" applyFont="1" applyAlignment="1">
      <alignment horizontal="left" vertical="center"/>
    </xf>
    <xf numFmtId="167" fontId="0" fillId="0" borderId="0" xfId="0" applyNumberFormat="1"/>
    <xf numFmtId="1" fontId="0" fillId="13" borderId="0" xfId="0" applyNumberFormat="1" applyFill="1" applyAlignment="1">
      <alignment horizontal="left" vertical="center" wrapText="1"/>
    </xf>
    <xf numFmtId="0" fontId="0" fillId="9" borderId="0" xfId="0" applyFill="1" applyAlignment="1">
      <alignment horizontal="center" vertical="center" wrapText="1"/>
    </xf>
    <xf numFmtId="2" fontId="0" fillId="9" borderId="0" xfId="0" applyNumberFormat="1" applyFill="1" applyAlignment="1">
      <alignment horizontal="center" vertical="center" wrapText="1"/>
    </xf>
    <xf numFmtId="0" fontId="0" fillId="9" borderId="0" xfId="0" applyFill="1" applyAlignment="1">
      <alignment horizontal="center" vertical="center"/>
    </xf>
    <xf numFmtId="49" fontId="0" fillId="9" borderId="0" xfId="0" applyNumberFormat="1" applyFill="1" applyAlignment="1">
      <alignment horizontal="center" vertical="center"/>
    </xf>
    <xf numFmtId="166" fontId="0" fillId="9" borderId="0" xfId="0" applyNumberFormat="1" applyFill="1" applyAlignment="1">
      <alignment horizontal="center" vertical="center"/>
    </xf>
    <xf numFmtId="2" fontId="0" fillId="9" borderId="0" xfId="0" applyNumberFormat="1" applyFill="1" applyAlignment="1">
      <alignment horizontal="center" vertical="center"/>
    </xf>
    <xf numFmtId="0" fontId="0" fillId="9" borderId="0" xfId="0" applyFill="1" applyAlignment="1">
      <alignment horizontal="center"/>
    </xf>
    <xf numFmtId="164" fontId="0" fillId="0" borderId="0" xfId="0" applyNumberFormat="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17" borderId="1" xfId="0" applyFill="1" applyBorder="1" applyAlignment="1">
      <alignment horizontal="center" vertical="center" wrapText="1"/>
    </xf>
    <xf numFmtId="0" fontId="0" fillId="17" borderId="1" xfId="0" applyFill="1" applyBorder="1" applyAlignment="1">
      <alignment horizontal="center" vertic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1" fillId="19" borderId="0"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8" borderId="1" xfId="0" applyFill="1" applyBorder="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Fill="1" applyAlignment="1">
      <alignment horizontal="center" vertical="center" wrapText="1"/>
    </xf>
    <xf numFmtId="49" fontId="0" fillId="13" borderId="0" xfId="0" applyNumberFormat="1" applyFill="1" applyAlignment="1">
      <alignment horizontal="center" vertical="center" wrapText="1"/>
    </xf>
    <xf numFmtId="164" fontId="0" fillId="13" borderId="0" xfId="0" applyNumberFormat="1" applyFill="1" applyAlignment="1">
      <alignment horizontal="center" vertical="center" wrapText="1"/>
    </xf>
    <xf numFmtId="2"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0" fillId="13" borderId="0" xfId="0" applyFill="1" applyAlignment="1">
      <alignment horizontal="center" vertical="center"/>
    </xf>
    <xf numFmtId="0" fontId="0" fillId="20" borderId="0" xfId="0" applyFill="1" applyAlignment="1">
      <alignment horizontal="center" vertical="center" wrapText="1"/>
    </xf>
    <xf numFmtId="49" fontId="0" fillId="20" borderId="0" xfId="0" applyNumberFormat="1" applyFill="1" applyAlignment="1">
      <alignment horizontal="center" vertical="center" wrapText="1"/>
    </xf>
    <xf numFmtId="164" fontId="0" fillId="20" borderId="0" xfId="0" applyNumberFormat="1" applyFill="1" applyAlignment="1">
      <alignment horizontal="center" vertical="center" wrapText="1"/>
    </xf>
    <xf numFmtId="2" fontId="0" fillId="20" borderId="0" xfId="0" applyNumberFormat="1" applyFill="1" applyAlignment="1">
      <alignment horizontal="center" vertical="center" wrapText="1"/>
    </xf>
    <xf numFmtId="0" fontId="0" fillId="20" borderId="0" xfId="0" applyFill="1" applyAlignment="1">
      <alignment horizontal="center" vertical="center"/>
    </xf>
    <xf numFmtId="0" fontId="0" fillId="9" borderId="22" xfId="0" applyFill="1" applyBorder="1" applyAlignment="1">
      <alignment horizontal="center" vertical="center" wrapText="1"/>
    </xf>
    <xf numFmtId="0" fontId="0" fillId="13" borderId="9" xfId="0" applyFill="1" applyBorder="1" applyAlignment="1">
      <alignment horizontal="center" vertical="center" wrapText="1"/>
    </xf>
    <xf numFmtId="0" fontId="0" fillId="4" borderId="9" xfId="0" applyFill="1" applyBorder="1" applyAlignment="1">
      <alignment horizontal="center" vertical="center" wrapText="1"/>
    </xf>
    <xf numFmtId="0" fontId="0" fillId="17" borderId="24" xfId="0" applyFill="1" applyBorder="1" applyAlignment="1">
      <alignment horizontal="center" vertical="center" wrapText="1"/>
    </xf>
    <xf numFmtId="0" fontId="0" fillId="0" borderId="0" xfId="0" applyFill="1" applyBorder="1" applyAlignment="1">
      <alignment horizontal="center" vertical="center"/>
    </xf>
    <xf numFmtId="0" fontId="1" fillId="0" borderId="0" xfId="0" applyFont="1" applyFill="1" applyAlignment="1">
      <alignment horizontal="center" vertical="center" wrapText="1"/>
    </xf>
    <xf numFmtId="0" fontId="0" fillId="17" borderId="0" xfId="0" applyFill="1" applyAlignment="1">
      <alignment horizontal="center" vertical="center" wrapText="1"/>
    </xf>
    <xf numFmtId="0" fontId="0" fillId="19" borderId="0" xfId="0" applyFill="1" applyAlignment="1">
      <alignment horizontal="center" vertical="center"/>
    </xf>
    <xf numFmtId="0" fontId="4" fillId="0" borderId="0" xfId="0" applyFont="1" applyFill="1" applyAlignment="1">
      <alignment horizontal="center" vertical="center" wrapText="1"/>
    </xf>
    <xf numFmtId="168" fontId="0" fillId="0" borderId="0" xfId="0" applyNumberFormat="1" applyAlignment="1">
      <alignment horizontal="center" vertical="center"/>
    </xf>
    <xf numFmtId="164" fontId="0" fillId="0" borderId="0" xfId="0" applyNumberFormat="1" applyFill="1" applyAlignment="1">
      <alignment horizontal="center" vertical="center"/>
    </xf>
    <xf numFmtId="168" fontId="0" fillId="0" borderId="0" xfId="0" applyNumberFormat="1" applyFill="1" applyAlignment="1">
      <alignment horizontal="center" vertical="center"/>
    </xf>
    <xf numFmtId="0" fontId="0" fillId="2" borderId="0" xfId="0" applyFill="1" applyAlignment="1">
      <alignment horizontal="center" vertical="center"/>
    </xf>
    <xf numFmtId="0" fontId="0" fillId="0" borderId="0" xfId="0" quotePrefix="1" applyAlignment="1">
      <alignment horizontal="center" vertical="center"/>
    </xf>
    <xf numFmtId="0" fontId="7" fillId="0" borderId="0" xfId="0" applyFont="1" applyFill="1" applyAlignment="1">
      <alignment horizontal="center" vertical="center"/>
    </xf>
    <xf numFmtId="0" fontId="0" fillId="21" borderId="0" xfId="0" applyNumberFormat="1" applyFill="1" applyAlignment="1">
      <alignment horizontal="center" vertical="center" wrapText="1"/>
    </xf>
    <xf numFmtId="164" fontId="0" fillId="21" borderId="0" xfId="0" applyNumberFormat="1" applyFill="1" applyAlignment="1">
      <alignment horizontal="center" vertical="center" wrapText="1"/>
    </xf>
    <xf numFmtId="2" fontId="0" fillId="21" borderId="0" xfId="0" applyNumberFormat="1" applyFill="1" applyAlignment="1">
      <alignment horizontal="center" vertical="center" wrapText="1"/>
    </xf>
    <xf numFmtId="49" fontId="0" fillId="21" borderId="0" xfId="0" applyNumberFormat="1" applyFill="1" applyAlignment="1">
      <alignment horizontal="center" vertical="center" wrapText="1"/>
    </xf>
    <xf numFmtId="0" fontId="0" fillId="21" borderId="0" xfId="0" applyFill="1" applyAlignment="1">
      <alignment horizontal="center" vertical="center" wrapText="1"/>
    </xf>
    <xf numFmtId="0" fontId="0" fillId="21" borderId="0" xfId="0" applyFill="1" applyAlignment="1">
      <alignment horizontal="center" vertical="center"/>
    </xf>
    <xf numFmtId="0" fontId="1" fillId="9" borderId="32" xfId="0" applyFont="1" applyFill="1" applyBorder="1" applyAlignment="1">
      <alignment horizontal="center" vertical="center" wrapText="1"/>
    </xf>
    <xf numFmtId="49" fontId="1" fillId="9" borderId="32" xfId="0" applyNumberFormat="1" applyFont="1" applyFill="1" applyBorder="1" applyAlignment="1">
      <alignment horizontal="center" vertical="center" wrapText="1"/>
    </xf>
    <xf numFmtId="164" fontId="1" fillId="9" borderId="32" xfId="0" applyNumberFormat="1" applyFont="1" applyFill="1" applyBorder="1" applyAlignment="1">
      <alignment horizontal="center" vertical="center" wrapText="1"/>
    </xf>
    <xf numFmtId="2" fontId="1" fillId="9" borderId="32" xfId="0" applyNumberFormat="1"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17" borderId="32" xfId="0" applyFont="1" applyFill="1" applyBorder="1" applyAlignment="1">
      <alignment horizontal="center" vertical="center" wrapText="1"/>
    </xf>
    <xf numFmtId="0" fontId="0" fillId="0" borderId="0" xfId="0" applyFill="1" applyBorder="1" applyAlignment="1">
      <alignment wrapText="1"/>
    </xf>
    <xf numFmtId="1" fontId="0" fillId="11" borderId="0" xfId="0" applyNumberFormat="1" applyFill="1" applyAlignment="1">
      <alignment horizontal="left" vertical="center" wrapText="1"/>
    </xf>
    <xf numFmtId="0" fontId="0" fillId="0" borderId="0" xfId="0" applyNumberFormat="1" applyFill="1" applyAlignment="1">
      <alignment horizontal="center" vertical="center" wrapText="1"/>
    </xf>
    <xf numFmtId="0" fontId="0" fillId="0" borderId="0" xfId="0" applyNumberFormat="1" applyFill="1" applyAlignment="1">
      <alignment horizontal="center" vertical="center"/>
    </xf>
    <xf numFmtId="0" fontId="8" fillId="0" borderId="0" xfId="0" applyFont="1" applyAlignment="1">
      <alignment wrapText="1"/>
    </xf>
    <xf numFmtId="167" fontId="8" fillId="0" borderId="0" xfId="0" applyNumberFormat="1" applyFont="1" applyAlignment="1">
      <alignment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164" fontId="0" fillId="0" borderId="0" xfId="0" applyNumberFormat="1" applyFont="1" applyAlignment="1">
      <alignment horizontal="center" vertical="center"/>
    </xf>
    <xf numFmtId="2" fontId="0" fillId="0" borderId="0" xfId="0" applyNumberFormat="1"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Fill="1" applyAlignment="1">
      <alignment horizontal="center" vertical="center" wrapText="1"/>
    </xf>
    <xf numFmtId="2" fontId="0" fillId="0" borderId="0" xfId="0" applyNumberFormat="1" applyFont="1" applyFill="1" applyBorder="1" applyAlignment="1">
      <alignment horizontal="center" vertical="center"/>
    </xf>
    <xf numFmtId="0" fontId="0" fillId="0" borderId="0" xfId="0" applyFont="1" applyFill="1" applyAlignment="1">
      <alignment horizontal="center" vertical="center"/>
    </xf>
    <xf numFmtId="164" fontId="0" fillId="0" borderId="0" xfId="0" applyNumberFormat="1" applyFont="1" applyFill="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left" vertical="center" wrapText="1"/>
    </xf>
    <xf numFmtId="0" fontId="0" fillId="0" borderId="0" xfId="0" applyFont="1" applyFill="1" applyBorder="1" applyAlignment="1">
      <alignment horizontal="center" vertical="center"/>
    </xf>
    <xf numFmtId="3" fontId="0" fillId="0" borderId="0" xfId="0" applyNumberFormat="1" applyFill="1" applyBorder="1" applyAlignment="1">
      <alignment horizontal="center" vertical="center" wrapText="1"/>
    </xf>
    <xf numFmtId="0" fontId="0" fillId="0" borderId="17" xfId="0" applyBorder="1" applyAlignment="1">
      <alignment horizontal="center" vertical="center"/>
    </xf>
    <xf numFmtId="0" fontId="0" fillId="0" borderId="0" xfId="0" applyFont="1" applyAlignment="1">
      <alignment horizontal="left" vertical="center" wrapText="1" indent="1"/>
    </xf>
    <xf numFmtId="0" fontId="0" fillId="0" borderId="0" xfId="0" applyFont="1" applyAlignment="1">
      <alignment wrapText="1"/>
    </xf>
    <xf numFmtId="0" fontId="7" fillId="0" borderId="0" xfId="0" applyFont="1" applyAlignment="1">
      <alignment vertical="center"/>
    </xf>
    <xf numFmtId="0" fontId="0" fillId="0" borderId="0" xfId="0" applyAlignment="1">
      <alignment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7" borderId="35" xfId="0" applyFont="1" applyFill="1" applyBorder="1" applyAlignment="1">
      <alignment vertical="center"/>
    </xf>
    <xf numFmtId="0" fontId="0" fillId="7" borderId="16" xfId="0" applyFill="1" applyBorder="1" applyAlignment="1">
      <alignment horizontal="center" vertical="center"/>
    </xf>
    <xf numFmtId="0" fontId="0" fillId="7" borderId="36" xfId="0" applyFill="1" applyBorder="1" applyAlignment="1">
      <alignment horizontal="left" vertical="center"/>
    </xf>
    <xf numFmtId="0" fontId="0" fillId="0" borderId="19" xfId="0" applyBorder="1" applyAlignment="1">
      <alignment horizontal="center" vertical="center"/>
    </xf>
    <xf numFmtId="0" fontId="0" fillId="7" borderId="6" xfId="0" applyFill="1" applyBorder="1" applyAlignment="1">
      <alignment horizontal="left" vertical="center"/>
    </xf>
    <xf numFmtId="0" fontId="7" fillId="7" borderId="6" xfId="0" applyFont="1" applyFill="1" applyBorder="1" applyAlignment="1">
      <alignment vertical="center"/>
    </xf>
    <xf numFmtId="0" fontId="7" fillId="7" borderId="36" xfId="0" applyFont="1" applyFill="1" applyBorder="1" applyAlignment="1">
      <alignment horizontal="right" vertical="center"/>
    </xf>
    <xf numFmtId="0" fontId="0" fillId="7" borderId="19" xfId="0" applyFill="1" applyBorder="1" applyAlignment="1">
      <alignment horizontal="center" vertical="center"/>
    </xf>
    <xf numFmtId="0" fontId="0" fillId="19" borderId="10" xfId="0" applyFill="1" applyBorder="1" applyAlignment="1">
      <alignment vertical="center"/>
    </xf>
    <xf numFmtId="0" fontId="0" fillId="19" borderId="18" xfId="0" applyFill="1" applyBorder="1" applyAlignment="1">
      <alignment horizontal="center" vertical="center"/>
    </xf>
    <xf numFmtId="0" fontId="7" fillId="9" borderId="3" xfId="0" applyFont="1" applyFill="1" applyBorder="1" applyAlignment="1">
      <alignment vertical="center"/>
    </xf>
    <xf numFmtId="0" fontId="0" fillId="9" borderId="16" xfId="0" applyFill="1" applyBorder="1" applyAlignment="1">
      <alignment horizontal="center" vertical="center"/>
    </xf>
    <xf numFmtId="0" fontId="7" fillId="9" borderId="36" xfId="0" applyFont="1" applyFill="1" applyBorder="1" applyAlignment="1">
      <alignment vertical="center"/>
    </xf>
    <xf numFmtId="0" fontId="7" fillId="9" borderId="6" xfId="0" applyFont="1" applyFill="1" applyBorder="1" applyAlignment="1">
      <alignment vertical="center"/>
    </xf>
    <xf numFmtId="0" fontId="7" fillId="9" borderId="36" xfId="0" applyFont="1" applyFill="1" applyBorder="1" applyAlignment="1">
      <alignment horizontal="right" vertical="center"/>
    </xf>
    <xf numFmtId="0" fontId="0" fillId="9" borderId="19" xfId="0" applyFill="1" applyBorder="1" applyAlignment="1">
      <alignment horizontal="center" vertical="center"/>
    </xf>
    <xf numFmtId="0" fontId="0" fillId="22" borderId="6" xfId="0" applyFill="1" applyBorder="1" applyAlignment="1">
      <alignment vertical="center"/>
    </xf>
    <xf numFmtId="0" fontId="0" fillId="22" borderId="16" xfId="0" applyFill="1" applyBorder="1" applyAlignment="1">
      <alignment horizontal="center" vertical="center"/>
    </xf>
    <xf numFmtId="0" fontId="7" fillId="22" borderId="19" xfId="0" applyFont="1" applyFill="1" applyBorder="1" applyAlignment="1">
      <alignment vertical="center"/>
    </xf>
    <xf numFmtId="0" fontId="7" fillId="22" borderId="6" xfId="0" applyFont="1" applyFill="1" applyBorder="1" applyAlignment="1">
      <alignment vertical="center"/>
    </xf>
    <xf numFmtId="0" fontId="7" fillId="22" borderId="36" xfId="0" applyFont="1" applyFill="1" applyBorder="1" applyAlignment="1">
      <alignment horizontal="right" vertical="center"/>
    </xf>
    <xf numFmtId="0" fontId="0" fillId="22" borderId="19" xfId="0" applyFill="1" applyBorder="1" applyAlignment="1">
      <alignment horizontal="center" vertical="center"/>
    </xf>
    <xf numFmtId="0" fontId="7" fillId="4" borderId="0" xfId="0" applyFont="1" applyFill="1" applyAlignment="1">
      <alignment horizontal="right" vertical="center"/>
    </xf>
    <xf numFmtId="0" fontId="0" fillId="4" borderId="18" xfId="0" applyFill="1" applyBorder="1" applyAlignment="1">
      <alignment horizontal="center" vertical="center"/>
    </xf>
    <xf numFmtId="0" fontId="7" fillId="3" borderId="3" xfId="0" applyFont="1" applyFill="1" applyBorder="1" applyAlignment="1">
      <alignment vertical="center"/>
    </xf>
    <xf numFmtId="0" fontId="0" fillId="3" borderId="16" xfId="0" applyFill="1" applyBorder="1" applyAlignment="1">
      <alignment horizontal="center" vertical="center"/>
    </xf>
    <xf numFmtId="0" fontId="7" fillId="3" borderId="36" xfId="0" applyFont="1" applyFill="1" applyBorder="1" applyAlignment="1">
      <alignment vertical="center"/>
    </xf>
    <xf numFmtId="0" fontId="7" fillId="3" borderId="6" xfId="0" applyFont="1" applyFill="1" applyBorder="1" applyAlignment="1">
      <alignment vertical="center"/>
    </xf>
    <xf numFmtId="0" fontId="7" fillId="3" borderId="36" xfId="0" applyFont="1" applyFill="1" applyBorder="1" applyAlignment="1">
      <alignment horizontal="right" vertical="center"/>
    </xf>
    <xf numFmtId="0" fontId="0" fillId="3" borderId="19" xfId="0" applyFill="1" applyBorder="1" applyAlignment="1">
      <alignment horizontal="center" vertical="center"/>
    </xf>
    <xf numFmtId="168" fontId="0" fillId="0" borderId="19" xfId="0" applyNumberFormat="1" applyBorder="1" applyAlignment="1">
      <alignment horizontal="center" vertical="center"/>
    </xf>
    <xf numFmtId="168" fontId="0" fillId="0" borderId="17" xfId="0" applyNumberFormat="1" applyBorder="1" applyAlignment="1">
      <alignment horizontal="center" vertical="center"/>
    </xf>
    <xf numFmtId="168" fontId="0" fillId="7" borderId="19" xfId="0" applyNumberFormat="1" applyFill="1" applyBorder="1" applyAlignment="1">
      <alignment horizontal="center" vertical="center"/>
    </xf>
    <xf numFmtId="168" fontId="0" fillId="19" borderId="18" xfId="0" applyNumberFormat="1" applyFill="1" applyBorder="1" applyAlignment="1">
      <alignment horizontal="center" vertical="center"/>
    </xf>
    <xf numFmtId="168" fontId="0" fillId="3" borderId="16" xfId="0" applyNumberFormat="1" applyFill="1" applyBorder="1" applyAlignment="1">
      <alignment horizontal="center" vertical="center"/>
    </xf>
    <xf numFmtId="168" fontId="0" fillId="3" borderId="19" xfId="0" applyNumberFormat="1" applyFill="1" applyBorder="1" applyAlignment="1">
      <alignment horizontal="center" vertical="center"/>
    </xf>
    <xf numFmtId="168" fontId="0" fillId="9" borderId="16" xfId="0" applyNumberFormat="1" applyFill="1" applyBorder="1" applyAlignment="1">
      <alignment horizontal="center" vertical="center"/>
    </xf>
    <xf numFmtId="168" fontId="0" fillId="9" borderId="19" xfId="0" applyNumberFormat="1" applyFill="1" applyBorder="1" applyAlignment="1">
      <alignment horizontal="center" vertical="center"/>
    </xf>
    <xf numFmtId="168" fontId="0" fillId="22" borderId="16" xfId="0" applyNumberFormat="1" applyFill="1" applyBorder="1" applyAlignment="1">
      <alignment horizontal="center" vertical="center"/>
    </xf>
    <xf numFmtId="168" fontId="0" fillId="22" borderId="19" xfId="0" applyNumberFormat="1" applyFill="1" applyBorder="1" applyAlignment="1">
      <alignment horizontal="center" vertical="center"/>
    </xf>
    <xf numFmtId="168" fontId="0" fillId="4" borderId="18" xfId="0" applyNumberFormat="1" applyFill="1" applyBorder="1" applyAlignment="1">
      <alignment horizontal="center" vertical="center"/>
    </xf>
    <xf numFmtId="168" fontId="0" fillId="0" borderId="0" xfId="0" applyNumberFormat="1" applyAlignment="1">
      <alignment horizontal="center" vertical="center" wrapText="1"/>
    </xf>
    <xf numFmtId="0" fontId="8" fillId="0" borderId="0" xfId="0" applyFont="1" applyAlignment="1"/>
    <xf numFmtId="167" fontId="8" fillId="0" borderId="0" xfId="0" applyNumberFormat="1" applyFont="1" applyAlignment="1"/>
    <xf numFmtId="0" fontId="0" fillId="0" borderId="0" xfId="0" applyAlignment="1"/>
    <xf numFmtId="167" fontId="0" fillId="0" borderId="0" xfId="0" applyNumberFormat="1" applyAlignment="1"/>
    <xf numFmtId="49" fontId="0" fillId="23" borderId="0" xfId="0" applyNumberFormat="1" applyFill="1" applyAlignment="1">
      <alignment horizontal="center" vertical="center" wrapText="1"/>
    </xf>
    <xf numFmtId="2" fontId="0" fillId="2" borderId="0" xfId="0" applyNumberFormat="1" applyFill="1" applyAlignment="1">
      <alignment horizontal="center" vertical="center" wrapText="1"/>
    </xf>
    <xf numFmtId="1" fontId="0" fillId="11" borderId="0" xfId="0" applyNumberFormat="1" applyFont="1" applyFill="1" applyAlignment="1">
      <alignment horizontal="left" vertical="center" wrapText="1"/>
    </xf>
    <xf numFmtId="2" fontId="0" fillId="2" borderId="0" xfId="0" applyNumberFormat="1" applyFill="1" applyAlignment="1">
      <alignment horizontal="center" vertical="center"/>
    </xf>
    <xf numFmtId="0" fontId="0" fillId="0" borderId="0" xfId="0" applyAlignment="1">
      <alignment wrapText="1"/>
    </xf>
    <xf numFmtId="0" fontId="0" fillId="0" borderId="0" xfId="0" applyFill="1" applyBorder="1" applyAlignment="1">
      <alignment horizontal="center" vertical="center"/>
    </xf>
    <xf numFmtId="49" fontId="0" fillId="11" borderId="0" xfId="0" applyNumberFormat="1" applyFill="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8" xfId="0" applyFill="1" applyBorder="1" applyAlignment="1">
      <alignment horizontal="left" vertical="top" wrapText="1"/>
    </xf>
    <xf numFmtId="0" fontId="0" fillId="0" borderId="6" xfId="0" applyBorder="1" applyAlignment="1">
      <alignment horizontal="left"/>
    </xf>
    <xf numFmtId="0" fontId="0" fillId="0" borderId="0" xfId="0" applyBorder="1" applyAlignment="1">
      <alignment horizontal="left"/>
    </xf>
    <xf numFmtId="0" fontId="0" fillId="0" borderId="7" xfId="0" applyBorder="1" applyAlignment="1">
      <alignment horizontal="left"/>
    </xf>
    <xf numFmtId="0" fontId="0" fillId="4" borderId="9" xfId="0" applyFill="1" applyBorder="1" applyAlignment="1">
      <alignment horizontal="left" wrapText="1"/>
    </xf>
    <xf numFmtId="0" fontId="0" fillId="4" borderId="1" xfId="0" applyFill="1" applyBorder="1" applyAlignment="1">
      <alignment horizontal="left" wrapText="1"/>
    </xf>
    <xf numFmtId="0" fontId="0" fillId="4" borderId="8" xfId="0" applyFill="1" applyBorder="1" applyAlignment="1">
      <alignment horizontal="left" wrapText="1"/>
    </xf>
    <xf numFmtId="0" fontId="0" fillId="0" borderId="3" xfId="0" applyBorder="1" applyAlignment="1">
      <alignment horizontal="center"/>
    </xf>
    <xf numFmtId="0" fontId="0" fillId="0" borderId="4" xfId="0" applyBorder="1" applyAlignment="1">
      <alignment horizontal="center"/>
    </xf>
    <xf numFmtId="0" fontId="0" fillId="4" borderId="0" xfId="0" applyFill="1" applyBorder="1" applyAlignment="1">
      <alignment horizontal="left" vertical="center" wrapText="1"/>
    </xf>
    <xf numFmtId="0" fontId="0" fillId="4" borderId="7" xfId="0" applyFill="1" applyBorder="1" applyAlignment="1">
      <alignment horizontal="left" vertical="center" wrapText="1"/>
    </xf>
    <xf numFmtId="0" fontId="0" fillId="11" borderId="0" xfId="0" applyFill="1" applyAlignment="1">
      <alignment horizontal="center" vertical="center"/>
    </xf>
    <xf numFmtId="0" fontId="0" fillId="0" borderId="23" xfId="0"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7" fillId="4" borderId="0" xfId="0" applyFont="1" applyFill="1" applyBorder="1" applyAlignment="1">
      <alignment horizontal="center" vertical="center"/>
    </xf>
    <xf numFmtId="1" fontId="0" fillId="5" borderId="0" xfId="0" applyNumberFormat="1" applyFill="1" applyAlignment="1">
      <alignment horizontal="center" vertical="center" wrapText="1"/>
    </xf>
  </cellXfs>
  <cellStyles count="3">
    <cellStyle name="Bad" xfId="1" builtinId="27"/>
    <cellStyle name="Normal" xfId="0" builtinId="0"/>
    <cellStyle name="Normal 2" xfId="2" xr:uid="{00000000-0005-0000-0000-000002000000}"/>
  </cellStyles>
  <dxfs count="70">
    <dxf>
      <numFmt numFmtId="168" formatCode="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fill>
        <patternFill patternType="solid">
          <fgColor indexed="64"/>
          <bgColor theme="7" tint="0.39997558519241921"/>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164" formatCode="[$-409]d\-mmm;@"/>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fill>
        <patternFill patternType="solid">
          <fgColor indexed="64"/>
          <bgColor theme="7" tint="0.39997558519241921"/>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164" formatCode="[$-409]d\-mmm;@"/>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numFmt numFmtId="30" formatCode="@"/>
      <alignment horizontal="left" vertical="center" textRotation="0" wrapText="0" indent="0" justifyLastLine="0" shrinkToFit="0" readingOrder="0"/>
    </dxf>
    <dxf>
      <alignment horizontal="center"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1" indent="0" justifyLastLine="0" shrinkToFit="0" readingOrder="0"/>
    </dxf>
    <dxf>
      <numFmt numFmtId="1" formatCode="0"/>
      <fill>
        <patternFill patternType="none">
          <fgColor indexed="64"/>
          <bgColor indexed="65"/>
        </patternFill>
      </fill>
      <alignment horizontal="center" vertical="center" textRotation="0" wrapText="0" indent="0" justifyLastLine="0" shrinkToFit="0" readingOrder="0"/>
    </dxf>
    <dxf>
      <numFmt numFmtId="2" formatCode="0.00"/>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4" formatCode="[$-409]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fill>
        <patternFill>
          <bgColor rgb="FFFFFF00"/>
        </patternFill>
      </fill>
    </dxf>
    <dxf>
      <fill>
        <patternFill>
          <bgColor theme="9"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79176FB0-B7F2-11CE-97EF-00AA006D2776}"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Great Lakes Dredge &amp; Dock</a:t>
            </a:r>
          </a:p>
          <a:p>
            <a:pPr>
              <a:defRPr>
                <a:solidFill>
                  <a:schemeClr val="tx1"/>
                </a:solidFill>
              </a:defRPr>
            </a:pPr>
            <a:r>
              <a:rPr lang="en-US" b="1">
                <a:solidFill>
                  <a:schemeClr val="tx1"/>
                </a:solidFill>
              </a:rPr>
              <a:t>EDL Major Mechanical Delays</a:t>
            </a:r>
            <a:endParaRPr lang="en-US" b="1" baseline="0">
              <a:solidFill>
                <a:schemeClr val="tx1"/>
              </a:solidFill>
            </a:endParaRPr>
          </a:p>
          <a:p>
            <a:pPr>
              <a:defRPr>
                <a:solidFill>
                  <a:schemeClr val="tx1"/>
                </a:solidFill>
              </a:defRPr>
            </a:pPr>
            <a:r>
              <a:rPr lang="en-US" b="1">
                <a:solidFill>
                  <a:schemeClr val="tx1"/>
                </a:solidFill>
              </a:rPr>
              <a:t>CY 2022</a:t>
            </a:r>
          </a:p>
        </c:rich>
      </c:tx>
      <c:layout>
        <c:manualLayout>
          <c:xMode val="edge"/>
          <c:yMode val="edge"/>
          <c:x val="0.35645399632032365"/>
          <c:y val="2.41935545322719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tx>
            <c:strRef>
              <c:f>'2022'!$J$110</c:f>
              <c:strCache>
                <c:ptCount val="1"/>
                <c:pt idx="0">
                  <c:v>Hours</c:v>
                </c:pt>
              </c:strCache>
            </c:strRef>
          </c:tx>
          <c:spPr>
            <a:solidFill>
              <a:schemeClr val="accent2"/>
            </a:solidFill>
            <a:ln>
              <a:solidFill>
                <a:schemeClr val="tx1"/>
              </a:solidFill>
            </a:ln>
            <a:effectLst/>
          </c:spPr>
          <c:invertIfNegative val="0"/>
          <c:cat>
            <c:strRef>
              <c:f>'2022'!$H$111:$H$127</c:f>
              <c:strCache>
                <c:ptCount val="17"/>
                <c:pt idx="0">
                  <c:v>53</c:v>
                </c:pt>
                <c:pt idx="1">
                  <c:v>54</c:v>
                </c:pt>
                <c:pt idx="2">
                  <c:v>55</c:v>
                </c:pt>
                <c:pt idx="3">
                  <c:v>58</c:v>
                </c:pt>
                <c:pt idx="4">
                  <c:v>New York</c:v>
                </c:pt>
                <c:pt idx="5">
                  <c:v>Alaska</c:v>
                </c:pt>
                <c:pt idx="6">
                  <c:v>Carolina</c:v>
                </c:pt>
                <c:pt idx="7">
                  <c:v>Illinois</c:v>
                </c:pt>
                <c:pt idx="8">
                  <c:v>Ohio</c:v>
                </c:pt>
                <c:pt idx="9">
                  <c:v>Texas</c:v>
                </c:pt>
                <c:pt idx="10">
                  <c:v>Dodge Island</c:v>
                </c:pt>
                <c:pt idx="11">
                  <c:v>Ellis Island</c:v>
                </c:pt>
                <c:pt idx="12">
                  <c:v>Liberty Island</c:v>
                </c:pt>
                <c:pt idx="13">
                  <c:v>Padre Island</c:v>
                </c:pt>
                <c:pt idx="14">
                  <c:v>Terrapin Island</c:v>
                </c:pt>
                <c:pt idx="15">
                  <c:v>Iowa</c:v>
                </c:pt>
                <c:pt idx="16">
                  <c:v>Sandpiper</c:v>
                </c:pt>
              </c:strCache>
            </c:strRef>
          </c:cat>
          <c:val>
            <c:numRef>
              <c:f>'2022'!$J$111:$J$127</c:f>
              <c:numCache>
                <c:formatCode>0.0</c:formatCode>
                <c:ptCount val="17"/>
                <c:pt idx="0">
                  <c:v>310.06916666653706</c:v>
                </c:pt>
                <c:pt idx="1">
                  <c:v>692.53305555554107</c:v>
                </c:pt>
                <c:pt idx="2">
                  <c:v>151.72944444447057</c:v>
                </c:pt>
                <c:pt idx="3">
                  <c:v>62.25</c:v>
                </c:pt>
                <c:pt idx="4">
                  <c:v>115.70749999996042</c:v>
                </c:pt>
                <c:pt idx="5">
                  <c:v>194.93333333329065</c:v>
                </c:pt>
                <c:pt idx="6">
                  <c:v>299.30611111095641</c:v>
                </c:pt>
                <c:pt idx="7">
                  <c:v>120.96666666667443</c:v>
                </c:pt>
                <c:pt idx="8">
                  <c:v>690.55000000004657</c:v>
                </c:pt>
                <c:pt idx="9">
                  <c:v>190.66444444446824</c:v>
                </c:pt>
                <c:pt idx="10">
                  <c:v>65.599444444407709</c:v>
                </c:pt>
                <c:pt idx="11">
                  <c:v>163.18305555568077</c:v>
                </c:pt>
                <c:pt idx="12">
                  <c:v>78.416666666627862</c:v>
                </c:pt>
                <c:pt idx="13">
                  <c:v>135.99944444443099</c:v>
                </c:pt>
                <c:pt idx="14">
                  <c:v>179.625</c:v>
                </c:pt>
                <c:pt idx="15">
                  <c:v>70.850000000093132</c:v>
                </c:pt>
                <c:pt idx="16">
                  <c:v>144.06638888886664</c:v>
                </c:pt>
              </c:numCache>
            </c:numRef>
          </c:val>
          <c:extLst>
            <c:ext xmlns:c16="http://schemas.microsoft.com/office/drawing/2014/chart" uri="{C3380CC4-5D6E-409C-BE32-E72D297353CC}">
              <c16:uniqueId val="{00000001-8DC7-49EE-BC33-4968D87250CB}"/>
            </c:ext>
          </c:extLst>
        </c:ser>
        <c:dLbls>
          <c:showLegendKey val="0"/>
          <c:showVal val="0"/>
          <c:showCatName val="0"/>
          <c:showSerName val="0"/>
          <c:showPercent val="0"/>
          <c:showBubbleSize val="0"/>
        </c:dLbls>
        <c:gapWidth val="219"/>
        <c:axId val="1374128399"/>
        <c:axId val="1366776911"/>
      </c:barChart>
      <c:scatterChart>
        <c:scatterStyle val="lineMarker"/>
        <c:varyColors val="0"/>
        <c:ser>
          <c:idx val="0"/>
          <c:order val="0"/>
          <c:tx>
            <c:strRef>
              <c:f>'2022'!$I$110</c:f>
              <c:strCache>
                <c:ptCount val="1"/>
                <c:pt idx="0">
                  <c:v>Count</c:v>
                </c:pt>
              </c:strCache>
            </c:strRef>
          </c:tx>
          <c:spPr>
            <a:ln w="25400" cap="rnd">
              <a:noFill/>
              <a:round/>
            </a:ln>
            <a:effectLst/>
          </c:spPr>
          <c:marker>
            <c:symbol val="circle"/>
            <c:size val="5"/>
            <c:spPr>
              <a:solidFill>
                <a:schemeClr val="accent1"/>
              </a:solidFill>
              <a:ln w="9525">
                <a:solidFill>
                  <a:schemeClr val="accent1"/>
                </a:solidFill>
              </a:ln>
              <a:effectLst/>
            </c:spPr>
          </c:marker>
          <c:xVal>
            <c:strRef>
              <c:f>'2022'!$H$111:$H$127</c:f>
              <c:strCache>
                <c:ptCount val="17"/>
                <c:pt idx="0">
                  <c:v>53</c:v>
                </c:pt>
                <c:pt idx="1">
                  <c:v>54</c:v>
                </c:pt>
                <c:pt idx="2">
                  <c:v>55</c:v>
                </c:pt>
                <c:pt idx="3">
                  <c:v>58</c:v>
                </c:pt>
                <c:pt idx="4">
                  <c:v>New York</c:v>
                </c:pt>
                <c:pt idx="5">
                  <c:v>Alaska</c:v>
                </c:pt>
                <c:pt idx="6">
                  <c:v>Carolina</c:v>
                </c:pt>
                <c:pt idx="7">
                  <c:v>Illinois</c:v>
                </c:pt>
                <c:pt idx="8">
                  <c:v>Ohio</c:v>
                </c:pt>
                <c:pt idx="9">
                  <c:v>Texas</c:v>
                </c:pt>
                <c:pt idx="10">
                  <c:v>Dodge Island</c:v>
                </c:pt>
                <c:pt idx="11">
                  <c:v>Ellis Island</c:v>
                </c:pt>
                <c:pt idx="12">
                  <c:v>Liberty Island</c:v>
                </c:pt>
                <c:pt idx="13">
                  <c:v>Padre Island</c:v>
                </c:pt>
                <c:pt idx="14">
                  <c:v>Terrapin Island</c:v>
                </c:pt>
                <c:pt idx="15">
                  <c:v>Iowa</c:v>
                </c:pt>
                <c:pt idx="16">
                  <c:v>Sandpiper</c:v>
                </c:pt>
              </c:strCache>
            </c:strRef>
          </c:xVal>
          <c:yVal>
            <c:numRef>
              <c:f>'2022'!$I$111:$I$127</c:f>
              <c:numCache>
                <c:formatCode>General</c:formatCode>
                <c:ptCount val="17"/>
                <c:pt idx="0">
                  <c:v>6</c:v>
                </c:pt>
                <c:pt idx="1">
                  <c:v>6</c:v>
                </c:pt>
                <c:pt idx="2">
                  <c:v>4</c:v>
                </c:pt>
                <c:pt idx="3">
                  <c:v>1</c:v>
                </c:pt>
                <c:pt idx="4">
                  <c:v>3</c:v>
                </c:pt>
                <c:pt idx="5">
                  <c:v>2</c:v>
                </c:pt>
                <c:pt idx="6">
                  <c:v>3</c:v>
                </c:pt>
                <c:pt idx="7">
                  <c:v>1</c:v>
                </c:pt>
                <c:pt idx="8">
                  <c:v>8</c:v>
                </c:pt>
                <c:pt idx="9">
                  <c:v>3</c:v>
                </c:pt>
                <c:pt idx="10">
                  <c:v>2</c:v>
                </c:pt>
                <c:pt idx="11">
                  <c:v>1</c:v>
                </c:pt>
                <c:pt idx="12">
                  <c:v>2</c:v>
                </c:pt>
                <c:pt idx="13">
                  <c:v>1</c:v>
                </c:pt>
                <c:pt idx="14">
                  <c:v>2</c:v>
                </c:pt>
                <c:pt idx="15">
                  <c:v>1</c:v>
                </c:pt>
                <c:pt idx="16">
                  <c:v>3</c:v>
                </c:pt>
              </c:numCache>
            </c:numRef>
          </c:yVal>
          <c:smooth val="0"/>
          <c:extLst>
            <c:ext xmlns:c16="http://schemas.microsoft.com/office/drawing/2014/chart" uri="{C3380CC4-5D6E-409C-BE32-E72D297353CC}">
              <c16:uniqueId val="{00000000-8DC7-49EE-BC33-4968D87250CB}"/>
            </c:ext>
          </c:extLst>
        </c:ser>
        <c:dLbls>
          <c:showLegendKey val="0"/>
          <c:showVal val="0"/>
          <c:showCatName val="0"/>
          <c:showSerName val="0"/>
          <c:showPercent val="0"/>
          <c:showBubbleSize val="0"/>
        </c:dLbls>
        <c:axId val="1366781487"/>
        <c:axId val="1366781071"/>
      </c:scatterChart>
      <c:catAx>
        <c:axId val="137412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776911"/>
        <c:crosses val="autoZero"/>
        <c:auto val="1"/>
        <c:lblAlgn val="ctr"/>
        <c:lblOffset val="100"/>
        <c:noMultiLvlLbl val="0"/>
      </c:catAx>
      <c:valAx>
        <c:axId val="1366776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ln>
                  <a:noFill/>
                </a:ln>
                <a:solidFill>
                  <a:schemeClr val="accent2"/>
                </a:solidFill>
                <a:latin typeface="+mn-lt"/>
                <a:ea typeface="+mn-ea"/>
                <a:cs typeface="+mn-cs"/>
              </a:defRPr>
            </a:pPr>
            <a:endParaRPr lang="en-US"/>
          </a:p>
        </c:txPr>
        <c:crossAx val="1374128399"/>
        <c:crosses val="autoZero"/>
        <c:crossBetween val="between"/>
      </c:valAx>
      <c:valAx>
        <c:axId val="1366781071"/>
        <c:scaling>
          <c:orientation val="minMax"/>
          <c:max val="7"/>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2"/>
                  </a:solidFill>
                </a:ln>
                <a:noFill/>
                <a:latin typeface="+mn-lt"/>
                <a:ea typeface="+mn-ea"/>
                <a:cs typeface="+mn-cs"/>
              </a:defRPr>
            </a:pPr>
            <a:endParaRPr lang="en-US"/>
          </a:p>
        </c:txPr>
        <c:crossAx val="1366781487"/>
        <c:crosses val="max"/>
        <c:crossBetween val="midCat"/>
        <c:majorUnit val="1"/>
      </c:valAx>
      <c:valAx>
        <c:axId val="1366781487"/>
        <c:scaling>
          <c:orientation val="minMax"/>
        </c:scaling>
        <c:delete val="1"/>
        <c:axPos val="t"/>
        <c:majorTickMark val="out"/>
        <c:minorTickMark val="none"/>
        <c:tickLblPos val="nextTo"/>
        <c:crossAx val="1366781071"/>
        <c:crosses val="max"/>
        <c:crossBetween val="midCat"/>
      </c:valAx>
      <c:spPr>
        <a:noFill/>
        <a:ln>
          <a:noFill/>
        </a:ln>
        <a:effectLst/>
      </c:spPr>
    </c:plotArea>
    <c:legend>
      <c:legendPos val="b"/>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19050</xdr:colOff>
          <xdr:row>0</xdr:row>
          <xdr:rowOff>19050</xdr:rowOff>
        </xdr:from>
        <xdr:to>
          <xdr:col>7</xdr:col>
          <xdr:colOff>485775</xdr:colOff>
          <xdr:row>1</xdr:row>
          <xdr:rowOff>0</xdr:rowOff>
        </xdr:to>
        <xdr:sp macro="" textlink="">
          <xdr:nvSpPr>
            <xdr:cNvPr id="1025" name="SpinButton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179915</xdr:colOff>
      <xdr:row>68</xdr:row>
      <xdr:rowOff>116417</xdr:rowOff>
    </xdr:from>
    <xdr:to>
      <xdr:col>20</xdr:col>
      <xdr:colOff>0</xdr:colOff>
      <xdr:row>99</xdr:row>
      <xdr:rowOff>84666</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66" totalsRowShown="0" headerRowDxfId="65" dataDxfId="64">
  <autoFilter ref="A1:N366" xr:uid="{00000000-0009-0000-0100-000001000000}"/>
  <sortState ref="A2:N316">
    <sortCondition ref="A1:A316"/>
  </sortState>
  <tableColumns count="14">
    <tableColumn id="1" xr3:uid="{00000000-0010-0000-0000-000001000000}" name="#" dataDxfId="63"/>
    <tableColumn id="12" xr3:uid="{00000000-0010-0000-0000-00000C000000}" name="Year" dataDxfId="62"/>
    <tableColumn id="108" xr3:uid="{00000000-0010-0000-0000-00006C000000}" name="Date" dataDxfId="61"/>
    <tableColumn id="2" xr3:uid="{00000000-0010-0000-0000-000002000000}" name="Vessel" dataDxfId="60"/>
    <tableColumn id="14" xr3:uid="{00000000-0010-0000-0000-00000E000000}" name="Division" dataDxfId="59"/>
    <tableColumn id="3" xr3:uid="{00000000-0010-0000-0000-000003000000}" name="MCIA #" dataDxfId="58"/>
    <tableColumn id="4" xr3:uid="{00000000-0010-0000-0000-000004000000}" name="Hours" dataDxfId="57"/>
    <tableColumn id="5" xr3:uid="{00000000-0010-0000-0000-000005000000}" name="System" dataDxfId="56"/>
    <tableColumn id="6" xr3:uid="{00000000-0010-0000-0000-000006000000}" name="Subsystem" dataDxfId="55"/>
    <tableColumn id="7" xr3:uid="{00000000-0010-0000-0000-000007000000}" name="Work Order #" dataDxfId="54"/>
    <tableColumn id="8" xr3:uid="{00000000-0010-0000-0000-000008000000}" name="Delay Log Notes" dataDxfId="53"/>
    <tableColumn id="13" xr3:uid="{00000000-0010-0000-0000-00000D000000}" name="Work Order Title" dataDxfId="52"/>
    <tableColumn id="9" xr3:uid="{00000000-0010-0000-0000-000009000000}" name="Work Order Notes / Findings" dataDxfId="51"/>
    <tableColumn id="110" xr3:uid="{00000000-0010-0000-0000-00006E000000}" name="Contributing Factors" dataDxfId="5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lant" displayName="Plant" ref="J42:L264" totalsRowShown="0">
  <tableColumns count="3">
    <tableColumn id="1" xr3:uid="{00000000-0010-0000-0100-000001000000}" name="Plant" dataDxfId="49"/>
    <tableColumn id="2" xr3:uid="{00000000-0010-0000-0100-000002000000}" name="Vessel" dataDxfId="48"/>
    <tableColumn id="3" xr3:uid="{00000000-0010-0000-0100-000003000000}" name="Divisio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2:R84" totalsRowShown="0" headerRowDxfId="47" dataDxfId="45" headerRowBorderDxfId="46" tableBorderDxfId="44">
  <autoFilter ref="A2:R84" xr:uid="{00000000-0009-0000-0100-000006000000}">
    <filterColumn colId="9">
      <filters blank="1">
        <filter val="Y"/>
      </filters>
    </filterColumn>
  </autoFilter>
  <tableColumns count="18">
    <tableColumn id="1" xr3:uid="{00000000-0010-0000-0200-000001000000}" name="EDL Data Tab Ref" dataDxfId="43"/>
    <tableColumn id="2" xr3:uid="{00000000-0010-0000-0200-000002000000}" name="DREDGE" dataDxfId="42">
      <calculatedColumnFormula>VLOOKUP($A3,Table1[['#]:[Vessel]],4,FALSE)</calculatedColumnFormula>
    </tableColumn>
    <tableColumn id="3" xr3:uid="{00000000-0010-0000-0200-000003000000}" name="INCIDENT DATE" dataDxfId="41">
      <calculatedColumnFormula>VLOOKUP($A3,Table1[['#]:[Date]],3,FALSE)</calculatedColumnFormula>
    </tableColumn>
    <tableColumn id="4" xr3:uid="{00000000-0010-0000-0200-000004000000}" name="HRS" dataDxfId="40">
      <calculatedColumnFormula>VLOOKUP($A3,Table1[['#]:[Hours]],7,FALSE)</calculatedColumnFormula>
    </tableColumn>
    <tableColumn id="5" xr3:uid="{00000000-0010-0000-0200-000005000000}" name="SYSTEM / SUBSYSTEM" dataDxfId="39">
      <calculatedColumnFormula>VLOOKUP($A3,Table1[['#]:[System]],8,FALSE)&amp;" / "&amp;VLOOKUP($A3,Table1[['#]:[Subsystem]],9,FALSE)</calculatedColumnFormula>
    </tableColumn>
    <tableColumn id="6" xr3:uid="{00000000-0010-0000-0200-000006000000}" name="EDL Notes" dataDxfId="38">
      <calculatedColumnFormula>VLOOKUP($A3,Table1[['#]:[Delay Log Notes]],11,FALSE)</calculatedColumnFormula>
    </tableColumn>
    <tableColumn id="7" xr3:uid="{00000000-0010-0000-0200-000007000000}" name="WORK ORDER #" dataDxfId="37">
      <calculatedColumnFormula>VLOOKUP($A3,Table1[['#]:[Work Order '#]],10,FALSE)</calculatedColumnFormula>
    </tableColumn>
    <tableColumn id="8" xr3:uid="{00000000-0010-0000-0200-000008000000}" name="Work Order Title" dataDxfId="36">
      <calculatedColumnFormula>IF(G3="None"," ",VLOOKUP($A3,Table1[['#]:[Work Order Title]],12,FALSE))</calculatedColumnFormula>
    </tableColumn>
    <tableColumn id="9" xr3:uid="{00000000-0010-0000-0200-000009000000}" name="MCIA Status" dataDxfId="35">
      <calculatedColumnFormula>_xlfn.IFNA(VLOOKUP(J3,'MCIA Cases'!$A$2:$R$1091,11,FALSE)," ")</calculatedColumnFormula>
    </tableColumn>
    <tableColumn id="10" xr3:uid="{00000000-0010-0000-0200-00000A000000}" name="MCIA Case ID (#/N/D)" dataDxfId="34"/>
    <tableColumn id="11" xr3:uid="{00000000-0010-0000-0200-00000B000000}" name="MCIA Case Title" dataDxfId="33">
      <calculatedColumnFormula>_xlfn.IFNA(VLOOKUP(J3,'MCIA Cases'!$A$2:$AG$1091,2,FALSE)," ")</calculatedColumnFormula>
    </tableColumn>
    <tableColumn id="12" xr3:uid="{00000000-0010-0000-0200-00000C000000}" name="MCIA Start Date" dataDxfId="32">
      <calculatedColumnFormula>_xlfn.IFNA(VLOOKUP(J3,'MCIA Cases'!$A$2:$R$1091,17,FALSE)," ")</calculatedColumnFormula>
    </tableColumn>
    <tableColumn id="13" xr3:uid="{00000000-0010-0000-0200-00000D000000}" name="MCIA Scribe" dataDxfId="31">
      <calculatedColumnFormula>_xlfn.IFNA(VLOOKUP(J3,'MCIA Cases'!$A$2:$R$1091,3,FALSE)," ")</calculatedColumnFormula>
    </tableColumn>
    <tableColumn id="14" xr3:uid="{00000000-0010-0000-0200-00000E000000}" name="# of Corrective Actions" dataDxfId="30">
      <calculatedColumnFormula>IF(COUNTIF('MCIA Corrective Actions'!$A:$A,J3)=0," ",COUNTIF('MCIA Corrective Actions'!$A:$A,J3))</calculatedColumnFormula>
    </tableColumn>
    <tableColumn id="15" xr3:uid="{00000000-0010-0000-0200-00000F000000}" name="# of Corrective Actions Validated" dataDxfId="29">
      <calculatedColumnFormula>IF(COUNTIF('MCIA Corrective Actions'!$A:$A,J3)=0," ",COUNTIFS('MCIA Corrective Actions'!$A:$A,J3,'MCIA Corrective Actions'!N:N,"Yes"))</calculatedColumnFormula>
    </tableColumn>
    <tableColumn id="16" xr3:uid="{00000000-0010-0000-0200-000010000000}" name="MCIA Verification Manager" dataDxfId="28"/>
    <tableColumn id="17" xr3:uid="{00000000-0010-0000-0200-000011000000}" name="RAM Committee Responsible Party" dataDxfId="27"/>
    <tableColumn id="18" xr3:uid="{00000000-0010-0000-0200-000012000000}" name="RAM Steering Committee comments" dataDxfId="2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63" displayName="Table63" ref="A2:R46" totalsRowShown="0" headerRowDxfId="25" dataDxfId="23" headerRowBorderDxfId="24" tableBorderDxfId="22">
  <autoFilter ref="A2:R46" xr:uid="{00000000-0009-0000-0100-000002000000}">
    <filterColumn colId="9">
      <filters blank="1">
        <filter val="Brian G looking into this."/>
        <filter val="Y"/>
      </filters>
    </filterColumn>
  </autoFilter>
  <tableColumns count="18">
    <tableColumn id="1" xr3:uid="{00000000-0010-0000-0300-000001000000}" name="EDL Data Tab Ref" dataDxfId="21"/>
    <tableColumn id="2" xr3:uid="{00000000-0010-0000-0300-000002000000}" name="DREDGE" dataDxfId="20">
      <calculatedColumnFormula>VLOOKUP($A3,Table1[['#]:[Vessel]],4,FALSE)</calculatedColumnFormula>
    </tableColumn>
    <tableColumn id="3" xr3:uid="{00000000-0010-0000-0300-000003000000}" name="INCIDENT DATE" dataDxfId="19">
      <calculatedColumnFormula>VLOOKUP($A3,Table1[['#]:[Date]],3,FALSE)</calculatedColumnFormula>
    </tableColumn>
    <tableColumn id="4" xr3:uid="{00000000-0010-0000-0300-000004000000}" name="HRS" dataDxfId="18">
      <calculatedColumnFormula>VLOOKUP($A3,Table1[['#]:[Hours]],7,FALSE)</calculatedColumnFormula>
    </tableColumn>
    <tableColumn id="5" xr3:uid="{00000000-0010-0000-0300-000005000000}" name="SYSTEM / SUBSYSTEM" dataDxfId="17">
      <calculatedColumnFormula>VLOOKUP($A3,Table1[['#]:[System]],8,FALSE)&amp;" / "&amp;VLOOKUP($A3,Table1[['#]:[Subsystem]],9,FALSE)</calculatedColumnFormula>
    </tableColumn>
    <tableColumn id="6" xr3:uid="{00000000-0010-0000-0300-000006000000}" name="EDL Notes" dataDxfId="16">
      <calculatedColumnFormula>VLOOKUP($A3,Table1[['#]:[Delay Log Notes]],11,FALSE)</calculatedColumnFormula>
    </tableColumn>
    <tableColumn id="7" xr3:uid="{00000000-0010-0000-0300-000007000000}" name="WORK ORDER #" dataDxfId="15">
      <calculatedColumnFormula>VLOOKUP($A3,Table1[['#]:[Work Order '#]],10,FALSE)</calculatedColumnFormula>
    </tableColumn>
    <tableColumn id="8" xr3:uid="{00000000-0010-0000-0300-000008000000}" name="Work Order Title" dataDxfId="14">
      <calculatedColumnFormula>IF(G3="None"," ",VLOOKUP($A3,Table1[['#]:[Work Order Title]],12,FALSE))</calculatedColumnFormula>
    </tableColumn>
    <tableColumn id="9" xr3:uid="{00000000-0010-0000-0300-000009000000}" name="MCIA Status" dataDxfId="13">
      <calculatedColumnFormula>_xlfn.IFNA(VLOOKUP(J3,'MCIA Cases'!$A$2:$R$1091,12,FALSE)," ")</calculatedColumnFormula>
    </tableColumn>
    <tableColumn id="10" xr3:uid="{00000000-0010-0000-0300-00000A000000}" name="MCIA Case ID (#/N/D)" dataDxfId="12"/>
    <tableColumn id="11" xr3:uid="{00000000-0010-0000-0300-00000B000000}" name="MCIA Case Title" dataDxfId="11">
      <calculatedColumnFormula>_xlfn.IFNA(VLOOKUP(J3,'MCIA Cases'!$A$2:$AG$1091,2,FALSE)," ")</calculatedColumnFormula>
    </tableColumn>
    <tableColumn id="12" xr3:uid="{00000000-0010-0000-0300-00000C000000}" name="MCIA Start Date" dataDxfId="10">
      <calculatedColumnFormula>_xlfn.IFNA(VLOOKUP(J3,'MCIA Cases'!$A$2:$R$1091,17,FALSE)," ")</calculatedColumnFormula>
    </tableColumn>
    <tableColumn id="13" xr3:uid="{00000000-0010-0000-0300-00000D000000}" name="MCIA Scribe" dataDxfId="9">
      <calculatedColumnFormula>_xlfn.IFNA(VLOOKUP(J3,'MCIA Cases'!$A$2:$R$1091,3,FALSE)," ")</calculatedColumnFormula>
    </tableColumn>
    <tableColumn id="14" xr3:uid="{00000000-0010-0000-0300-00000E000000}" name="# of Corrective Actions" dataDxfId="8">
      <calculatedColumnFormula>IF(COUNTIF('MCIA Corrective Actions'!$A:$A,J3)=0," ",COUNTIF('MCIA Corrective Actions'!$A:$A,J3))</calculatedColumnFormula>
    </tableColumn>
    <tableColumn id="15" xr3:uid="{00000000-0010-0000-0300-00000F000000}" name="# of Corrective Actions Validated" dataDxfId="7">
      <calculatedColumnFormula>IF(COUNTIF('MCIA Corrective Actions'!$A:$A,J3)=0," ",COUNTIFS('MCIA Corrective Actions'!$A:$A,J3,'MCIA Corrective Actions'!N:N,"Yes"))</calculatedColumnFormula>
    </tableColumn>
    <tableColumn id="16" xr3:uid="{00000000-0010-0000-0300-000010000000}" name="MCIA Verification Manager" dataDxfId="6"/>
    <tableColumn id="17" xr3:uid="{00000000-0010-0000-0300-000011000000}" name="RAM Committee Responsible Party" dataDxfId="5"/>
    <tableColumn id="18" xr3:uid="{00000000-0010-0000-0300-000012000000}" name="RAM Steering Committee comments" dataDxfId="4"/>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80268B-3737-4121-A97C-81F78253A6E6}" name="Table4" displayName="Table4" ref="H110:J127" totalsRowShown="0" headerRowDxfId="3">
  <autoFilter ref="H110:J127" xr:uid="{445CD613-5ACB-4C50-BE61-9AADE55B0954}"/>
  <tableColumns count="3">
    <tableColumn id="1" xr3:uid="{7B42CFB6-F9AD-44DD-9AF1-85F734C710C0}" name="Dredge" dataDxfId="2"/>
    <tableColumn id="2" xr3:uid="{DB7982B8-5399-4517-B134-1A2BBD3809C8}" name="Count" dataDxfId="1"/>
    <tableColumn id="3" xr3:uid="{CBFD2AAE-4BC2-4C97-88FD-31E87DD3C2C3}" name="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59999389629810485"/>
  </sheetPr>
  <dimension ref="A1:O403"/>
  <sheetViews>
    <sheetView zoomScaleNormal="100" zoomScaleSheetLayoutView="130" workbookViewId="0">
      <pane ySplit="1" topLeftCell="A348" activePane="bottomLeft" state="frozen"/>
      <selection activeCell="I56" sqref="I56"/>
      <selection pane="bottomLeft" activeCell="G356" sqref="G356"/>
    </sheetView>
  </sheetViews>
  <sheetFormatPr defaultColWidth="9.140625" defaultRowHeight="15" x14ac:dyDescent="0.25"/>
  <cols>
    <col min="1" max="1" width="4.7109375" style="1" customWidth="1"/>
    <col min="2" max="2" width="6" style="1" customWidth="1"/>
    <col min="3" max="3" width="7.7109375" style="130" customWidth="1"/>
    <col min="4" max="4" width="14.5703125" style="7" bestFit="1" customWidth="1"/>
    <col min="5" max="5" width="11.7109375" style="1" customWidth="1"/>
    <col min="6" max="6" width="11.85546875" style="1" hidden="1" customWidth="1"/>
    <col min="7" max="7" width="7.5703125" style="3" customWidth="1"/>
    <col min="8" max="8" width="29.28515625" style="1" bestFit="1" customWidth="1"/>
    <col min="9" max="9" width="29.42578125" style="7" customWidth="1"/>
    <col min="10" max="10" width="10.28515625" style="7" customWidth="1"/>
    <col min="11" max="11" width="33.42578125" style="7" customWidth="1"/>
    <col min="12" max="12" width="29.5703125" style="7" customWidth="1"/>
    <col min="13" max="13" width="138.42578125" style="12" customWidth="1"/>
    <col min="14" max="14" width="49.85546875" style="1" customWidth="1"/>
    <col min="15" max="58" width="4.85546875" style="1" customWidth="1"/>
    <col min="59" max="16384" width="9.140625" style="1"/>
  </cols>
  <sheetData>
    <row r="1" spans="1:14" ht="30" x14ac:dyDescent="0.25">
      <c r="A1" s="1" t="s">
        <v>265</v>
      </c>
      <c r="B1" s="1" t="s">
        <v>1</v>
      </c>
      <c r="C1" s="130" t="s">
        <v>11</v>
      </c>
      <c r="D1" s="7" t="s">
        <v>0</v>
      </c>
      <c r="E1" s="1" t="s">
        <v>5</v>
      </c>
      <c r="F1" s="1" t="s">
        <v>64</v>
      </c>
      <c r="G1" s="3" t="s">
        <v>12</v>
      </c>
      <c r="H1" s="1" t="s">
        <v>13</v>
      </c>
      <c r="I1" s="7" t="s">
        <v>14</v>
      </c>
      <c r="J1" s="7" t="s">
        <v>15</v>
      </c>
      <c r="K1" s="7" t="s">
        <v>16</v>
      </c>
      <c r="L1" s="7" t="s">
        <v>274</v>
      </c>
      <c r="M1" s="12" t="s">
        <v>124</v>
      </c>
      <c r="N1" s="1" t="s">
        <v>125</v>
      </c>
    </row>
    <row r="2" spans="1:14" x14ac:dyDescent="0.25">
      <c r="A2" s="1">
        <v>1</v>
      </c>
      <c r="B2" s="1">
        <v>2017</v>
      </c>
      <c r="C2" s="130">
        <v>42736</v>
      </c>
      <c r="D2" s="6" t="s">
        <v>21</v>
      </c>
      <c r="E2" s="183" t="str">
        <f>VLOOKUP($D2,Summary!$K$43:$L$264,2,FALSE)</f>
        <v>Hopper</v>
      </c>
      <c r="F2" s="1" t="s">
        <v>23</v>
      </c>
      <c r="G2" s="5">
        <v>105.85</v>
      </c>
      <c r="H2" s="4" t="s">
        <v>187</v>
      </c>
      <c r="I2" s="8" t="s">
        <v>245</v>
      </c>
      <c r="J2" s="14" t="s">
        <v>23</v>
      </c>
      <c r="K2" s="8" t="s">
        <v>246</v>
      </c>
      <c r="L2" s="8" t="s">
        <v>288</v>
      </c>
      <c r="M2" s="15" t="s">
        <v>272</v>
      </c>
    </row>
    <row r="3" spans="1:14" x14ac:dyDescent="0.25">
      <c r="A3" s="1">
        <v>2</v>
      </c>
      <c r="B3" s="1">
        <v>2017</v>
      </c>
      <c r="C3" s="130">
        <v>42747</v>
      </c>
      <c r="D3" s="6" t="s">
        <v>21</v>
      </c>
      <c r="E3" s="183" t="str">
        <f>VLOOKUP($D3,Summary!$K$43:$L$264,2,FALSE)</f>
        <v>Hopper</v>
      </c>
      <c r="F3" s="1" t="s">
        <v>23</v>
      </c>
      <c r="G3" s="5">
        <v>46.74</v>
      </c>
      <c r="H3" s="4" t="s">
        <v>187</v>
      </c>
      <c r="I3" s="8" t="s">
        <v>247</v>
      </c>
      <c r="J3" s="14" t="s">
        <v>23</v>
      </c>
      <c r="K3" s="8" t="s">
        <v>23</v>
      </c>
      <c r="L3" s="8" t="s">
        <v>288</v>
      </c>
      <c r="M3" s="15" t="s">
        <v>272</v>
      </c>
    </row>
    <row r="4" spans="1:14" x14ac:dyDescent="0.25">
      <c r="A4" s="1">
        <v>3</v>
      </c>
      <c r="B4" s="1">
        <v>2017</v>
      </c>
      <c r="C4" s="130">
        <v>42749</v>
      </c>
      <c r="D4" s="6" t="s">
        <v>2</v>
      </c>
      <c r="E4" s="183" t="str">
        <f>VLOOKUP($D4,Summary!$K$43:$L$264,2,FALSE)</f>
        <v>Hydraulic</v>
      </c>
      <c r="F4" s="1" t="s">
        <v>23</v>
      </c>
      <c r="G4" s="5">
        <v>37.61</v>
      </c>
      <c r="H4" s="4" t="s">
        <v>117</v>
      </c>
      <c r="I4" s="8" t="s">
        <v>163</v>
      </c>
      <c r="J4" s="8">
        <v>4191620</v>
      </c>
      <c r="K4" s="8" t="s">
        <v>224</v>
      </c>
      <c r="L4" s="8" t="s">
        <v>275</v>
      </c>
      <c r="M4" s="10" t="s">
        <v>278</v>
      </c>
    </row>
    <row r="5" spans="1:14" ht="30" x14ac:dyDescent="0.25">
      <c r="A5" s="1">
        <v>4</v>
      </c>
      <c r="B5" s="1">
        <v>2017</v>
      </c>
      <c r="C5" s="130">
        <v>42769</v>
      </c>
      <c r="D5" s="6" t="s">
        <v>4</v>
      </c>
      <c r="E5" s="183" t="str">
        <f>VLOOKUP($D5,Summary!$K$43:$L$264,2,FALSE)</f>
        <v>Hydraulic</v>
      </c>
      <c r="F5" s="1" t="s">
        <v>23</v>
      </c>
      <c r="G5" s="5">
        <v>69.239999999999995</v>
      </c>
      <c r="H5" s="4" t="s">
        <v>121</v>
      </c>
      <c r="I5" s="8" t="s">
        <v>97</v>
      </c>
      <c r="J5" s="8">
        <v>4192535</v>
      </c>
      <c r="K5" s="8" t="s">
        <v>235</v>
      </c>
      <c r="L5" s="8" t="s">
        <v>276</v>
      </c>
      <c r="M5" s="10" t="s">
        <v>279</v>
      </c>
    </row>
    <row r="6" spans="1:14" ht="60" x14ac:dyDescent="0.25">
      <c r="A6" s="1">
        <v>5</v>
      </c>
      <c r="B6" s="1">
        <v>2017</v>
      </c>
      <c r="C6" s="130">
        <v>42784</v>
      </c>
      <c r="D6" s="6" t="s">
        <v>4</v>
      </c>
      <c r="E6" s="183" t="str">
        <f>VLOOKUP($D6,Summary!$K$43:$L$264,2,FALSE)</f>
        <v>Hydraulic</v>
      </c>
      <c r="F6" s="1" t="s">
        <v>23</v>
      </c>
      <c r="G6" s="5">
        <v>291.83</v>
      </c>
      <c r="H6" s="4" t="s">
        <v>119</v>
      </c>
      <c r="I6" s="8" t="s">
        <v>95</v>
      </c>
      <c r="J6" s="8">
        <v>4192979</v>
      </c>
      <c r="K6" s="8" t="s">
        <v>23</v>
      </c>
      <c r="L6" s="8" t="s">
        <v>281</v>
      </c>
      <c r="M6" s="10" t="s">
        <v>280</v>
      </c>
    </row>
    <row r="7" spans="1:14" ht="30" x14ac:dyDescent="0.25">
      <c r="A7" s="1">
        <v>6</v>
      </c>
      <c r="B7" s="1">
        <v>2017</v>
      </c>
      <c r="C7" s="130">
        <v>42805</v>
      </c>
      <c r="D7" s="6" t="s">
        <v>2</v>
      </c>
      <c r="E7" s="183" t="str">
        <f>VLOOKUP($D7,Summary!$K$43:$L$264,2,FALSE)</f>
        <v>Hydraulic</v>
      </c>
      <c r="F7" s="1" t="s">
        <v>23</v>
      </c>
      <c r="G7" s="5">
        <v>649.58000000000004</v>
      </c>
      <c r="H7" s="4" t="s">
        <v>72</v>
      </c>
      <c r="I7" s="8" t="s">
        <v>72</v>
      </c>
      <c r="J7" s="18">
        <v>1727123</v>
      </c>
      <c r="K7" s="8" t="s">
        <v>119</v>
      </c>
      <c r="L7" s="8" t="s">
        <v>287</v>
      </c>
      <c r="M7" s="17" t="s">
        <v>255</v>
      </c>
    </row>
    <row r="8" spans="1:14" x14ac:dyDescent="0.25">
      <c r="A8" s="1">
        <v>7</v>
      </c>
      <c r="B8" s="1">
        <v>2017</v>
      </c>
      <c r="C8" s="130">
        <v>42821</v>
      </c>
      <c r="D8" s="6">
        <v>54</v>
      </c>
      <c r="E8" s="183" t="str">
        <f>VLOOKUP($D8,Summary!$K$43:$L$264,2,FALSE)</f>
        <v>Mechanical</v>
      </c>
      <c r="F8" s="1" t="s">
        <v>23</v>
      </c>
      <c r="G8" s="5">
        <v>45.2</v>
      </c>
      <c r="H8" s="4" t="s">
        <v>129</v>
      </c>
      <c r="I8" s="8" t="s">
        <v>86</v>
      </c>
      <c r="J8" s="14">
        <v>1699399</v>
      </c>
      <c r="K8" s="8" t="s">
        <v>23</v>
      </c>
      <c r="L8" s="8" t="s">
        <v>254</v>
      </c>
      <c r="M8" s="15" t="s">
        <v>254</v>
      </c>
    </row>
    <row r="9" spans="1:14" ht="30" x14ac:dyDescent="0.25">
      <c r="A9" s="1">
        <v>8</v>
      </c>
      <c r="B9" s="1">
        <v>2017</v>
      </c>
      <c r="C9" s="130">
        <v>42823</v>
      </c>
      <c r="D9" s="6">
        <v>55</v>
      </c>
      <c r="E9" s="183" t="str">
        <f>VLOOKUP($D9,Summary!$K$43:$L$264,2,FALSE)</f>
        <v>Mechanical</v>
      </c>
      <c r="F9" s="1" t="s">
        <v>23</v>
      </c>
      <c r="G9" s="5">
        <v>25.93</v>
      </c>
      <c r="H9" s="4" t="s">
        <v>218</v>
      </c>
      <c r="I9" s="8" t="s">
        <v>219</v>
      </c>
      <c r="J9" s="8">
        <v>4194401</v>
      </c>
      <c r="K9" s="8" t="s">
        <v>221</v>
      </c>
      <c r="L9" s="8" t="s">
        <v>277</v>
      </c>
      <c r="M9" s="10" t="s">
        <v>282</v>
      </c>
    </row>
    <row r="10" spans="1:14" ht="45" x14ac:dyDescent="0.25">
      <c r="A10" s="1">
        <v>9</v>
      </c>
      <c r="B10" s="1">
        <v>2017</v>
      </c>
      <c r="C10" s="130">
        <v>42824</v>
      </c>
      <c r="D10" s="6">
        <v>55</v>
      </c>
      <c r="E10" s="183" t="str">
        <f>VLOOKUP($D10,Summary!$K$43:$L$264,2,FALSE)</f>
        <v>Mechanical</v>
      </c>
      <c r="F10" s="1" t="s">
        <v>23</v>
      </c>
      <c r="G10" s="5">
        <v>33.520000000000003</v>
      </c>
      <c r="H10" s="4" t="s">
        <v>114</v>
      </c>
      <c r="I10" s="8" t="s">
        <v>85</v>
      </c>
      <c r="J10" s="8">
        <v>4194405</v>
      </c>
      <c r="K10" s="8" t="s">
        <v>215</v>
      </c>
      <c r="L10" s="8" t="s">
        <v>284</v>
      </c>
      <c r="M10" s="10" t="s">
        <v>283</v>
      </c>
    </row>
    <row r="11" spans="1:14" ht="45" x14ac:dyDescent="0.25">
      <c r="A11" s="1">
        <v>10</v>
      </c>
      <c r="B11" s="1">
        <v>2017</v>
      </c>
      <c r="C11" s="130">
        <v>42839</v>
      </c>
      <c r="D11" s="6">
        <v>55</v>
      </c>
      <c r="E11" s="183" t="str">
        <f>VLOOKUP($D11,Summary!$K$43:$L$264,2,FALSE)</f>
        <v>Mechanical</v>
      </c>
      <c r="F11" s="1" t="s">
        <v>23</v>
      </c>
      <c r="G11" s="5">
        <v>154.72</v>
      </c>
      <c r="H11" s="4" t="s">
        <v>218</v>
      </c>
      <c r="I11" s="8" t="s">
        <v>219</v>
      </c>
      <c r="J11" s="8">
        <v>4195045</v>
      </c>
      <c r="K11" s="8" t="s">
        <v>220</v>
      </c>
      <c r="L11" s="8" t="s">
        <v>285</v>
      </c>
      <c r="M11" s="10" t="s">
        <v>286</v>
      </c>
    </row>
    <row r="12" spans="1:14" ht="30" x14ac:dyDescent="0.25">
      <c r="A12" s="1">
        <v>11</v>
      </c>
      <c r="B12" s="1">
        <v>2017</v>
      </c>
      <c r="C12" s="130">
        <v>42844</v>
      </c>
      <c r="D12" s="6" t="s">
        <v>4</v>
      </c>
      <c r="E12" s="183" t="str">
        <f>VLOOKUP($D12,Summary!$K$43:$L$264,2,FALSE)</f>
        <v>Hydraulic</v>
      </c>
      <c r="F12" s="1" t="s">
        <v>23</v>
      </c>
      <c r="G12" s="5">
        <v>80.260000000000005</v>
      </c>
      <c r="H12" s="4" t="s">
        <v>119</v>
      </c>
      <c r="I12" s="8" t="s">
        <v>138</v>
      </c>
      <c r="J12" s="18">
        <v>4195518</v>
      </c>
      <c r="K12" s="8" t="s">
        <v>234</v>
      </c>
      <c r="L12" s="8" t="s">
        <v>289</v>
      </c>
      <c r="M12" s="17" t="s">
        <v>258</v>
      </c>
    </row>
    <row r="13" spans="1:14" ht="135" x14ac:dyDescent="0.25">
      <c r="A13" s="1">
        <v>12</v>
      </c>
      <c r="B13" s="1">
        <v>2017</v>
      </c>
      <c r="C13" s="130">
        <v>42846</v>
      </c>
      <c r="D13" s="6" t="s">
        <v>17</v>
      </c>
      <c r="E13" s="183" t="str">
        <f>VLOOKUP($D13,Summary!$K$43:$L$264,2,FALSE)</f>
        <v>Hopper</v>
      </c>
      <c r="F13" s="1" t="s">
        <v>23</v>
      </c>
      <c r="G13" s="5">
        <v>27.24</v>
      </c>
      <c r="H13" s="4" t="s">
        <v>187</v>
      </c>
      <c r="I13" s="8" t="s">
        <v>230</v>
      </c>
      <c r="J13" s="8" t="s">
        <v>231</v>
      </c>
      <c r="K13" s="8" t="s">
        <v>232</v>
      </c>
      <c r="L13" s="8" t="s">
        <v>290</v>
      </c>
      <c r="M13" s="10" t="s">
        <v>257</v>
      </c>
    </row>
    <row r="14" spans="1:14" ht="30" x14ac:dyDescent="0.25">
      <c r="A14" s="1">
        <v>13</v>
      </c>
      <c r="B14" s="1">
        <v>2017</v>
      </c>
      <c r="C14" s="130">
        <v>42848</v>
      </c>
      <c r="D14" s="6" t="s">
        <v>4</v>
      </c>
      <c r="E14" s="183" t="str">
        <f>VLOOKUP($D14,Summary!$K$43:$L$264,2,FALSE)</f>
        <v>Hydraulic</v>
      </c>
      <c r="F14" s="1" t="s">
        <v>23</v>
      </c>
      <c r="G14" s="5">
        <v>150</v>
      </c>
      <c r="H14" s="4" t="s">
        <v>119</v>
      </c>
      <c r="I14" s="8" t="s">
        <v>138</v>
      </c>
      <c r="J14" s="8">
        <v>4195427</v>
      </c>
      <c r="K14" s="8" t="s">
        <v>233</v>
      </c>
      <c r="L14" s="8" t="s">
        <v>292</v>
      </c>
      <c r="M14" s="10" t="s">
        <v>291</v>
      </c>
    </row>
    <row r="15" spans="1:14" ht="30" x14ac:dyDescent="0.25">
      <c r="A15" s="1">
        <v>14</v>
      </c>
      <c r="B15" s="1">
        <v>2017</v>
      </c>
      <c r="C15" s="130">
        <v>42849</v>
      </c>
      <c r="D15" s="6" t="s">
        <v>22</v>
      </c>
      <c r="E15" s="183" t="str">
        <f>VLOOKUP($D15,Summary!$K$43:$L$264,2,FALSE)</f>
        <v>Hopper</v>
      </c>
      <c r="F15" s="1" t="s">
        <v>23</v>
      </c>
      <c r="G15" s="5">
        <v>62.51</v>
      </c>
      <c r="H15" s="4" t="s">
        <v>72</v>
      </c>
      <c r="I15" s="8" t="s">
        <v>8</v>
      </c>
      <c r="J15" s="14">
        <v>1699368</v>
      </c>
      <c r="K15" s="8" t="s">
        <v>250</v>
      </c>
      <c r="L15" s="8" t="s">
        <v>254</v>
      </c>
      <c r="M15" s="15" t="s">
        <v>254</v>
      </c>
    </row>
    <row r="16" spans="1:14" x14ac:dyDescent="0.25">
      <c r="A16" s="1">
        <v>15</v>
      </c>
      <c r="B16" s="1">
        <v>2017</v>
      </c>
      <c r="C16" s="130">
        <v>42857</v>
      </c>
      <c r="D16" s="6">
        <v>54</v>
      </c>
      <c r="E16" s="183" t="str">
        <f>VLOOKUP($D16,Summary!$K$43:$L$264,2,FALSE)</f>
        <v>Mechanical</v>
      </c>
      <c r="F16" s="1" t="s">
        <v>23</v>
      </c>
      <c r="G16" s="5">
        <v>46.92</v>
      </c>
      <c r="H16" s="4" t="s">
        <v>112</v>
      </c>
      <c r="I16" s="8" t="s">
        <v>81</v>
      </c>
      <c r="J16" s="8">
        <v>1949226</v>
      </c>
      <c r="K16" s="8" t="s">
        <v>212</v>
      </c>
      <c r="L16" s="8" t="s">
        <v>294</v>
      </c>
      <c r="M16" s="10" t="s">
        <v>293</v>
      </c>
    </row>
    <row r="17" spans="1:13" ht="30" x14ac:dyDescent="0.25">
      <c r="A17" s="1">
        <v>16</v>
      </c>
      <c r="B17" s="1">
        <v>2017</v>
      </c>
      <c r="C17" s="130">
        <v>42858</v>
      </c>
      <c r="D17" s="6" t="s">
        <v>19</v>
      </c>
      <c r="E17" s="183" t="str">
        <f>VLOOKUP($D17,Summary!$K$43:$L$264,2,FALSE)</f>
        <v>Hopper</v>
      </c>
      <c r="F17" s="1" t="s">
        <v>23</v>
      </c>
      <c r="G17" s="5">
        <v>51.07</v>
      </c>
      <c r="H17" s="4" t="s">
        <v>69</v>
      </c>
      <c r="I17" s="8" t="s">
        <v>72</v>
      </c>
      <c r="J17" s="16" t="s">
        <v>238</v>
      </c>
      <c r="K17" s="8" t="s">
        <v>239</v>
      </c>
      <c r="L17" s="8" t="s">
        <v>296</v>
      </c>
      <c r="M17" s="10" t="s">
        <v>295</v>
      </c>
    </row>
    <row r="18" spans="1:13" x14ac:dyDescent="0.25">
      <c r="A18" s="1">
        <v>17</v>
      </c>
      <c r="B18" s="1">
        <v>2017</v>
      </c>
      <c r="C18" s="130">
        <v>42867</v>
      </c>
      <c r="D18" s="6" t="s">
        <v>4</v>
      </c>
      <c r="E18" s="183" t="str">
        <f>VLOOKUP($D18,Summary!$K$43:$L$264,2,FALSE)</f>
        <v>Hydraulic</v>
      </c>
      <c r="F18" s="1" t="s">
        <v>23</v>
      </c>
      <c r="G18" s="5">
        <v>45.67</v>
      </c>
      <c r="H18" s="4" t="s">
        <v>119</v>
      </c>
      <c r="I18" s="8" t="s">
        <v>120</v>
      </c>
      <c r="J18" s="14" t="s">
        <v>23</v>
      </c>
      <c r="K18" s="8" t="s">
        <v>23</v>
      </c>
      <c r="L18" s="8" t="s">
        <v>288</v>
      </c>
      <c r="M18" s="15" t="s">
        <v>272</v>
      </c>
    </row>
    <row r="19" spans="1:13" x14ac:dyDescent="0.25">
      <c r="A19" s="1">
        <v>18</v>
      </c>
      <c r="B19" s="1">
        <v>2017</v>
      </c>
      <c r="C19" s="130">
        <v>42870</v>
      </c>
      <c r="D19" s="6" t="s">
        <v>20</v>
      </c>
      <c r="E19" s="183" t="str">
        <f>VLOOKUP($D19,Summary!$K$43:$L$264,2,FALSE)</f>
        <v>Hopper</v>
      </c>
      <c r="F19" s="1" t="s">
        <v>23</v>
      </c>
      <c r="G19" s="5">
        <v>65.64</v>
      </c>
      <c r="H19" s="4" t="s">
        <v>72</v>
      </c>
      <c r="I19" s="8" t="s">
        <v>74</v>
      </c>
      <c r="J19" s="8">
        <v>1987294</v>
      </c>
      <c r="K19" s="8" t="s">
        <v>243</v>
      </c>
      <c r="L19" s="8" t="s">
        <v>298</v>
      </c>
      <c r="M19" s="10" t="s">
        <v>297</v>
      </c>
    </row>
    <row r="20" spans="1:13" ht="150" x14ac:dyDescent="0.25">
      <c r="A20" s="1">
        <v>19</v>
      </c>
      <c r="B20" s="1">
        <v>2017</v>
      </c>
      <c r="C20" s="130">
        <v>42874</v>
      </c>
      <c r="D20" s="6" t="s">
        <v>3</v>
      </c>
      <c r="E20" s="183" t="str">
        <f>VLOOKUP($D20,Summary!$K$43:$L$264,2,FALSE)</f>
        <v>Hydraulic</v>
      </c>
      <c r="F20" s="1" t="s">
        <v>23</v>
      </c>
      <c r="G20" s="5">
        <v>220</v>
      </c>
      <c r="H20" s="4" t="s">
        <v>121</v>
      </c>
      <c r="I20" s="8" t="s">
        <v>92</v>
      </c>
      <c r="J20" s="8" t="s">
        <v>251</v>
      </c>
      <c r="K20" s="8" t="s">
        <v>252</v>
      </c>
      <c r="L20" s="8" t="s">
        <v>300</v>
      </c>
      <c r="M20" s="10" t="s">
        <v>299</v>
      </c>
    </row>
    <row r="21" spans="1:13" ht="360" x14ac:dyDescent="0.25">
      <c r="A21" s="1">
        <v>20</v>
      </c>
      <c r="B21" s="1">
        <v>2017</v>
      </c>
      <c r="C21" s="130">
        <v>42881</v>
      </c>
      <c r="D21" s="6" t="s">
        <v>22</v>
      </c>
      <c r="E21" s="183" t="str">
        <f>VLOOKUP($D21,Summary!$K$43:$L$264,2,FALSE)</f>
        <v>Hopper</v>
      </c>
      <c r="F21" s="1" t="s">
        <v>23</v>
      </c>
      <c r="G21" s="5">
        <v>60.13</v>
      </c>
      <c r="H21" s="4" t="s">
        <v>69</v>
      </c>
      <c r="I21" s="8" t="s">
        <v>72</v>
      </c>
      <c r="J21" s="8">
        <v>4176910</v>
      </c>
      <c r="K21" s="8" t="s">
        <v>249</v>
      </c>
      <c r="L21" s="8" t="s">
        <v>302</v>
      </c>
      <c r="M21" s="10" t="s">
        <v>301</v>
      </c>
    </row>
    <row r="22" spans="1:13" ht="30" x14ac:dyDescent="0.25">
      <c r="A22" s="1">
        <v>21</v>
      </c>
      <c r="B22" s="1">
        <v>2017</v>
      </c>
      <c r="C22" s="130">
        <v>42886</v>
      </c>
      <c r="D22" s="6" t="s">
        <v>19</v>
      </c>
      <c r="E22" s="183" t="str">
        <f>VLOOKUP($D22,Summary!$K$43:$L$264,2,FALSE)</f>
        <v>Hopper</v>
      </c>
      <c r="F22" s="1" t="s">
        <v>23</v>
      </c>
      <c r="G22" s="5">
        <v>118.09</v>
      </c>
      <c r="H22" s="4" t="s">
        <v>69</v>
      </c>
      <c r="I22" s="8" t="s">
        <v>72</v>
      </c>
      <c r="J22" s="8">
        <v>4196753</v>
      </c>
      <c r="K22" s="8" t="s">
        <v>237</v>
      </c>
      <c r="L22" s="8" t="s">
        <v>304</v>
      </c>
      <c r="M22" s="10" t="s">
        <v>303</v>
      </c>
    </row>
    <row r="23" spans="1:13" ht="30" x14ac:dyDescent="0.25">
      <c r="A23" s="1">
        <v>22</v>
      </c>
      <c r="B23" s="1">
        <v>2017</v>
      </c>
      <c r="C23" s="130">
        <v>42901</v>
      </c>
      <c r="D23" s="6">
        <v>55</v>
      </c>
      <c r="E23" s="183" t="str">
        <f>VLOOKUP($D23,Summary!$K$43:$L$264,2,FALSE)</f>
        <v>Mechanical</v>
      </c>
      <c r="F23" s="1" t="s">
        <v>23</v>
      </c>
      <c r="G23" s="5">
        <v>33.39</v>
      </c>
      <c r="H23" s="4" t="s">
        <v>129</v>
      </c>
      <c r="I23" s="8" t="s">
        <v>86</v>
      </c>
      <c r="J23" s="8">
        <v>4197291</v>
      </c>
      <c r="K23" s="8" t="s">
        <v>216</v>
      </c>
      <c r="L23" s="8" t="s">
        <v>306</v>
      </c>
      <c r="M23" s="10" t="s">
        <v>305</v>
      </c>
    </row>
    <row r="24" spans="1:13" x14ac:dyDescent="0.25">
      <c r="A24" s="1">
        <v>23</v>
      </c>
      <c r="B24" s="1">
        <v>2017</v>
      </c>
      <c r="C24" s="130">
        <v>42905</v>
      </c>
      <c r="D24" s="6" t="s">
        <v>19</v>
      </c>
      <c r="E24" s="183" t="str">
        <f>VLOOKUP($D24,Summary!$K$43:$L$264,2,FALSE)</f>
        <v>Hopper</v>
      </c>
      <c r="F24" s="1" t="s">
        <v>23</v>
      </c>
      <c r="G24" s="5">
        <v>79.61</v>
      </c>
      <c r="H24" s="4" t="s">
        <v>69</v>
      </c>
      <c r="I24" s="8" t="s">
        <v>72</v>
      </c>
      <c r="J24" s="14" t="s">
        <v>23</v>
      </c>
      <c r="K24" s="8" t="s">
        <v>241</v>
      </c>
      <c r="L24" s="8" t="s">
        <v>288</v>
      </c>
      <c r="M24" s="15" t="s">
        <v>272</v>
      </c>
    </row>
    <row r="25" spans="1:13" ht="30" x14ac:dyDescent="0.25">
      <c r="A25" s="1">
        <v>24</v>
      </c>
      <c r="B25" s="1">
        <v>2017</v>
      </c>
      <c r="C25" s="130">
        <v>42924</v>
      </c>
      <c r="D25" s="6">
        <v>55</v>
      </c>
      <c r="E25" s="183" t="str">
        <f>VLOOKUP($D25,Summary!$K$43:$L$264,2,FALSE)</f>
        <v>Mechanical</v>
      </c>
      <c r="F25" s="1" t="s">
        <v>23</v>
      </c>
      <c r="G25" s="5">
        <v>48.26</v>
      </c>
      <c r="H25" s="4" t="s">
        <v>112</v>
      </c>
      <c r="I25" s="8" t="s">
        <v>84</v>
      </c>
      <c r="J25" s="8">
        <v>4198364</v>
      </c>
      <c r="K25" s="8" t="s">
        <v>23</v>
      </c>
      <c r="L25" s="8" t="s">
        <v>308</v>
      </c>
      <c r="M25" s="10" t="s">
        <v>307</v>
      </c>
    </row>
    <row r="26" spans="1:13" ht="135" x14ac:dyDescent="0.25">
      <c r="A26" s="1">
        <v>25</v>
      </c>
      <c r="B26" s="1">
        <v>2017</v>
      </c>
      <c r="C26" s="130">
        <v>42927</v>
      </c>
      <c r="D26" s="6" t="s">
        <v>22</v>
      </c>
      <c r="E26" s="183" t="str">
        <f>VLOOKUP($D26,Summary!$K$43:$L$264,2,FALSE)</f>
        <v>Hopper</v>
      </c>
      <c r="F26" s="1" t="s">
        <v>23</v>
      </c>
      <c r="G26" s="5">
        <v>38.22</v>
      </c>
      <c r="H26" s="4" t="s">
        <v>176</v>
      </c>
      <c r="I26" s="8" t="s">
        <v>178</v>
      </c>
      <c r="J26" s="8">
        <v>4177229</v>
      </c>
      <c r="K26" s="8" t="s">
        <v>248</v>
      </c>
      <c r="L26" s="8" t="s">
        <v>310</v>
      </c>
      <c r="M26" s="10" t="s">
        <v>309</v>
      </c>
    </row>
    <row r="27" spans="1:13" ht="30" x14ac:dyDescent="0.25">
      <c r="A27" s="1">
        <v>26</v>
      </c>
      <c r="B27" s="1">
        <v>2017</v>
      </c>
      <c r="C27" s="130">
        <v>42928</v>
      </c>
      <c r="D27" s="6" t="s">
        <v>2</v>
      </c>
      <c r="E27" s="183" t="str">
        <f>VLOOKUP($D27,Summary!$K$43:$L$264,2,FALSE)</f>
        <v>Hydraulic</v>
      </c>
      <c r="F27" s="1" t="s">
        <v>23</v>
      </c>
      <c r="G27" s="5">
        <v>70.06</v>
      </c>
      <c r="H27" s="4" t="s">
        <v>121</v>
      </c>
      <c r="I27" s="8" t="s">
        <v>96</v>
      </c>
      <c r="J27" s="18">
        <v>1727700</v>
      </c>
      <c r="K27" s="8" t="s">
        <v>227</v>
      </c>
      <c r="L27" s="8" t="s">
        <v>311</v>
      </c>
      <c r="M27" s="17" t="s">
        <v>256</v>
      </c>
    </row>
    <row r="28" spans="1:13" ht="60" x14ac:dyDescent="0.25">
      <c r="A28" s="1">
        <v>27</v>
      </c>
      <c r="B28" s="1">
        <v>2017</v>
      </c>
      <c r="C28" s="130">
        <v>42952</v>
      </c>
      <c r="D28" s="6" t="s">
        <v>2</v>
      </c>
      <c r="E28" s="183" t="str">
        <f>VLOOKUP($D28,Summary!$K$43:$L$264,2,FALSE)</f>
        <v>Hydraulic</v>
      </c>
      <c r="F28" s="1" t="s">
        <v>23</v>
      </c>
      <c r="G28" s="5">
        <v>30.95</v>
      </c>
      <c r="H28" s="4" t="s">
        <v>121</v>
      </c>
      <c r="I28" s="8" t="s">
        <v>96</v>
      </c>
      <c r="J28" s="8">
        <v>4201675</v>
      </c>
      <c r="K28" s="8" t="s">
        <v>228</v>
      </c>
      <c r="L28" s="8" t="s">
        <v>313</v>
      </c>
      <c r="M28" s="10" t="s">
        <v>312</v>
      </c>
    </row>
    <row r="29" spans="1:13" ht="90" x14ac:dyDescent="0.25">
      <c r="A29" s="1">
        <v>28</v>
      </c>
      <c r="B29" s="1">
        <v>2017</v>
      </c>
      <c r="C29" s="130">
        <v>42964</v>
      </c>
      <c r="D29" s="6" t="s">
        <v>4</v>
      </c>
      <c r="E29" s="183" t="str">
        <f>VLOOKUP($D29,Summary!$K$43:$L$264,2,FALSE)</f>
        <v>Hydraulic</v>
      </c>
      <c r="F29" s="1" t="s">
        <v>23</v>
      </c>
      <c r="G29" s="5">
        <v>27.24</v>
      </c>
      <c r="H29" s="4" t="s">
        <v>160</v>
      </c>
      <c r="I29" s="8" t="s">
        <v>161</v>
      </c>
      <c r="J29" s="8">
        <v>4199603</v>
      </c>
      <c r="K29" s="8" t="s">
        <v>236</v>
      </c>
      <c r="L29" s="8" t="s">
        <v>236</v>
      </c>
      <c r="M29" s="10" t="s">
        <v>314</v>
      </c>
    </row>
    <row r="30" spans="1:13" x14ac:dyDescent="0.25">
      <c r="A30" s="1">
        <v>29</v>
      </c>
      <c r="B30" s="1">
        <v>2017</v>
      </c>
      <c r="C30" s="130">
        <v>42978</v>
      </c>
      <c r="D30" s="6" t="s">
        <v>20</v>
      </c>
      <c r="E30" s="183" t="str">
        <f>VLOOKUP($D30,Summary!$K$43:$L$264,2,FALSE)</f>
        <v>Hopper</v>
      </c>
      <c r="F30" s="1" t="s">
        <v>23</v>
      </c>
      <c r="G30" s="5">
        <v>98.99</v>
      </c>
      <c r="H30" s="4" t="s">
        <v>108</v>
      </c>
      <c r="I30" s="8" t="s">
        <v>108</v>
      </c>
      <c r="J30" s="14" t="s">
        <v>27</v>
      </c>
      <c r="K30" s="8" t="s">
        <v>242</v>
      </c>
      <c r="L30" s="8" t="s">
        <v>288</v>
      </c>
      <c r="M30" s="15" t="s">
        <v>272</v>
      </c>
    </row>
    <row r="31" spans="1:13" x14ac:dyDescent="0.25">
      <c r="A31" s="1">
        <v>30</v>
      </c>
      <c r="B31" s="1">
        <v>2017</v>
      </c>
      <c r="C31" s="130">
        <v>42986</v>
      </c>
      <c r="D31" s="6">
        <v>55</v>
      </c>
      <c r="E31" s="183" t="str">
        <f>VLOOKUP($D31,Summary!$K$43:$L$264,2,FALSE)</f>
        <v>Mechanical</v>
      </c>
      <c r="F31" s="1" t="s">
        <v>23</v>
      </c>
      <c r="G31" s="5">
        <v>58.02</v>
      </c>
      <c r="H31" s="4" t="s">
        <v>110</v>
      </c>
      <c r="I31" s="8" t="s">
        <v>88</v>
      </c>
      <c r="J31" s="8">
        <v>4200447</v>
      </c>
      <c r="K31" s="8" t="s">
        <v>217</v>
      </c>
      <c r="L31" s="8" t="s">
        <v>316</v>
      </c>
      <c r="M31" s="10" t="s">
        <v>315</v>
      </c>
    </row>
    <row r="32" spans="1:13" ht="30" x14ac:dyDescent="0.25">
      <c r="A32" s="1">
        <v>31</v>
      </c>
      <c r="B32" s="1">
        <v>2017</v>
      </c>
      <c r="C32" s="130">
        <v>42995</v>
      </c>
      <c r="D32" s="6" t="s">
        <v>20</v>
      </c>
      <c r="E32" s="183" t="str">
        <f>VLOOKUP($D32,Summary!$K$43:$L$264,2,FALSE)</f>
        <v>Hopper</v>
      </c>
      <c r="F32" s="1" t="s">
        <v>23</v>
      </c>
      <c r="G32" s="5">
        <v>46.57</v>
      </c>
      <c r="H32" s="4" t="s">
        <v>187</v>
      </c>
      <c r="I32" s="8" t="s">
        <v>205</v>
      </c>
      <c r="J32" s="8">
        <v>1987956</v>
      </c>
      <c r="K32" s="8" t="s">
        <v>259</v>
      </c>
      <c r="L32" s="8" t="s">
        <v>317</v>
      </c>
      <c r="M32" s="10" t="s">
        <v>260</v>
      </c>
    </row>
    <row r="33" spans="1:13" ht="90" x14ac:dyDescent="0.25">
      <c r="A33" s="1">
        <v>32</v>
      </c>
      <c r="B33" s="1">
        <v>2017</v>
      </c>
      <c r="C33" s="130">
        <v>42997</v>
      </c>
      <c r="D33" s="6" t="s">
        <v>2</v>
      </c>
      <c r="E33" s="183" t="str">
        <f>VLOOKUP($D33,Summary!$K$43:$L$264,2,FALSE)</f>
        <v>Hydraulic</v>
      </c>
      <c r="F33" s="1" t="s">
        <v>23</v>
      </c>
      <c r="G33" s="5">
        <v>110.73</v>
      </c>
      <c r="H33" s="4" t="s">
        <v>121</v>
      </c>
      <c r="I33" s="8" t="s">
        <v>96</v>
      </c>
      <c r="J33" s="8">
        <v>1727560</v>
      </c>
      <c r="K33" s="8" t="s">
        <v>23</v>
      </c>
      <c r="L33" s="8" t="s">
        <v>319</v>
      </c>
      <c r="M33" s="10" t="s">
        <v>318</v>
      </c>
    </row>
    <row r="34" spans="1:13" x14ac:dyDescent="0.25">
      <c r="A34" s="1">
        <v>33</v>
      </c>
      <c r="B34" s="1">
        <v>2017</v>
      </c>
      <c r="C34" s="130">
        <v>43029</v>
      </c>
      <c r="D34" s="6">
        <v>54</v>
      </c>
      <c r="E34" s="183" t="str">
        <f>VLOOKUP($D34,Summary!$K$43:$L$264,2,FALSE)</f>
        <v>Mechanical</v>
      </c>
      <c r="F34" s="1" t="s">
        <v>23</v>
      </c>
      <c r="G34" s="5">
        <v>55.33</v>
      </c>
      <c r="H34" s="4" t="s">
        <v>129</v>
      </c>
      <c r="I34" s="8" t="s">
        <v>79</v>
      </c>
      <c r="J34" s="8">
        <v>4201397</v>
      </c>
      <c r="K34" s="8" t="s">
        <v>211</v>
      </c>
      <c r="L34" s="8" t="s">
        <v>320</v>
      </c>
      <c r="M34" s="10" t="s">
        <v>253</v>
      </c>
    </row>
    <row r="35" spans="1:13" ht="135" x14ac:dyDescent="0.25">
      <c r="A35" s="1">
        <v>34</v>
      </c>
      <c r="B35" s="1">
        <v>2017</v>
      </c>
      <c r="C35" s="130">
        <v>43041</v>
      </c>
      <c r="D35" s="6" t="s">
        <v>2</v>
      </c>
      <c r="E35" s="183" t="str">
        <f>VLOOKUP($D35,Summary!$K$43:$L$264,2,FALSE)</f>
        <v>Hydraulic</v>
      </c>
      <c r="F35" s="1" t="s">
        <v>23</v>
      </c>
      <c r="G35" s="5">
        <v>77</v>
      </c>
      <c r="H35" s="4" t="s">
        <v>121</v>
      </c>
      <c r="I35" s="8" t="s">
        <v>96</v>
      </c>
      <c r="J35" s="8">
        <v>1727498</v>
      </c>
      <c r="K35" s="8" t="s">
        <v>23</v>
      </c>
      <c r="L35" s="8" t="s">
        <v>322</v>
      </c>
      <c r="M35" s="10" t="s">
        <v>321</v>
      </c>
    </row>
    <row r="36" spans="1:13" x14ac:dyDescent="0.25">
      <c r="A36" s="1">
        <v>35</v>
      </c>
      <c r="B36" s="1">
        <v>2017</v>
      </c>
      <c r="C36" s="130">
        <v>43045</v>
      </c>
      <c r="D36" s="6">
        <v>55</v>
      </c>
      <c r="E36" s="183" t="str">
        <f>VLOOKUP($D36,Summary!$K$43:$L$264,2,FALSE)</f>
        <v>Mechanical</v>
      </c>
      <c r="F36" s="1" t="s">
        <v>23</v>
      </c>
      <c r="G36" s="5">
        <v>26.31</v>
      </c>
      <c r="H36" s="4" t="s">
        <v>213</v>
      </c>
      <c r="I36" s="8" t="s">
        <v>214</v>
      </c>
      <c r="J36" s="14" t="s">
        <v>23</v>
      </c>
      <c r="K36" s="8" t="s">
        <v>23</v>
      </c>
      <c r="L36" s="8" t="s">
        <v>288</v>
      </c>
      <c r="M36" s="15" t="s">
        <v>272</v>
      </c>
    </row>
    <row r="37" spans="1:13" x14ac:dyDescent="0.25">
      <c r="A37" s="1">
        <v>36</v>
      </c>
      <c r="B37" s="1">
        <v>2017</v>
      </c>
      <c r="C37" s="130">
        <v>43045</v>
      </c>
      <c r="D37" s="6" t="s">
        <v>19</v>
      </c>
      <c r="E37" s="183" t="str">
        <f>VLOOKUP($D37,Summary!$K$43:$L$264,2,FALSE)</f>
        <v>Hopper</v>
      </c>
      <c r="F37" s="1" t="s">
        <v>23</v>
      </c>
      <c r="G37" s="5">
        <v>34.659999999999997</v>
      </c>
      <c r="H37" s="4" t="s">
        <v>105</v>
      </c>
      <c r="I37" s="8" t="s">
        <v>240</v>
      </c>
      <c r="J37" s="14" t="s">
        <v>23</v>
      </c>
      <c r="K37" s="8" t="s">
        <v>23</v>
      </c>
      <c r="L37" s="8" t="s">
        <v>288</v>
      </c>
      <c r="M37" s="15" t="s">
        <v>272</v>
      </c>
    </row>
    <row r="38" spans="1:13" x14ac:dyDescent="0.25">
      <c r="A38" s="1">
        <v>37</v>
      </c>
      <c r="B38" s="1">
        <v>2017</v>
      </c>
      <c r="C38" s="130">
        <v>43045</v>
      </c>
      <c r="D38" s="6" t="s">
        <v>3</v>
      </c>
      <c r="E38" s="183" t="str">
        <f>VLOOKUP($D38,Summary!$K$43:$L$264,2,FALSE)</f>
        <v>Hydraulic</v>
      </c>
      <c r="F38" s="1" t="s">
        <v>23</v>
      </c>
      <c r="G38" s="5">
        <v>73.08</v>
      </c>
      <c r="H38" s="4" t="s">
        <v>121</v>
      </c>
      <c r="I38" s="8" t="s">
        <v>96</v>
      </c>
      <c r="J38" s="14" t="s">
        <v>27</v>
      </c>
      <c r="K38" s="8" t="s">
        <v>23</v>
      </c>
      <c r="L38" s="8" t="s">
        <v>288</v>
      </c>
      <c r="M38" s="15" t="s">
        <v>272</v>
      </c>
    </row>
    <row r="39" spans="1:13" x14ac:dyDescent="0.25">
      <c r="A39" s="1">
        <v>38</v>
      </c>
      <c r="B39" s="1">
        <v>2017</v>
      </c>
      <c r="C39" s="130">
        <v>43051</v>
      </c>
      <c r="D39" s="6" t="s">
        <v>2</v>
      </c>
      <c r="E39" s="183" t="str">
        <f>VLOOKUP($D39,Summary!$K$43:$L$264,2,FALSE)</f>
        <v>Hydraulic</v>
      </c>
      <c r="F39" s="1" t="s">
        <v>23</v>
      </c>
      <c r="G39" s="5">
        <v>59.52</v>
      </c>
      <c r="H39" s="4" t="s">
        <v>121</v>
      </c>
      <c r="I39" s="8" t="s">
        <v>92</v>
      </c>
      <c r="J39" s="14">
        <v>1703521</v>
      </c>
      <c r="K39" s="8" t="s">
        <v>226</v>
      </c>
      <c r="L39" s="8" t="s">
        <v>254</v>
      </c>
      <c r="M39" s="15" t="s">
        <v>254</v>
      </c>
    </row>
    <row r="40" spans="1:13" x14ac:dyDescent="0.25">
      <c r="A40" s="1">
        <v>39</v>
      </c>
      <c r="B40" s="1">
        <v>2017</v>
      </c>
      <c r="C40" s="130">
        <v>43054</v>
      </c>
      <c r="D40" s="6" t="s">
        <v>21</v>
      </c>
      <c r="E40" s="183" t="str">
        <f>VLOOKUP($D40,Summary!$K$43:$L$264,2,FALSE)</f>
        <v>Hopper</v>
      </c>
      <c r="F40" s="1" t="s">
        <v>23</v>
      </c>
      <c r="G40" s="5">
        <v>25.34</v>
      </c>
      <c r="H40" s="4" t="s">
        <v>72</v>
      </c>
      <c r="I40" s="8" t="s">
        <v>74</v>
      </c>
      <c r="J40" s="14" t="s">
        <v>23</v>
      </c>
      <c r="K40" s="8" t="s">
        <v>23</v>
      </c>
      <c r="L40" s="8" t="s">
        <v>288</v>
      </c>
      <c r="M40" s="15" t="s">
        <v>272</v>
      </c>
    </row>
    <row r="41" spans="1:13" ht="30" x14ac:dyDescent="0.25">
      <c r="A41" s="1">
        <v>40</v>
      </c>
      <c r="B41" s="1">
        <v>2017</v>
      </c>
      <c r="C41" s="130">
        <v>43059</v>
      </c>
      <c r="D41" s="6" t="s">
        <v>2</v>
      </c>
      <c r="E41" s="183" t="str">
        <f>VLOOKUP($D41,Summary!$K$43:$L$264,2,FALSE)</f>
        <v>Hydraulic</v>
      </c>
      <c r="F41" s="1" t="s">
        <v>23</v>
      </c>
      <c r="G41" s="5">
        <v>58.82</v>
      </c>
      <c r="H41" s="4" t="s">
        <v>121</v>
      </c>
      <c r="I41" s="8" t="s">
        <v>92</v>
      </c>
      <c r="J41" s="18">
        <v>1727700</v>
      </c>
      <c r="K41" s="8" t="s">
        <v>225</v>
      </c>
      <c r="L41" s="8" t="s">
        <v>311</v>
      </c>
      <c r="M41" s="17" t="s">
        <v>256</v>
      </c>
    </row>
    <row r="42" spans="1:13" ht="45" x14ac:dyDescent="0.25">
      <c r="A42" s="1">
        <v>41</v>
      </c>
      <c r="B42" s="1">
        <v>2017</v>
      </c>
      <c r="C42" s="130">
        <v>43070</v>
      </c>
      <c r="D42" s="6" t="s">
        <v>2</v>
      </c>
      <c r="E42" s="183" t="str">
        <f>VLOOKUP($D42,Summary!$K$43:$L$264,2,FALSE)</f>
        <v>Hydraulic</v>
      </c>
      <c r="F42" s="1" t="s">
        <v>23</v>
      </c>
      <c r="G42" s="5">
        <v>26.4</v>
      </c>
      <c r="H42" s="4" t="s">
        <v>121</v>
      </c>
      <c r="I42" s="8" t="s">
        <v>96</v>
      </c>
      <c r="J42" s="8">
        <v>1727454</v>
      </c>
      <c r="K42" s="8" t="s">
        <v>229</v>
      </c>
      <c r="L42" s="8" t="s">
        <v>324</v>
      </c>
      <c r="M42" s="10" t="s">
        <v>323</v>
      </c>
    </row>
    <row r="43" spans="1:13" ht="45" x14ac:dyDescent="0.25">
      <c r="A43" s="1">
        <v>42</v>
      </c>
      <c r="B43" s="1">
        <v>2017</v>
      </c>
      <c r="C43" s="130">
        <v>43084</v>
      </c>
      <c r="D43" s="6" t="s">
        <v>2</v>
      </c>
      <c r="E43" s="183" t="str">
        <f>VLOOKUP($D43,Summary!$K$43:$L$264,2,FALSE)</f>
        <v>Hydraulic</v>
      </c>
      <c r="F43" s="1" t="s">
        <v>23</v>
      </c>
      <c r="G43" s="5">
        <v>144.79</v>
      </c>
      <c r="H43" s="4" t="s">
        <v>119</v>
      </c>
      <c r="I43" s="8" t="s">
        <v>95</v>
      </c>
      <c r="J43" s="8">
        <v>1727765</v>
      </c>
      <c r="K43" s="8" t="s">
        <v>23</v>
      </c>
      <c r="L43" s="8" t="s">
        <v>326</v>
      </c>
      <c r="M43" s="10" t="s">
        <v>325</v>
      </c>
    </row>
    <row r="44" spans="1:13" ht="30" x14ac:dyDescent="0.25">
      <c r="A44" s="1">
        <v>43</v>
      </c>
      <c r="B44" s="1">
        <v>2017</v>
      </c>
      <c r="C44" s="130">
        <v>43097</v>
      </c>
      <c r="D44" s="6" t="s">
        <v>2</v>
      </c>
      <c r="E44" s="183" t="str">
        <f>VLOOKUP($D44,Summary!$K$43:$L$264,2,FALSE)</f>
        <v>Hydraulic</v>
      </c>
      <c r="F44" s="1" t="s">
        <v>23</v>
      </c>
      <c r="G44" s="5">
        <v>30.79</v>
      </c>
      <c r="H44" s="4" t="s">
        <v>222</v>
      </c>
      <c r="I44" s="8" t="s">
        <v>86</v>
      </c>
      <c r="J44" s="14">
        <v>1704231</v>
      </c>
      <c r="K44" s="8" t="s">
        <v>223</v>
      </c>
      <c r="L44" s="8" t="s">
        <v>254</v>
      </c>
      <c r="M44" s="15" t="s">
        <v>254</v>
      </c>
    </row>
    <row r="45" spans="1:13" ht="30" x14ac:dyDescent="0.25">
      <c r="A45" s="1">
        <v>44</v>
      </c>
      <c r="B45" s="1">
        <v>2017</v>
      </c>
      <c r="C45" s="130">
        <v>43098</v>
      </c>
      <c r="D45" s="6" t="s">
        <v>21</v>
      </c>
      <c r="E45" s="183" t="str">
        <f>VLOOKUP($D45,Summary!$K$43:$L$264,2,FALSE)</f>
        <v>Hopper</v>
      </c>
      <c r="F45" s="1" t="s">
        <v>23</v>
      </c>
      <c r="G45" s="5">
        <v>36.31</v>
      </c>
      <c r="H45" s="4" t="s">
        <v>72</v>
      </c>
      <c r="I45" s="8" t="s">
        <v>74</v>
      </c>
      <c r="J45" s="18">
        <v>4063904</v>
      </c>
      <c r="K45" s="8" t="s">
        <v>244</v>
      </c>
      <c r="L45" s="8" t="s">
        <v>327</v>
      </c>
      <c r="M45" s="17" t="s">
        <v>261</v>
      </c>
    </row>
    <row r="46" spans="1:13" ht="105" x14ac:dyDescent="0.25">
      <c r="A46" s="1">
        <v>45</v>
      </c>
      <c r="B46" s="1">
        <v>2018</v>
      </c>
      <c r="C46" s="130">
        <v>43105</v>
      </c>
      <c r="D46" s="6" t="s">
        <v>22</v>
      </c>
      <c r="E46" s="183" t="str">
        <f>VLOOKUP($D46,Summary!$K$43:$L$264,2,FALSE)</f>
        <v>Hopper</v>
      </c>
      <c r="F46" s="1" t="s">
        <v>23</v>
      </c>
      <c r="G46" s="5">
        <v>73.3</v>
      </c>
      <c r="H46" s="4" t="s">
        <v>69</v>
      </c>
      <c r="I46" s="8" t="s">
        <v>206</v>
      </c>
      <c r="J46" s="8">
        <v>4178593</v>
      </c>
      <c r="K46" s="8" t="s">
        <v>207</v>
      </c>
      <c r="L46" s="8" t="s">
        <v>329</v>
      </c>
      <c r="M46" s="10" t="s">
        <v>328</v>
      </c>
    </row>
    <row r="47" spans="1:13" ht="60" x14ac:dyDescent="0.25">
      <c r="A47" s="1">
        <v>46</v>
      </c>
      <c r="B47" s="1">
        <v>2018</v>
      </c>
      <c r="C47" s="130">
        <v>43111</v>
      </c>
      <c r="D47" s="6" t="s">
        <v>2</v>
      </c>
      <c r="E47" s="183" t="str">
        <f>VLOOKUP($D47,Summary!$K$43:$L$264,2,FALSE)</f>
        <v>Hydraulic</v>
      </c>
      <c r="F47" s="1" t="s">
        <v>23</v>
      </c>
      <c r="G47" s="5">
        <v>84.71</v>
      </c>
      <c r="H47" s="4" t="s">
        <v>121</v>
      </c>
      <c r="I47" s="8" t="s">
        <v>96</v>
      </c>
      <c r="J47" s="8">
        <v>1727803</v>
      </c>
      <c r="K47" s="8" t="s">
        <v>23</v>
      </c>
      <c r="L47" s="8" t="s">
        <v>313</v>
      </c>
      <c r="M47" s="10" t="s">
        <v>330</v>
      </c>
    </row>
    <row r="48" spans="1:13" ht="30" x14ac:dyDescent="0.25">
      <c r="A48" s="1">
        <v>47</v>
      </c>
      <c r="B48" s="1">
        <v>2018</v>
      </c>
      <c r="C48" s="130">
        <v>43121</v>
      </c>
      <c r="D48" s="6" t="s">
        <v>18</v>
      </c>
      <c r="E48" s="183" t="str">
        <f>VLOOKUP($D48,Summary!$K$43:$L$264,2,FALSE)</f>
        <v>Hopper</v>
      </c>
      <c r="F48" s="1" t="s">
        <v>23</v>
      </c>
      <c r="G48" s="5">
        <v>92.61</v>
      </c>
      <c r="H48" s="4" t="s">
        <v>187</v>
      </c>
      <c r="I48" s="8" t="s">
        <v>188</v>
      </c>
      <c r="J48" s="14" t="s">
        <v>27</v>
      </c>
      <c r="K48" s="8" t="s">
        <v>189</v>
      </c>
      <c r="L48" s="8" t="s">
        <v>288</v>
      </c>
      <c r="M48" s="15" t="s">
        <v>272</v>
      </c>
    </row>
    <row r="49" spans="1:13" x14ac:dyDescent="0.25">
      <c r="A49" s="1">
        <v>48</v>
      </c>
      <c r="B49" s="1">
        <v>2018</v>
      </c>
      <c r="C49" s="130">
        <v>43131</v>
      </c>
      <c r="D49" s="6" t="s">
        <v>18</v>
      </c>
      <c r="E49" s="183" t="str">
        <f>VLOOKUP($D49,Summary!$K$43:$L$264,2,FALSE)</f>
        <v>Hopper</v>
      </c>
      <c r="F49" s="1" t="s">
        <v>23</v>
      </c>
      <c r="G49" s="5">
        <v>40.39</v>
      </c>
      <c r="H49" s="4" t="s">
        <v>69</v>
      </c>
      <c r="I49" s="8" t="s">
        <v>181</v>
      </c>
      <c r="J49" s="14" t="s">
        <v>27</v>
      </c>
      <c r="K49" s="8" t="s">
        <v>23</v>
      </c>
      <c r="L49" s="8" t="s">
        <v>288</v>
      </c>
      <c r="M49" s="15" t="s">
        <v>272</v>
      </c>
    </row>
    <row r="50" spans="1:13" x14ac:dyDescent="0.25">
      <c r="A50" s="1">
        <v>49</v>
      </c>
      <c r="B50" s="1">
        <v>2018</v>
      </c>
      <c r="C50" s="130">
        <v>43132</v>
      </c>
      <c r="D50" s="6" t="s">
        <v>2</v>
      </c>
      <c r="E50" s="183" t="str">
        <f>VLOOKUP($D50,Summary!$K$43:$L$264,2,FALSE)</f>
        <v>Hydraulic</v>
      </c>
      <c r="F50" s="1" t="s">
        <v>23</v>
      </c>
      <c r="G50" s="5">
        <v>86.73</v>
      </c>
      <c r="H50" s="4" t="s">
        <v>119</v>
      </c>
      <c r="I50" s="8" t="s">
        <v>92</v>
      </c>
      <c r="J50" s="8">
        <v>1727880</v>
      </c>
      <c r="K50" s="8" t="s">
        <v>23</v>
      </c>
      <c r="L50" s="8" t="s">
        <v>331</v>
      </c>
      <c r="M50" s="10" t="s">
        <v>295</v>
      </c>
    </row>
    <row r="51" spans="1:13" x14ac:dyDescent="0.25">
      <c r="A51" s="1">
        <v>50</v>
      </c>
      <c r="B51" s="1">
        <v>2018</v>
      </c>
      <c r="C51" s="130">
        <v>43133</v>
      </c>
      <c r="D51" s="6" t="s">
        <v>18</v>
      </c>
      <c r="E51" s="183" t="str">
        <f>VLOOKUP($D51,Summary!$K$43:$L$264,2,FALSE)</f>
        <v>Hopper</v>
      </c>
      <c r="F51" s="1" t="s">
        <v>23</v>
      </c>
      <c r="G51" s="5">
        <v>421.95</v>
      </c>
      <c r="H51" s="4" t="s">
        <v>69</v>
      </c>
      <c r="I51" s="8" t="s">
        <v>181</v>
      </c>
      <c r="J51" s="14" t="s">
        <v>27</v>
      </c>
      <c r="K51" s="8" t="s">
        <v>182</v>
      </c>
      <c r="L51" s="8" t="s">
        <v>288</v>
      </c>
      <c r="M51" s="15" t="s">
        <v>272</v>
      </c>
    </row>
    <row r="52" spans="1:13" ht="75" x14ac:dyDescent="0.25">
      <c r="A52" s="1">
        <v>51</v>
      </c>
      <c r="B52" s="1">
        <v>2018</v>
      </c>
      <c r="C52" s="130">
        <v>43138</v>
      </c>
      <c r="D52" s="6" t="s">
        <v>4</v>
      </c>
      <c r="E52" s="183" t="str">
        <f>VLOOKUP($D52,Summary!$K$43:$L$264,2,FALSE)</f>
        <v>Hydraulic</v>
      </c>
      <c r="F52" s="1" t="s">
        <v>23</v>
      </c>
      <c r="G52" s="5">
        <v>60.76</v>
      </c>
      <c r="H52" s="4" t="s">
        <v>121</v>
      </c>
      <c r="I52" s="8" t="s">
        <v>97</v>
      </c>
      <c r="J52" s="8">
        <v>4204577</v>
      </c>
      <c r="K52" s="8" t="s">
        <v>24</v>
      </c>
      <c r="L52" s="8" t="s">
        <v>333</v>
      </c>
      <c r="M52" s="10" t="s">
        <v>332</v>
      </c>
    </row>
    <row r="53" spans="1:13" ht="180" x14ac:dyDescent="0.25">
      <c r="A53" s="1">
        <v>52</v>
      </c>
      <c r="B53" s="1">
        <v>2018</v>
      </c>
      <c r="C53" s="130">
        <v>43140</v>
      </c>
      <c r="D53" s="6" t="s">
        <v>17</v>
      </c>
      <c r="E53" s="183" t="str">
        <f>VLOOKUP($D53,Summary!$K$43:$L$264,2,FALSE)</f>
        <v>Hopper</v>
      </c>
      <c r="F53" s="1" t="s">
        <v>23</v>
      </c>
      <c r="G53" s="5">
        <v>35.880000000000003</v>
      </c>
      <c r="H53" s="4" t="s">
        <v>171</v>
      </c>
      <c r="I53" s="8" t="s">
        <v>72</v>
      </c>
      <c r="J53" s="18">
        <v>4068750</v>
      </c>
      <c r="K53" s="8" t="s">
        <v>172</v>
      </c>
      <c r="L53" s="8" t="s">
        <v>335</v>
      </c>
      <c r="M53" s="17" t="s">
        <v>334</v>
      </c>
    </row>
    <row r="54" spans="1:13" ht="45" x14ac:dyDescent="0.25">
      <c r="A54" s="1">
        <v>53</v>
      </c>
      <c r="B54" s="1">
        <v>2018</v>
      </c>
      <c r="C54" s="130">
        <v>43142</v>
      </c>
      <c r="D54" s="6" t="s">
        <v>2</v>
      </c>
      <c r="E54" s="183" t="str">
        <f>VLOOKUP($D54,Summary!$K$43:$L$264,2,FALSE)</f>
        <v>Hydraulic</v>
      </c>
      <c r="F54" s="1" t="s">
        <v>23</v>
      </c>
      <c r="G54" s="5">
        <v>91.93</v>
      </c>
      <c r="H54" s="4" t="s">
        <v>119</v>
      </c>
      <c r="I54" s="8" t="s">
        <v>95</v>
      </c>
      <c r="J54" s="8">
        <v>1727914</v>
      </c>
      <c r="K54" s="8" t="s">
        <v>136</v>
      </c>
      <c r="L54" s="8" t="s">
        <v>337</v>
      </c>
      <c r="M54" s="10" t="s">
        <v>336</v>
      </c>
    </row>
    <row r="55" spans="1:13" ht="30" x14ac:dyDescent="0.25">
      <c r="A55" s="1">
        <v>54</v>
      </c>
      <c r="B55" s="1">
        <v>2018</v>
      </c>
      <c r="C55" s="130">
        <v>43147</v>
      </c>
      <c r="D55" s="6" t="s">
        <v>2</v>
      </c>
      <c r="E55" s="183" t="str">
        <f>VLOOKUP($D55,Summary!$K$43:$L$264,2,FALSE)</f>
        <v>Hydraulic</v>
      </c>
      <c r="F55" s="1" t="s">
        <v>23</v>
      </c>
      <c r="G55" s="5">
        <v>65.62</v>
      </c>
      <c r="H55" s="4" t="s">
        <v>119</v>
      </c>
      <c r="I55" s="8" t="s">
        <v>95</v>
      </c>
      <c r="J55" s="8">
        <v>1727917</v>
      </c>
      <c r="K55" s="8" t="s">
        <v>23</v>
      </c>
      <c r="L55" s="8" t="s">
        <v>338</v>
      </c>
      <c r="M55" s="10" t="s">
        <v>295</v>
      </c>
    </row>
    <row r="56" spans="1:13" ht="45" x14ac:dyDescent="0.25">
      <c r="A56" s="1">
        <v>55</v>
      </c>
      <c r="B56" s="1">
        <v>2018</v>
      </c>
      <c r="C56" s="130">
        <v>43154</v>
      </c>
      <c r="D56" s="6" t="s">
        <v>2</v>
      </c>
      <c r="E56" s="183" t="str">
        <f>VLOOKUP($D56,Summary!$K$43:$L$264,2,FALSE)</f>
        <v>Hydraulic</v>
      </c>
      <c r="F56" s="1" t="s">
        <v>23</v>
      </c>
      <c r="G56" s="5">
        <v>67.8</v>
      </c>
      <c r="H56" s="4" t="s">
        <v>121</v>
      </c>
      <c r="I56" s="8" t="s">
        <v>96</v>
      </c>
      <c r="J56" s="8">
        <v>1727908</v>
      </c>
      <c r="K56" s="8" t="s">
        <v>23</v>
      </c>
      <c r="L56" s="8" t="s">
        <v>313</v>
      </c>
      <c r="M56" s="10" t="s">
        <v>339</v>
      </c>
    </row>
    <row r="57" spans="1:13" ht="60" x14ac:dyDescent="0.25">
      <c r="A57" s="1">
        <v>56</v>
      </c>
      <c r="B57" s="1">
        <v>2018</v>
      </c>
      <c r="C57" s="130">
        <v>43154</v>
      </c>
      <c r="D57" s="6" t="s">
        <v>19</v>
      </c>
      <c r="E57" s="183" t="str">
        <f>VLOOKUP($D57,Summary!$K$43:$L$264,2,FALSE)</f>
        <v>Hopper</v>
      </c>
      <c r="F57" s="1" t="s">
        <v>23</v>
      </c>
      <c r="G57" s="5">
        <v>40</v>
      </c>
      <c r="H57" s="4" t="s">
        <v>105</v>
      </c>
      <c r="I57" s="8" t="s">
        <v>72</v>
      </c>
      <c r="J57" s="16" t="s">
        <v>192</v>
      </c>
      <c r="K57" s="8" t="s">
        <v>193</v>
      </c>
      <c r="L57" s="8" t="s">
        <v>341</v>
      </c>
      <c r="M57" s="10" t="s">
        <v>340</v>
      </c>
    </row>
    <row r="58" spans="1:13" ht="315" x14ac:dyDescent="0.25">
      <c r="A58" s="1">
        <v>57</v>
      </c>
      <c r="B58" s="1">
        <v>2018</v>
      </c>
      <c r="C58" s="130">
        <v>43157</v>
      </c>
      <c r="D58" s="6" t="s">
        <v>19</v>
      </c>
      <c r="E58" s="183" t="str">
        <f>VLOOKUP($D58,Summary!$K$43:$L$264,2,FALSE)</f>
        <v>Hopper</v>
      </c>
      <c r="F58" s="1" t="s">
        <v>23</v>
      </c>
      <c r="G58" s="5">
        <v>72.89</v>
      </c>
      <c r="H58" s="4" t="s">
        <v>104</v>
      </c>
      <c r="I58" s="8" t="s">
        <v>72</v>
      </c>
      <c r="J58" s="16" t="s">
        <v>190</v>
      </c>
      <c r="K58" s="8" t="s">
        <v>191</v>
      </c>
      <c r="L58" s="8" t="s">
        <v>343</v>
      </c>
      <c r="M58" s="10" t="s">
        <v>342</v>
      </c>
    </row>
    <row r="59" spans="1:13" x14ac:dyDescent="0.25">
      <c r="A59" s="1">
        <v>58</v>
      </c>
      <c r="B59" s="1">
        <v>2018</v>
      </c>
      <c r="C59" s="130">
        <v>43163</v>
      </c>
      <c r="D59" s="6" t="s">
        <v>18</v>
      </c>
      <c r="E59" s="183" t="str">
        <f>VLOOKUP($D59,Summary!$K$43:$L$264,2,FALSE)</f>
        <v>Hopper</v>
      </c>
      <c r="F59" s="1" t="s">
        <v>23</v>
      </c>
      <c r="G59" s="5">
        <v>43.89</v>
      </c>
      <c r="H59" s="4" t="s">
        <v>72</v>
      </c>
      <c r="I59" s="8" t="s">
        <v>183</v>
      </c>
      <c r="J59" s="14" t="s">
        <v>27</v>
      </c>
      <c r="K59" s="8" t="s">
        <v>185</v>
      </c>
      <c r="L59" s="8" t="s">
        <v>288</v>
      </c>
      <c r="M59" s="15" t="s">
        <v>272</v>
      </c>
    </row>
    <row r="60" spans="1:13" x14ac:dyDescent="0.25">
      <c r="A60" s="1">
        <v>59</v>
      </c>
      <c r="B60" s="1">
        <v>2018</v>
      </c>
      <c r="C60" s="130">
        <v>43164</v>
      </c>
      <c r="D60" s="6" t="s">
        <v>4</v>
      </c>
      <c r="E60" s="183" t="str">
        <f>VLOOKUP($D60,Summary!$K$43:$L$264,2,FALSE)</f>
        <v>Hydraulic</v>
      </c>
      <c r="F60" s="1" t="s">
        <v>23</v>
      </c>
      <c r="G60" s="5">
        <v>24.01</v>
      </c>
      <c r="H60" s="4" t="s">
        <v>122</v>
      </c>
      <c r="I60" s="8" t="s">
        <v>158</v>
      </c>
      <c r="J60" s="14" t="s">
        <v>27</v>
      </c>
      <c r="K60" s="8" t="s">
        <v>159</v>
      </c>
      <c r="L60" s="8" t="s">
        <v>288</v>
      </c>
      <c r="M60" s="15" t="s">
        <v>272</v>
      </c>
    </row>
    <row r="61" spans="1:13" ht="75" x14ac:dyDescent="0.25">
      <c r="A61" s="1">
        <v>60</v>
      </c>
      <c r="B61" s="1">
        <v>2018</v>
      </c>
      <c r="C61" s="130">
        <v>43182</v>
      </c>
      <c r="D61" s="6" t="s">
        <v>2</v>
      </c>
      <c r="E61" s="183" t="str">
        <f>VLOOKUP($D61,Summary!$K$43:$L$264,2,FALSE)</f>
        <v>Hydraulic</v>
      </c>
      <c r="F61" s="1" t="s">
        <v>23</v>
      </c>
      <c r="G61" s="5">
        <v>25.63</v>
      </c>
      <c r="H61" s="4" t="s">
        <v>121</v>
      </c>
      <c r="I61" s="8" t="s">
        <v>96</v>
      </c>
      <c r="J61" s="8">
        <v>1728032</v>
      </c>
      <c r="K61" s="8" t="s">
        <v>23</v>
      </c>
      <c r="L61" s="8" t="s">
        <v>313</v>
      </c>
      <c r="M61" s="10" t="s">
        <v>344</v>
      </c>
    </row>
    <row r="62" spans="1:13" x14ac:dyDescent="0.25">
      <c r="A62" s="1">
        <v>61</v>
      </c>
      <c r="B62" s="1">
        <v>2018</v>
      </c>
      <c r="C62" s="130">
        <v>43184</v>
      </c>
      <c r="D62" s="6" t="s">
        <v>18</v>
      </c>
      <c r="E62" s="183" t="str">
        <f>VLOOKUP($D62,Summary!$K$43:$L$264,2,FALSE)</f>
        <v>Hopper</v>
      </c>
      <c r="F62" s="1" t="s">
        <v>23</v>
      </c>
      <c r="G62" s="5">
        <v>123.37</v>
      </c>
      <c r="H62" s="4" t="s">
        <v>174</v>
      </c>
      <c r="I62" s="8" t="s">
        <v>72</v>
      </c>
      <c r="J62" s="14" t="s">
        <v>27</v>
      </c>
      <c r="K62" s="8" t="s">
        <v>175</v>
      </c>
      <c r="L62" s="8" t="s">
        <v>288</v>
      </c>
      <c r="M62" s="15" t="s">
        <v>272</v>
      </c>
    </row>
    <row r="63" spans="1:13" x14ac:dyDescent="0.25">
      <c r="A63" s="1">
        <v>62</v>
      </c>
      <c r="B63" s="1">
        <v>2018</v>
      </c>
      <c r="C63" s="130">
        <v>43192</v>
      </c>
      <c r="D63" s="6" t="s">
        <v>9</v>
      </c>
      <c r="E63" s="183" t="str">
        <f>VLOOKUP($D63,Summary!$K$43:$L$264,2,FALSE)</f>
        <v>Hydraulic</v>
      </c>
      <c r="F63" s="1" t="s">
        <v>23</v>
      </c>
      <c r="G63" s="5">
        <v>91.61</v>
      </c>
      <c r="H63" s="4" t="s">
        <v>121</v>
      </c>
      <c r="I63" s="8" t="s">
        <v>92</v>
      </c>
      <c r="J63" s="18">
        <v>4206218</v>
      </c>
      <c r="K63" s="8" t="s">
        <v>23</v>
      </c>
      <c r="L63" s="8" t="s">
        <v>346</v>
      </c>
      <c r="M63" s="17" t="s">
        <v>347</v>
      </c>
    </row>
    <row r="64" spans="1:13" ht="30" x14ac:dyDescent="0.25">
      <c r="A64" s="1">
        <v>63</v>
      </c>
      <c r="B64" s="1">
        <v>2018</v>
      </c>
      <c r="C64" s="130">
        <v>43193</v>
      </c>
      <c r="D64" s="6">
        <v>53</v>
      </c>
      <c r="E64" s="183" t="str">
        <f>VLOOKUP($D64,Summary!$K$43:$L$264,2,FALSE)</f>
        <v>Mechanical</v>
      </c>
      <c r="F64" s="1">
        <v>246</v>
      </c>
      <c r="G64" s="5">
        <v>29.52</v>
      </c>
      <c r="H64" s="4" t="s">
        <v>129</v>
      </c>
      <c r="I64" s="8" t="s">
        <v>79</v>
      </c>
      <c r="J64" s="8">
        <v>4206415</v>
      </c>
      <c r="K64" s="8" t="s">
        <v>23</v>
      </c>
      <c r="L64" s="8" t="s">
        <v>349</v>
      </c>
      <c r="M64" s="10" t="s">
        <v>348</v>
      </c>
    </row>
    <row r="65" spans="1:13" x14ac:dyDescent="0.25">
      <c r="A65" s="1">
        <v>64</v>
      </c>
      <c r="B65" s="1">
        <v>2018</v>
      </c>
      <c r="C65" s="130">
        <v>43201</v>
      </c>
      <c r="D65" s="6" t="s">
        <v>18</v>
      </c>
      <c r="E65" s="183" t="str">
        <f>VLOOKUP($D65,Summary!$K$43:$L$264,2,FALSE)</f>
        <v>Hopper</v>
      </c>
      <c r="F65" s="1" t="s">
        <v>23</v>
      </c>
      <c r="G65" s="5">
        <v>35.4</v>
      </c>
      <c r="H65" s="4" t="s">
        <v>176</v>
      </c>
      <c r="I65" s="8" t="s">
        <v>177</v>
      </c>
      <c r="J65" s="14" t="s">
        <v>27</v>
      </c>
      <c r="K65" s="8" t="s">
        <v>23</v>
      </c>
      <c r="L65" s="8" t="s">
        <v>288</v>
      </c>
      <c r="M65" s="15" t="s">
        <v>272</v>
      </c>
    </row>
    <row r="66" spans="1:13" x14ac:dyDescent="0.25">
      <c r="A66" s="1">
        <v>65</v>
      </c>
      <c r="B66" s="1">
        <v>2018</v>
      </c>
      <c r="C66" s="130">
        <v>43207</v>
      </c>
      <c r="D66" s="6" t="s">
        <v>2</v>
      </c>
      <c r="E66" s="183" t="str">
        <f>VLOOKUP($D66,Summary!$K$43:$L$264,2,FALSE)</f>
        <v>Hydraulic</v>
      </c>
      <c r="F66" s="1" t="s">
        <v>23</v>
      </c>
      <c r="G66" s="5">
        <v>46.52</v>
      </c>
      <c r="H66" s="4" t="s">
        <v>134</v>
      </c>
      <c r="I66" s="8" t="s">
        <v>135</v>
      </c>
      <c r="J66" s="14">
        <v>1706604</v>
      </c>
      <c r="K66" s="8" t="s">
        <v>137</v>
      </c>
      <c r="L66" s="8" t="s">
        <v>254</v>
      </c>
      <c r="M66" s="15" t="s">
        <v>254</v>
      </c>
    </row>
    <row r="67" spans="1:13" ht="45" x14ac:dyDescent="0.25">
      <c r="A67" s="1">
        <v>66</v>
      </c>
      <c r="B67" s="1">
        <v>2018</v>
      </c>
      <c r="C67" s="130">
        <v>43211</v>
      </c>
      <c r="D67" s="6">
        <v>53</v>
      </c>
      <c r="E67" s="183" t="str">
        <f>VLOOKUP($D67,Summary!$K$43:$L$264,2,FALSE)</f>
        <v>Mechanical</v>
      </c>
      <c r="F67" s="1">
        <v>240</v>
      </c>
      <c r="G67" s="5">
        <v>59.1</v>
      </c>
      <c r="H67" s="4" t="s">
        <v>115</v>
      </c>
      <c r="I67" s="8" t="s">
        <v>101</v>
      </c>
      <c r="J67" s="8">
        <v>4206760</v>
      </c>
      <c r="K67" s="8" t="s">
        <v>128</v>
      </c>
      <c r="L67" s="8" t="s">
        <v>351</v>
      </c>
      <c r="M67" s="10" t="s">
        <v>350</v>
      </c>
    </row>
    <row r="68" spans="1:13" ht="285" x14ac:dyDescent="0.25">
      <c r="A68" s="1">
        <v>67</v>
      </c>
      <c r="B68" s="1">
        <v>2018</v>
      </c>
      <c r="C68" s="130">
        <v>43220</v>
      </c>
      <c r="D68" s="6" t="s">
        <v>20</v>
      </c>
      <c r="E68" s="183" t="str">
        <f>VLOOKUP($D68,Summary!$K$43:$L$264,2,FALSE)</f>
        <v>Hopper</v>
      </c>
      <c r="F68" s="1">
        <v>242</v>
      </c>
      <c r="G68" s="5">
        <v>83.43</v>
      </c>
      <c r="H68" s="4" t="s">
        <v>176</v>
      </c>
      <c r="I68" s="8" t="s">
        <v>202</v>
      </c>
      <c r="J68" s="8">
        <v>1988925</v>
      </c>
      <c r="K68" s="8" t="s">
        <v>203</v>
      </c>
      <c r="L68" s="8" t="s">
        <v>352</v>
      </c>
      <c r="M68" s="10" t="s">
        <v>353</v>
      </c>
    </row>
    <row r="69" spans="1:13" x14ac:dyDescent="0.25">
      <c r="A69" s="1">
        <v>68</v>
      </c>
      <c r="B69" s="1">
        <v>2018</v>
      </c>
      <c r="C69" s="130">
        <v>43221</v>
      </c>
      <c r="D69" s="6" t="s">
        <v>18</v>
      </c>
      <c r="E69" s="183" t="str">
        <f>VLOOKUP($D69,Summary!$K$43:$L$264,2,FALSE)</f>
        <v>Hopper</v>
      </c>
      <c r="F69" s="1" t="s">
        <v>23</v>
      </c>
      <c r="G69" s="5">
        <v>75.89</v>
      </c>
      <c r="H69" s="4" t="s">
        <v>104</v>
      </c>
      <c r="I69" s="8" t="s">
        <v>72</v>
      </c>
      <c r="J69" s="14" t="s">
        <v>27</v>
      </c>
      <c r="K69" s="8" t="s">
        <v>23</v>
      </c>
      <c r="L69" s="8" t="s">
        <v>288</v>
      </c>
      <c r="M69" s="15" t="s">
        <v>272</v>
      </c>
    </row>
    <row r="70" spans="1:13" ht="30" x14ac:dyDescent="0.25">
      <c r="A70" s="1">
        <v>69</v>
      </c>
      <c r="B70" s="1">
        <v>2018</v>
      </c>
      <c r="C70" s="130">
        <v>43222</v>
      </c>
      <c r="D70" s="6" t="s">
        <v>9</v>
      </c>
      <c r="E70" s="183" t="str">
        <f>VLOOKUP($D70,Summary!$K$43:$L$264,2,FALSE)</f>
        <v>Hydraulic</v>
      </c>
      <c r="F70" s="1">
        <v>243</v>
      </c>
      <c r="G70" s="5">
        <v>514.20000000000005</v>
      </c>
      <c r="H70" s="4" t="s">
        <v>119</v>
      </c>
      <c r="I70" s="8" t="s">
        <v>138</v>
      </c>
      <c r="J70" s="18">
        <v>4038139</v>
      </c>
      <c r="K70" s="8" t="s">
        <v>23</v>
      </c>
      <c r="L70" s="8" t="s">
        <v>354</v>
      </c>
      <c r="M70" s="17" t="s">
        <v>345</v>
      </c>
    </row>
    <row r="71" spans="1:13" ht="30" x14ac:dyDescent="0.25">
      <c r="A71" s="1">
        <v>70</v>
      </c>
      <c r="B71" s="1">
        <v>2018</v>
      </c>
      <c r="C71" s="130">
        <v>43237</v>
      </c>
      <c r="D71" s="6">
        <v>53</v>
      </c>
      <c r="E71" s="183" t="str">
        <f>VLOOKUP($D71,Summary!$K$43:$L$264,2,FALSE)</f>
        <v>Mechanical</v>
      </c>
      <c r="F71" s="1" t="s">
        <v>23</v>
      </c>
      <c r="G71" s="5">
        <v>401.61</v>
      </c>
      <c r="H71" s="4" t="s">
        <v>114</v>
      </c>
      <c r="I71" s="8" t="s">
        <v>126</v>
      </c>
      <c r="J71" s="8">
        <v>4207327</v>
      </c>
      <c r="K71" s="8" t="s">
        <v>127</v>
      </c>
      <c r="L71" s="8" t="s">
        <v>356</v>
      </c>
      <c r="M71" s="10" t="s">
        <v>355</v>
      </c>
    </row>
    <row r="72" spans="1:13" ht="90" x14ac:dyDescent="0.25">
      <c r="A72" s="1">
        <v>71</v>
      </c>
      <c r="B72" s="1">
        <v>2018</v>
      </c>
      <c r="C72" s="130">
        <v>43241</v>
      </c>
      <c r="D72" s="6" t="s">
        <v>20</v>
      </c>
      <c r="E72" s="183" t="str">
        <f>VLOOKUP($D72,Summary!$K$43:$L$264,2,FALSE)</f>
        <v>Hopper</v>
      </c>
      <c r="F72" s="1" t="s">
        <v>23</v>
      </c>
      <c r="G72" s="5">
        <v>34.46</v>
      </c>
      <c r="H72" s="4" t="s">
        <v>176</v>
      </c>
      <c r="I72" s="8" t="s">
        <v>202</v>
      </c>
      <c r="J72" s="8">
        <v>1989070</v>
      </c>
      <c r="K72" s="8" t="s">
        <v>23</v>
      </c>
      <c r="L72" s="8" t="s">
        <v>358</v>
      </c>
      <c r="M72" s="10" t="s">
        <v>357</v>
      </c>
    </row>
    <row r="73" spans="1:13" x14ac:dyDescent="0.25">
      <c r="A73" s="1">
        <v>72</v>
      </c>
      <c r="B73" s="1">
        <v>2018</v>
      </c>
      <c r="C73" s="130">
        <v>43242</v>
      </c>
      <c r="D73" s="6" t="s">
        <v>19</v>
      </c>
      <c r="E73" s="183" t="str">
        <f>VLOOKUP($D73,Summary!$K$43:$L$264,2,FALSE)</f>
        <v>Hopper</v>
      </c>
      <c r="F73" s="1" t="s">
        <v>23</v>
      </c>
      <c r="G73" s="5">
        <v>532.27</v>
      </c>
      <c r="H73" s="4" t="s">
        <v>69</v>
      </c>
      <c r="I73" s="8" t="s">
        <v>76</v>
      </c>
      <c r="J73" s="14" t="s">
        <v>23</v>
      </c>
      <c r="K73" s="8" t="s">
        <v>23</v>
      </c>
      <c r="L73" s="8" t="s">
        <v>288</v>
      </c>
      <c r="M73" s="15" t="s">
        <v>272</v>
      </c>
    </row>
    <row r="74" spans="1:13" ht="30" x14ac:dyDescent="0.25">
      <c r="A74" s="1">
        <v>73</v>
      </c>
      <c r="B74" s="1">
        <v>2018</v>
      </c>
      <c r="C74" s="130">
        <v>43251</v>
      </c>
      <c r="D74" s="6" t="s">
        <v>22</v>
      </c>
      <c r="E74" s="183" t="str">
        <f>VLOOKUP($D74,Summary!$K$43:$L$264,2,FALSE)</f>
        <v>Hopper</v>
      </c>
      <c r="F74" s="1" t="s">
        <v>23</v>
      </c>
      <c r="G74" s="5">
        <v>163.66999999999999</v>
      </c>
      <c r="H74" s="4" t="s">
        <v>72</v>
      </c>
      <c r="I74" s="8" t="s">
        <v>74</v>
      </c>
      <c r="J74" s="14">
        <v>1708024</v>
      </c>
      <c r="K74" s="8" t="s">
        <v>209</v>
      </c>
      <c r="L74" s="8" t="s">
        <v>254</v>
      </c>
      <c r="M74" s="15" t="s">
        <v>254</v>
      </c>
    </row>
    <row r="75" spans="1:13" x14ac:dyDescent="0.25">
      <c r="A75" s="1">
        <v>74</v>
      </c>
      <c r="B75" s="1">
        <v>2018</v>
      </c>
      <c r="C75" s="130">
        <v>43252</v>
      </c>
      <c r="D75" s="6">
        <v>55</v>
      </c>
      <c r="E75" s="183" t="str">
        <f>VLOOKUP($D75,Summary!$K$43:$L$264,2,FALSE)</f>
        <v>Mechanical</v>
      </c>
      <c r="F75" s="1">
        <v>248</v>
      </c>
      <c r="G75" s="5">
        <v>54.42</v>
      </c>
      <c r="H75" s="4" t="s">
        <v>115</v>
      </c>
      <c r="I75" s="8" t="s">
        <v>101</v>
      </c>
      <c r="J75" s="14">
        <v>1708167</v>
      </c>
      <c r="K75" s="8" t="s">
        <v>131</v>
      </c>
      <c r="L75" s="8" t="s">
        <v>254</v>
      </c>
      <c r="M75" s="15" t="s">
        <v>254</v>
      </c>
    </row>
    <row r="76" spans="1:13" x14ac:dyDescent="0.25">
      <c r="A76" s="1">
        <v>75</v>
      </c>
      <c r="B76" s="1">
        <v>2018</v>
      </c>
      <c r="C76" s="130">
        <v>43252</v>
      </c>
      <c r="D76" s="6" t="s">
        <v>3</v>
      </c>
      <c r="E76" s="183" t="str">
        <f>VLOOKUP($D76,Summary!$K$43:$L$264,2,FALSE)</f>
        <v>Hydraulic</v>
      </c>
      <c r="F76" s="1" t="s">
        <v>23</v>
      </c>
      <c r="G76" s="5">
        <v>77.31</v>
      </c>
      <c r="H76" s="4" t="s">
        <v>145</v>
      </c>
      <c r="I76" s="8">
        <v>177</v>
      </c>
      <c r="J76" s="14" t="s">
        <v>23</v>
      </c>
      <c r="K76" s="8" t="s">
        <v>23</v>
      </c>
      <c r="L76" s="8" t="s">
        <v>288</v>
      </c>
      <c r="M76" s="15" t="s">
        <v>272</v>
      </c>
    </row>
    <row r="77" spans="1:13" x14ac:dyDescent="0.25">
      <c r="A77" s="1">
        <v>76</v>
      </c>
      <c r="B77" s="1">
        <v>2018</v>
      </c>
      <c r="C77" s="130">
        <v>43262</v>
      </c>
      <c r="D77" s="6" t="s">
        <v>22</v>
      </c>
      <c r="E77" s="183" t="str">
        <f>VLOOKUP($D77,Summary!$K$43:$L$264,2,FALSE)</f>
        <v>Hopper</v>
      </c>
      <c r="F77" s="1" t="s">
        <v>23</v>
      </c>
      <c r="G77" s="5">
        <v>94.77</v>
      </c>
      <c r="H77" s="4" t="s">
        <v>71</v>
      </c>
      <c r="I77" s="8" t="s">
        <v>72</v>
      </c>
      <c r="J77" s="14">
        <v>1708024</v>
      </c>
      <c r="K77" s="8" t="s">
        <v>210</v>
      </c>
      <c r="L77" s="8" t="s">
        <v>254</v>
      </c>
      <c r="M77" s="15" t="s">
        <v>254</v>
      </c>
    </row>
    <row r="78" spans="1:13" ht="150" x14ac:dyDescent="0.25">
      <c r="A78" s="1">
        <v>77</v>
      </c>
      <c r="B78" s="1">
        <v>2018</v>
      </c>
      <c r="C78" s="130">
        <v>43272</v>
      </c>
      <c r="D78" s="6" t="s">
        <v>20</v>
      </c>
      <c r="E78" s="183" t="str">
        <f>VLOOKUP($D78,Summary!$K$43:$L$264,2,FALSE)</f>
        <v>Hopper</v>
      </c>
      <c r="F78" s="1" t="s">
        <v>23</v>
      </c>
      <c r="G78" s="5">
        <v>46.07</v>
      </c>
      <c r="H78" s="4" t="s">
        <v>176</v>
      </c>
      <c r="I78" s="8" t="s">
        <v>72</v>
      </c>
      <c r="J78" s="8">
        <v>1989237</v>
      </c>
      <c r="K78" s="8" t="s">
        <v>201</v>
      </c>
      <c r="L78" s="8" t="s">
        <v>360</v>
      </c>
      <c r="M78" s="10" t="s">
        <v>359</v>
      </c>
    </row>
    <row r="79" spans="1:13" ht="30" x14ac:dyDescent="0.25">
      <c r="A79" s="1">
        <v>78</v>
      </c>
      <c r="B79" s="1">
        <v>2018</v>
      </c>
      <c r="C79" s="130">
        <v>43283</v>
      </c>
      <c r="D79" s="6" t="s">
        <v>19</v>
      </c>
      <c r="E79" s="183" t="str">
        <f>VLOOKUP($D79,Summary!$K$43:$L$264,2,FALSE)</f>
        <v>Hopper</v>
      </c>
      <c r="F79" s="1">
        <v>254</v>
      </c>
      <c r="G79" s="5">
        <v>99.47</v>
      </c>
      <c r="H79" s="4" t="s">
        <v>69</v>
      </c>
      <c r="I79" s="8" t="s">
        <v>72</v>
      </c>
      <c r="J79" s="14" t="s">
        <v>27</v>
      </c>
      <c r="K79" s="8" t="s">
        <v>196</v>
      </c>
      <c r="L79" s="8" t="s">
        <v>288</v>
      </c>
      <c r="M79" s="15" t="s">
        <v>272</v>
      </c>
    </row>
    <row r="80" spans="1:13" x14ac:dyDescent="0.25">
      <c r="A80" s="1">
        <v>79</v>
      </c>
      <c r="B80" s="1">
        <v>2018</v>
      </c>
      <c r="C80" s="130">
        <v>43284</v>
      </c>
      <c r="D80" s="6" t="s">
        <v>9</v>
      </c>
      <c r="E80" s="183" t="str">
        <f>VLOOKUP($D80,Summary!$K$43:$L$264,2,FALSE)</f>
        <v>Hydraulic</v>
      </c>
      <c r="F80" s="1">
        <v>253</v>
      </c>
      <c r="G80" s="5">
        <v>116.52</v>
      </c>
      <c r="H80" s="4" t="s">
        <v>145</v>
      </c>
      <c r="I80" s="8" t="s">
        <v>146</v>
      </c>
      <c r="J80" s="14" t="s">
        <v>23</v>
      </c>
      <c r="K80" s="8" t="s">
        <v>148</v>
      </c>
      <c r="L80" s="8" t="s">
        <v>288</v>
      </c>
      <c r="M80" s="15" t="s">
        <v>272</v>
      </c>
    </row>
    <row r="81" spans="1:13" ht="30" x14ac:dyDescent="0.25">
      <c r="A81" s="1">
        <v>80</v>
      </c>
      <c r="B81" s="1">
        <v>2018</v>
      </c>
      <c r="C81" s="130">
        <v>43286</v>
      </c>
      <c r="D81" s="6" t="s">
        <v>3</v>
      </c>
      <c r="E81" s="183" t="str">
        <f>VLOOKUP($D81,Summary!$K$43:$L$264,2,FALSE)</f>
        <v>Hydraulic</v>
      </c>
      <c r="F81" s="1" t="s">
        <v>23</v>
      </c>
      <c r="G81" s="5">
        <v>42.2</v>
      </c>
      <c r="H81" s="4" t="s">
        <v>122</v>
      </c>
      <c r="I81" s="8" t="s">
        <v>166</v>
      </c>
      <c r="J81" s="16" t="s">
        <v>169</v>
      </c>
      <c r="K81" s="8" t="s">
        <v>170</v>
      </c>
      <c r="L81" s="8" t="s">
        <v>362</v>
      </c>
      <c r="M81" s="10" t="s">
        <v>361</v>
      </c>
    </row>
    <row r="82" spans="1:13" ht="30" x14ac:dyDescent="0.25">
      <c r="A82" s="1">
        <v>81</v>
      </c>
      <c r="B82" s="1">
        <v>2018</v>
      </c>
      <c r="C82" s="130">
        <v>43289</v>
      </c>
      <c r="D82" s="6" t="s">
        <v>18</v>
      </c>
      <c r="E82" s="183" t="str">
        <f>VLOOKUP($D82,Summary!$K$43:$L$264,2,FALSE)</f>
        <v>Hopper</v>
      </c>
      <c r="F82" s="1" t="s">
        <v>23</v>
      </c>
      <c r="G82" s="5">
        <v>135.94999999999999</v>
      </c>
      <c r="H82" s="4" t="s">
        <v>72</v>
      </c>
      <c r="I82" s="8" t="s">
        <v>183</v>
      </c>
      <c r="J82" s="14" t="s">
        <v>27</v>
      </c>
      <c r="K82" s="8" t="s">
        <v>184</v>
      </c>
      <c r="L82" s="8" t="s">
        <v>288</v>
      </c>
      <c r="M82" s="15" t="s">
        <v>272</v>
      </c>
    </row>
    <row r="83" spans="1:13" ht="45" x14ac:dyDescent="0.25">
      <c r="A83" s="1">
        <v>82</v>
      </c>
      <c r="B83" s="1">
        <v>2018</v>
      </c>
      <c r="C83" s="130">
        <v>43291</v>
      </c>
      <c r="D83" s="6" t="s">
        <v>19</v>
      </c>
      <c r="E83" s="183" t="str">
        <f>VLOOKUP($D83,Summary!$K$43:$L$264,2,FALSE)</f>
        <v>Hopper</v>
      </c>
      <c r="F83" s="1" t="s">
        <v>23</v>
      </c>
      <c r="G83" s="5">
        <v>47.98</v>
      </c>
      <c r="H83" s="4" t="s">
        <v>69</v>
      </c>
      <c r="I83" s="8" t="s">
        <v>72</v>
      </c>
      <c r="J83" s="16" t="s">
        <v>199</v>
      </c>
      <c r="K83" s="8" t="s">
        <v>200</v>
      </c>
      <c r="L83" s="8" t="s">
        <v>364</v>
      </c>
      <c r="M83" s="10" t="s">
        <v>363</v>
      </c>
    </row>
    <row r="84" spans="1:13" ht="120" x14ac:dyDescent="0.25">
      <c r="A84" s="1">
        <v>83</v>
      </c>
      <c r="B84" s="1">
        <v>2018</v>
      </c>
      <c r="C84" s="130">
        <v>43292</v>
      </c>
      <c r="D84" s="6" t="s">
        <v>9</v>
      </c>
      <c r="E84" s="183" t="str">
        <f>VLOOKUP($D84,Summary!$K$43:$L$264,2,FALSE)</f>
        <v>Hydraulic</v>
      </c>
      <c r="F84" s="1" t="s">
        <v>23</v>
      </c>
      <c r="G84" s="5">
        <v>101.51</v>
      </c>
      <c r="H84" s="4" t="s">
        <v>117</v>
      </c>
      <c r="I84" s="8" t="s">
        <v>142</v>
      </c>
      <c r="J84" s="8">
        <v>4038173</v>
      </c>
      <c r="K84" s="8" t="s">
        <v>143</v>
      </c>
      <c r="L84" s="8" t="s">
        <v>366</v>
      </c>
      <c r="M84" s="10" t="s">
        <v>365</v>
      </c>
    </row>
    <row r="85" spans="1:13" ht="30" x14ac:dyDescent="0.25">
      <c r="A85" s="1">
        <v>84</v>
      </c>
      <c r="B85" s="1">
        <v>2018</v>
      </c>
      <c r="C85" s="130">
        <v>43309</v>
      </c>
      <c r="D85" s="6" t="s">
        <v>18</v>
      </c>
      <c r="E85" s="183" t="str">
        <f>VLOOKUP($D85,Summary!$K$43:$L$264,2,FALSE)</f>
        <v>Hopper</v>
      </c>
      <c r="F85" s="1" t="s">
        <v>23</v>
      </c>
      <c r="G85" s="5">
        <v>379.92</v>
      </c>
      <c r="H85" s="4" t="s">
        <v>72</v>
      </c>
      <c r="I85" s="8" t="s">
        <v>74</v>
      </c>
      <c r="J85" s="14" t="s">
        <v>27</v>
      </c>
      <c r="K85" s="8" t="s">
        <v>186</v>
      </c>
      <c r="L85" s="8" t="s">
        <v>288</v>
      </c>
      <c r="M85" s="15" t="s">
        <v>272</v>
      </c>
    </row>
    <row r="86" spans="1:13" ht="45" x14ac:dyDescent="0.25">
      <c r="A86" s="1">
        <v>85</v>
      </c>
      <c r="B86" s="1">
        <v>2018</v>
      </c>
      <c r="C86" s="130">
        <v>43310</v>
      </c>
      <c r="D86" s="6" t="s">
        <v>4</v>
      </c>
      <c r="E86" s="183" t="str">
        <f>VLOOKUP($D86,Summary!$K$43:$L$264,2,FALSE)</f>
        <v>Hydraulic</v>
      </c>
      <c r="F86" s="1" t="s">
        <v>23</v>
      </c>
      <c r="G86" s="5">
        <v>114.9</v>
      </c>
      <c r="H86" s="4" t="s">
        <v>117</v>
      </c>
      <c r="I86" s="8" t="s">
        <v>153</v>
      </c>
      <c r="J86" s="16" t="s">
        <v>155</v>
      </c>
      <c r="K86" s="8" t="s">
        <v>156</v>
      </c>
      <c r="L86" s="8" t="s">
        <v>367</v>
      </c>
      <c r="M86" s="10" t="s">
        <v>368</v>
      </c>
    </row>
    <row r="87" spans="1:13" ht="45" x14ac:dyDescent="0.25">
      <c r="A87" s="1">
        <v>86</v>
      </c>
      <c r="B87" s="1">
        <v>2018</v>
      </c>
      <c r="C87" s="130">
        <v>43319</v>
      </c>
      <c r="D87" s="6" t="s">
        <v>19</v>
      </c>
      <c r="E87" s="183" t="str">
        <f>VLOOKUP($D87,Summary!$K$43:$L$264,2,FALSE)</f>
        <v>Hopper</v>
      </c>
      <c r="F87" s="1" t="s">
        <v>23</v>
      </c>
      <c r="G87" s="5">
        <v>70.89</v>
      </c>
      <c r="H87" s="4" t="s">
        <v>69</v>
      </c>
      <c r="I87" s="8" t="s">
        <v>72</v>
      </c>
      <c r="J87" s="16" t="s">
        <v>194</v>
      </c>
      <c r="K87" s="8" t="s">
        <v>195</v>
      </c>
      <c r="L87" s="8" t="s">
        <v>370</v>
      </c>
      <c r="M87" s="10" t="s">
        <v>369</v>
      </c>
    </row>
    <row r="88" spans="1:13" ht="105" x14ac:dyDescent="0.25">
      <c r="A88" s="1">
        <v>87</v>
      </c>
      <c r="B88" s="1">
        <v>2018</v>
      </c>
      <c r="C88" s="130">
        <v>43320</v>
      </c>
      <c r="D88" s="6" t="s">
        <v>9</v>
      </c>
      <c r="E88" s="183" t="str">
        <f>VLOOKUP($D88,Summary!$K$43:$L$264,2,FALSE)</f>
        <v>Hydraulic</v>
      </c>
      <c r="F88" s="1" t="s">
        <v>23</v>
      </c>
      <c r="G88" s="5">
        <v>55.68</v>
      </c>
      <c r="H88" s="4" t="s">
        <v>119</v>
      </c>
      <c r="I88" s="8" t="s">
        <v>95</v>
      </c>
      <c r="J88" s="8">
        <v>4038240</v>
      </c>
      <c r="K88" s="8" t="s">
        <v>140</v>
      </c>
      <c r="L88" s="8" t="s">
        <v>372</v>
      </c>
      <c r="M88" s="10" t="s">
        <v>371</v>
      </c>
    </row>
    <row r="89" spans="1:13" ht="45" x14ac:dyDescent="0.25">
      <c r="A89" s="1">
        <v>88</v>
      </c>
      <c r="B89" s="1">
        <v>2018</v>
      </c>
      <c r="C89" s="130">
        <v>43323</v>
      </c>
      <c r="D89" s="6" t="s">
        <v>3</v>
      </c>
      <c r="E89" s="183" t="str">
        <f>VLOOKUP($D89,Summary!$K$43:$L$264,2,FALSE)</f>
        <v>Hydraulic</v>
      </c>
      <c r="F89" s="1">
        <v>258</v>
      </c>
      <c r="G89" s="5">
        <v>137.87</v>
      </c>
      <c r="H89" s="4" t="s">
        <v>122</v>
      </c>
      <c r="I89" s="8" t="s">
        <v>166</v>
      </c>
      <c r="J89" s="16" t="s">
        <v>168</v>
      </c>
      <c r="K89" s="8" t="s">
        <v>167</v>
      </c>
      <c r="L89" s="8" t="s">
        <v>373</v>
      </c>
      <c r="M89" s="10" t="s">
        <v>273</v>
      </c>
    </row>
    <row r="90" spans="1:13" ht="30" x14ac:dyDescent="0.25">
      <c r="A90" s="1">
        <v>89</v>
      </c>
      <c r="B90" s="1">
        <v>2018</v>
      </c>
      <c r="C90" s="130">
        <v>43324</v>
      </c>
      <c r="D90" s="6" t="s">
        <v>9</v>
      </c>
      <c r="E90" s="183" t="str">
        <f>VLOOKUP($D90,Summary!$K$43:$L$264,2,FALSE)</f>
        <v>Hydraulic</v>
      </c>
      <c r="F90" s="1" t="s">
        <v>23</v>
      </c>
      <c r="G90" s="5">
        <v>63.5</v>
      </c>
      <c r="H90" s="4" t="s">
        <v>119</v>
      </c>
      <c r="I90" s="8" t="s">
        <v>95</v>
      </c>
      <c r="J90" s="18">
        <v>4038342</v>
      </c>
      <c r="K90" s="8" t="s">
        <v>139</v>
      </c>
      <c r="L90" s="8" t="s">
        <v>374</v>
      </c>
      <c r="M90" s="17" t="s">
        <v>262</v>
      </c>
    </row>
    <row r="91" spans="1:13" ht="75" x14ac:dyDescent="0.25">
      <c r="A91" s="1">
        <v>90</v>
      </c>
      <c r="B91" s="1">
        <v>2018</v>
      </c>
      <c r="C91" s="130">
        <v>43329</v>
      </c>
      <c r="D91" s="6" t="s">
        <v>9</v>
      </c>
      <c r="E91" s="183" t="str">
        <f>VLOOKUP($D91,Summary!$K$43:$L$264,2,FALSE)</f>
        <v>Hydraulic</v>
      </c>
      <c r="F91" s="1" t="s">
        <v>23</v>
      </c>
      <c r="G91" s="5">
        <v>38.5</v>
      </c>
      <c r="H91" s="4" t="s">
        <v>122</v>
      </c>
      <c r="I91" s="8" t="s">
        <v>93</v>
      </c>
      <c r="J91" s="8">
        <v>4209697</v>
      </c>
      <c r="K91" s="8" t="s">
        <v>144</v>
      </c>
      <c r="L91" s="8" t="s">
        <v>376</v>
      </c>
      <c r="M91" s="10" t="s">
        <v>375</v>
      </c>
    </row>
    <row r="92" spans="1:13" ht="45" x14ac:dyDescent="0.25">
      <c r="A92" s="1">
        <v>91</v>
      </c>
      <c r="B92" s="1">
        <v>2018</v>
      </c>
      <c r="C92" s="130">
        <v>43329</v>
      </c>
      <c r="D92" s="6" t="s">
        <v>20</v>
      </c>
      <c r="E92" s="183" t="str">
        <f>VLOOKUP($D92,Summary!$K$43:$L$264,2,FALSE)</f>
        <v>Hopper</v>
      </c>
      <c r="F92" s="1" t="s">
        <v>23</v>
      </c>
      <c r="G92" s="5">
        <v>31</v>
      </c>
      <c r="H92" s="4" t="s">
        <v>104</v>
      </c>
      <c r="I92" s="8" t="s">
        <v>72</v>
      </c>
      <c r="J92" s="8">
        <v>1989653</v>
      </c>
      <c r="K92" s="8" t="s">
        <v>204</v>
      </c>
      <c r="L92" s="8" t="s">
        <v>377</v>
      </c>
      <c r="M92" s="10" t="s">
        <v>378</v>
      </c>
    </row>
    <row r="93" spans="1:13" ht="135" x14ac:dyDescent="0.25">
      <c r="A93" s="1">
        <v>92</v>
      </c>
      <c r="B93" s="1">
        <v>2018</v>
      </c>
      <c r="C93" s="130">
        <v>43331</v>
      </c>
      <c r="D93" s="6" t="s">
        <v>4</v>
      </c>
      <c r="E93" s="183" t="str">
        <f>VLOOKUP($D93,Summary!$K$43:$L$264,2,FALSE)</f>
        <v>Hydraulic</v>
      </c>
      <c r="F93" s="1" t="s">
        <v>23</v>
      </c>
      <c r="G93" s="5">
        <v>94.92</v>
      </c>
      <c r="H93" s="4" t="s">
        <v>119</v>
      </c>
      <c r="I93" s="8" t="s">
        <v>138</v>
      </c>
      <c r="J93" s="8">
        <v>4209827</v>
      </c>
      <c r="K93" s="8" t="s">
        <v>149</v>
      </c>
      <c r="L93" s="8" t="s">
        <v>380</v>
      </c>
      <c r="M93" s="10" t="s">
        <v>379</v>
      </c>
    </row>
    <row r="94" spans="1:13" ht="30" x14ac:dyDescent="0.25">
      <c r="A94" s="1">
        <v>93</v>
      </c>
      <c r="B94" s="1">
        <v>2018</v>
      </c>
      <c r="C94" s="130">
        <v>43336</v>
      </c>
      <c r="D94" s="6" t="s">
        <v>9</v>
      </c>
      <c r="E94" s="183" t="str">
        <f>VLOOKUP($D94,Summary!$K$43:$L$264,2,FALSE)</f>
        <v>Hydraulic</v>
      </c>
      <c r="F94" s="1" t="s">
        <v>23</v>
      </c>
      <c r="G94" s="5">
        <v>48.2</v>
      </c>
      <c r="H94" s="4" t="s">
        <v>145</v>
      </c>
      <c r="I94" s="8" t="s">
        <v>146</v>
      </c>
      <c r="J94" s="18">
        <v>4038551</v>
      </c>
      <c r="K94" s="8" t="s">
        <v>147</v>
      </c>
      <c r="L94" s="8" t="s">
        <v>381</v>
      </c>
      <c r="M94" s="17" t="s">
        <v>263</v>
      </c>
    </row>
    <row r="95" spans="1:13" ht="180" x14ac:dyDescent="0.25">
      <c r="A95" s="1">
        <v>94</v>
      </c>
      <c r="B95" s="1">
        <v>2018</v>
      </c>
      <c r="C95" s="130">
        <v>43342</v>
      </c>
      <c r="D95" s="6" t="s">
        <v>4</v>
      </c>
      <c r="E95" s="183" t="str">
        <f>VLOOKUP($D95,Summary!$K$43:$L$264,2,FALSE)</f>
        <v>Hydraulic</v>
      </c>
      <c r="F95" s="1" t="s">
        <v>23</v>
      </c>
      <c r="G95" s="5">
        <v>420.29</v>
      </c>
      <c r="H95" s="4" t="s">
        <v>121</v>
      </c>
      <c r="I95" s="8" t="s">
        <v>97</v>
      </c>
      <c r="J95" s="8" t="s">
        <v>157</v>
      </c>
      <c r="K95" s="8" t="s">
        <v>23</v>
      </c>
      <c r="L95" s="8" t="s">
        <v>383</v>
      </c>
      <c r="M95" s="10" t="s">
        <v>382</v>
      </c>
    </row>
    <row r="96" spans="1:13" ht="30" x14ac:dyDescent="0.25">
      <c r="A96" s="1">
        <v>95</v>
      </c>
      <c r="B96" s="1">
        <v>2018</v>
      </c>
      <c r="C96" s="130">
        <v>43349</v>
      </c>
      <c r="D96" s="6" t="s">
        <v>20</v>
      </c>
      <c r="E96" s="183" t="str">
        <f>VLOOKUP($D96,Summary!$K$43:$L$264,2,FALSE)</f>
        <v>Hopper</v>
      </c>
      <c r="F96" s="1" t="s">
        <v>23</v>
      </c>
      <c r="G96" s="5">
        <v>24.91</v>
      </c>
      <c r="H96" s="4" t="s">
        <v>187</v>
      </c>
      <c r="I96" s="8" t="s">
        <v>205</v>
      </c>
      <c r="J96" s="8">
        <v>1989760</v>
      </c>
      <c r="K96" s="8" t="s">
        <v>23</v>
      </c>
      <c r="L96" s="8" t="s">
        <v>385</v>
      </c>
      <c r="M96" s="10" t="s">
        <v>384</v>
      </c>
    </row>
    <row r="97" spans="1:13" ht="30" x14ac:dyDescent="0.25">
      <c r="A97" s="1">
        <v>96</v>
      </c>
      <c r="B97" s="1">
        <v>2018</v>
      </c>
      <c r="C97" s="130">
        <v>43358</v>
      </c>
      <c r="D97" s="6">
        <v>54</v>
      </c>
      <c r="E97" s="183" t="str">
        <f>VLOOKUP($D97,Summary!$K$43:$L$264,2,FALSE)</f>
        <v>Mechanical</v>
      </c>
      <c r="F97" s="1">
        <v>263</v>
      </c>
      <c r="G97" s="5">
        <v>123.72</v>
      </c>
      <c r="H97" s="4" t="s">
        <v>112</v>
      </c>
      <c r="I97" s="8" t="s">
        <v>81</v>
      </c>
      <c r="J97" s="8">
        <v>4210372</v>
      </c>
      <c r="K97" s="8" t="s">
        <v>130</v>
      </c>
      <c r="L97" s="8" t="s">
        <v>387</v>
      </c>
      <c r="M97" s="10" t="s">
        <v>386</v>
      </c>
    </row>
    <row r="98" spans="1:13" ht="390" x14ac:dyDescent="0.25">
      <c r="A98" s="1">
        <v>97</v>
      </c>
      <c r="B98" s="1">
        <v>2018</v>
      </c>
      <c r="C98" s="130">
        <v>43365</v>
      </c>
      <c r="D98" s="6" t="s">
        <v>4</v>
      </c>
      <c r="E98" s="183" t="str">
        <f>VLOOKUP($D98,Summary!$K$43:$L$264,2,FALSE)</f>
        <v>Hydraulic</v>
      </c>
      <c r="F98" s="1" t="s">
        <v>23</v>
      </c>
      <c r="G98" s="5">
        <v>84.87</v>
      </c>
      <c r="H98" s="4" t="s">
        <v>160</v>
      </c>
      <c r="I98" s="8" t="s">
        <v>161</v>
      </c>
      <c r="J98" s="16" t="s">
        <v>162</v>
      </c>
      <c r="K98" s="8" t="s">
        <v>23</v>
      </c>
      <c r="L98" s="8" t="s">
        <v>389</v>
      </c>
      <c r="M98" s="10" t="s">
        <v>388</v>
      </c>
    </row>
    <row r="99" spans="1:13" ht="45" x14ac:dyDescent="0.25">
      <c r="A99" s="1">
        <v>98</v>
      </c>
      <c r="B99" s="1">
        <v>2018</v>
      </c>
      <c r="C99" s="130">
        <v>43369</v>
      </c>
      <c r="D99" s="6" t="s">
        <v>3</v>
      </c>
      <c r="E99" s="183" t="str">
        <f>VLOOKUP($D99,Summary!$K$43:$L$264,2,FALSE)</f>
        <v>Hydraulic</v>
      </c>
      <c r="F99" s="1" t="s">
        <v>23</v>
      </c>
      <c r="G99" s="5">
        <v>53.9</v>
      </c>
      <c r="H99" s="4" t="s">
        <v>117</v>
      </c>
      <c r="I99" s="8" t="s">
        <v>163</v>
      </c>
      <c r="J99" s="16" t="s">
        <v>164</v>
      </c>
      <c r="K99" s="8" t="s">
        <v>165</v>
      </c>
      <c r="L99" s="8"/>
      <c r="M99" s="10" t="s">
        <v>264</v>
      </c>
    </row>
    <row r="100" spans="1:13" ht="60" x14ac:dyDescent="0.25">
      <c r="A100" s="1">
        <v>99</v>
      </c>
      <c r="B100" s="1">
        <v>2018</v>
      </c>
      <c r="C100" s="130">
        <v>43389</v>
      </c>
      <c r="D100" s="6" t="s">
        <v>4</v>
      </c>
      <c r="E100" s="183" t="str">
        <f>VLOOKUP($D100,Summary!$K$43:$L$264,2,FALSE)</f>
        <v>Hydraulic</v>
      </c>
      <c r="F100" s="1" t="s">
        <v>23</v>
      </c>
      <c r="G100" s="5">
        <v>179.52</v>
      </c>
      <c r="H100" s="4" t="s">
        <v>134</v>
      </c>
      <c r="I100" s="8" t="s">
        <v>135</v>
      </c>
      <c r="J100" s="8">
        <v>4211146</v>
      </c>
      <c r="K100" s="8" t="s">
        <v>23</v>
      </c>
      <c r="L100" s="8" t="s">
        <v>391</v>
      </c>
      <c r="M100" s="10" t="s">
        <v>390</v>
      </c>
    </row>
    <row r="101" spans="1:13" ht="409.5" x14ac:dyDescent="0.25">
      <c r="A101" s="1">
        <v>100</v>
      </c>
      <c r="B101" s="1">
        <v>2018</v>
      </c>
      <c r="C101" s="130">
        <v>43390</v>
      </c>
      <c r="D101" s="6" t="s">
        <v>22</v>
      </c>
      <c r="E101" s="183" t="str">
        <f>VLOOKUP($D101,Summary!$K$43:$L$264,2,FALSE)</f>
        <v>Hopper</v>
      </c>
      <c r="F101" s="1" t="s">
        <v>23</v>
      </c>
      <c r="G101" s="5">
        <v>224.43</v>
      </c>
      <c r="H101" s="4" t="s">
        <v>69</v>
      </c>
      <c r="I101" s="8" t="s">
        <v>72</v>
      </c>
      <c r="J101" s="8">
        <v>4180731</v>
      </c>
      <c r="K101" s="8" t="s">
        <v>23</v>
      </c>
      <c r="L101" s="8" t="s">
        <v>393</v>
      </c>
      <c r="M101" s="10" t="s">
        <v>392</v>
      </c>
    </row>
    <row r="102" spans="1:13" ht="30" x14ac:dyDescent="0.25">
      <c r="A102" s="1">
        <v>101</v>
      </c>
      <c r="B102" s="1">
        <v>2018</v>
      </c>
      <c r="C102" s="130">
        <v>43393</v>
      </c>
      <c r="D102" s="6" t="s">
        <v>18</v>
      </c>
      <c r="E102" s="183" t="str">
        <f>VLOOKUP($D102,Summary!$K$43:$L$264,2,FALSE)</f>
        <v>Hopper</v>
      </c>
      <c r="F102" s="1" t="s">
        <v>23</v>
      </c>
      <c r="G102" s="5">
        <v>45.89</v>
      </c>
      <c r="H102" s="4" t="s">
        <v>176</v>
      </c>
      <c r="I102" s="8" t="s">
        <v>72</v>
      </c>
      <c r="J102" s="14" t="s">
        <v>27</v>
      </c>
      <c r="K102" s="8" t="s">
        <v>180</v>
      </c>
      <c r="L102" s="8" t="s">
        <v>288</v>
      </c>
      <c r="M102" s="15" t="s">
        <v>272</v>
      </c>
    </row>
    <row r="103" spans="1:13" ht="60" x14ac:dyDescent="0.25">
      <c r="A103" s="1">
        <v>102</v>
      </c>
      <c r="B103" s="1">
        <v>2018</v>
      </c>
      <c r="C103" s="130">
        <v>43395</v>
      </c>
      <c r="D103" s="6" t="s">
        <v>2</v>
      </c>
      <c r="E103" s="183" t="str">
        <f>VLOOKUP($D103,Summary!$K$43:$L$264,2,FALSE)</f>
        <v>Hydraulic</v>
      </c>
      <c r="F103" s="1" t="s">
        <v>23</v>
      </c>
      <c r="G103" s="5">
        <v>46.13</v>
      </c>
      <c r="H103" s="4" t="s">
        <v>123</v>
      </c>
      <c r="I103" s="8" t="s">
        <v>79</v>
      </c>
      <c r="J103" s="8">
        <v>4211171</v>
      </c>
      <c r="K103" s="8" t="s">
        <v>133</v>
      </c>
      <c r="L103" s="8" t="s">
        <v>395</v>
      </c>
      <c r="M103" s="10" t="s">
        <v>394</v>
      </c>
    </row>
    <row r="104" spans="1:13" ht="60" x14ac:dyDescent="0.25">
      <c r="A104" s="1">
        <v>103</v>
      </c>
      <c r="B104" s="1">
        <v>2018</v>
      </c>
      <c r="C104" s="130">
        <v>43397</v>
      </c>
      <c r="D104" s="6" t="s">
        <v>4</v>
      </c>
      <c r="E104" s="183" t="str">
        <f>VLOOKUP($D104,Summary!$K$43:$L$264,2,FALSE)</f>
        <v>Hydraulic</v>
      </c>
      <c r="F104" s="1" t="s">
        <v>23</v>
      </c>
      <c r="G104" s="5">
        <v>36.619999999999997</v>
      </c>
      <c r="H104" s="4" t="s">
        <v>150</v>
      </c>
      <c r="I104" s="8" t="s">
        <v>151</v>
      </c>
      <c r="J104" s="16" t="s">
        <v>154</v>
      </c>
      <c r="K104" s="8" t="s">
        <v>152</v>
      </c>
      <c r="L104" s="8" t="s">
        <v>397</v>
      </c>
      <c r="M104" s="10" t="s">
        <v>396</v>
      </c>
    </row>
    <row r="105" spans="1:13" x14ac:dyDescent="0.25">
      <c r="A105" s="1">
        <v>104</v>
      </c>
      <c r="B105" s="1">
        <v>2018</v>
      </c>
      <c r="C105" s="130">
        <v>43400</v>
      </c>
      <c r="D105" s="6" t="s">
        <v>2</v>
      </c>
      <c r="E105" s="183" t="str">
        <f>VLOOKUP($D105,Summary!$K$43:$L$264,2,FALSE)</f>
        <v>Hydraulic</v>
      </c>
      <c r="F105" s="1">
        <v>235</v>
      </c>
      <c r="G105" s="5">
        <v>122.54</v>
      </c>
      <c r="H105" s="4" t="s">
        <v>134</v>
      </c>
      <c r="I105" s="8" t="s">
        <v>135</v>
      </c>
      <c r="J105" s="8">
        <v>1728360</v>
      </c>
      <c r="K105" s="8" t="s">
        <v>23</v>
      </c>
      <c r="L105" s="8" t="s">
        <v>399</v>
      </c>
      <c r="M105" s="10" t="s">
        <v>398</v>
      </c>
    </row>
    <row r="106" spans="1:13" ht="75" x14ac:dyDescent="0.25">
      <c r="A106" s="1">
        <v>105</v>
      </c>
      <c r="B106" s="1">
        <v>2018</v>
      </c>
      <c r="C106" s="130">
        <v>43402</v>
      </c>
      <c r="D106" s="6" t="s">
        <v>17</v>
      </c>
      <c r="E106" s="183" t="str">
        <f>VLOOKUP($D106,Summary!$K$43:$L$264,2,FALSE)</f>
        <v>Hopper</v>
      </c>
      <c r="F106" s="1" t="s">
        <v>23</v>
      </c>
      <c r="G106" s="5">
        <v>116.77</v>
      </c>
      <c r="H106" s="4" t="s">
        <v>108</v>
      </c>
      <c r="I106" s="8" t="s">
        <v>173</v>
      </c>
      <c r="J106" s="8">
        <v>4069836</v>
      </c>
      <c r="K106" s="8" t="s">
        <v>23</v>
      </c>
      <c r="L106" s="8" t="s">
        <v>401</v>
      </c>
      <c r="M106" s="10" t="s">
        <v>400</v>
      </c>
    </row>
    <row r="107" spans="1:13" ht="30" x14ac:dyDescent="0.25">
      <c r="A107" s="1">
        <v>106</v>
      </c>
      <c r="B107" s="1">
        <v>2018</v>
      </c>
      <c r="C107" s="130">
        <v>43409</v>
      </c>
      <c r="D107" s="6" t="s">
        <v>19</v>
      </c>
      <c r="E107" s="183" t="str">
        <f>VLOOKUP($D107,Summary!$K$43:$L$264,2,FALSE)</f>
        <v>Hopper</v>
      </c>
      <c r="F107" s="1" t="s">
        <v>23</v>
      </c>
      <c r="G107" s="5">
        <v>72.989999999999995</v>
      </c>
      <c r="H107" s="4" t="s">
        <v>72</v>
      </c>
      <c r="I107" s="8" t="s">
        <v>183</v>
      </c>
      <c r="J107" s="14" t="s">
        <v>27</v>
      </c>
      <c r="K107" s="8" t="s">
        <v>197</v>
      </c>
      <c r="L107" s="8" t="s">
        <v>288</v>
      </c>
      <c r="M107" s="15" t="s">
        <v>272</v>
      </c>
    </row>
    <row r="108" spans="1:13" ht="30" x14ac:dyDescent="0.25">
      <c r="A108" s="1">
        <v>107</v>
      </c>
      <c r="B108" s="1">
        <v>2018</v>
      </c>
      <c r="C108" s="130">
        <v>43411</v>
      </c>
      <c r="D108" s="6" t="s">
        <v>18</v>
      </c>
      <c r="E108" s="183" t="str">
        <f>VLOOKUP($D108,Summary!$K$43:$L$264,2,FALSE)</f>
        <v>Hopper</v>
      </c>
      <c r="F108" s="1" t="s">
        <v>23</v>
      </c>
      <c r="G108" s="5">
        <v>73.540000000000006</v>
      </c>
      <c r="H108" s="4" t="s">
        <v>176</v>
      </c>
      <c r="I108" s="8" t="s">
        <v>178</v>
      </c>
      <c r="J108" s="14" t="s">
        <v>27</v>
      </c>
      <c r="K108" s="8" t="s">
        <v>179</v>
      </c>
      <c r="L108" s="8" t="s">
        <v>288</v>
      </c>
      <c r="M108" s="15" t="s">
        <v>272</v>
      </c>
    </row>
    <row r="109" spans="1:13" ht="30" x14ac:dyDescent="0.25">
      <c r="A109" s="1">
        <v>108</v>
      </c>
      <c r="B109" s="1">
        <v>2018</v>
      </c>
      <c r="C109" s="130">
        <v>43446</v>
      </c>
      <c r="D109" s="6" t="s">
        <v>9</v>
      </c>
      <c r="E109" s="183" t="str">
        <f>VLOOKUP($D109,Summary!$K$43:$L$264,2,FALSE)</f>
        <v>Hydraulic</v>
      </c>
      <c r="F109" s="1" t="s">
        <v>23</v>
      </c>
      <c r="G109" s="5">
        <v>36.520000000000003</v>
      </c>
      <c r="H109" s="4" t="s">
        <v>117</v>
      </c>
      <c r="I109" s="8" t="s">
        <v>92</v>
      </c>
      <c r="J109" s="8">
        <v>4038336</v>
      </c>
      <c r="K109" s="8" t="s">
        <v>141</v>
      </c>
      <c r="L109" s="8" t="s">
        <v>403</v>
      </c>
      <c r="M109" s="10" t="s">
        <v>402</v>
      </c>
    </row>
    <row r="110" spans="1:13" ht="30" x14ac:dyDescent="0.25">
      <c r="A110" s="1">
        <v>109</v>
      </c>
      <c r="B110" s="1">
        <v>2018</v>
      </c>
      <c r="C110" s="130">
        <v>43461</v>
      </c>
      <c r="D110" s="6" t="s">
        <v>22</v>
      </c>
      <c r="E110" s="183" t="str">
        <f>VLOOKUP($D110,Summary!$K$43:$L$264,2,FALSE)</f>
        <v>Hopper</v>
      </c>
      <c r="F110" s="1" t="s">
        <v>23</v>
      </c>
      <c r="G110" s="5">
        <v>29.84</v>
      </c>
      <c r="H110" s="4" t="s">
        <v>72</v>
      </c>
      <c r="I110" s="8" t="s">
        <v>8</v>
      </c>
      <c r="J110" s="8">
        <v>4180999</v>
      </c>
      <c r="K110" s="8" t="s">
        <v>208</v>
      </c>
      <c r="L110" s="8" t="s">
        <v>405</v>
      </c>
      <c r="M110" s="10" t="s">
        <v>404</v>
      </c>
    </row>
    <row r="111" spans="1:13" x14ac:dyDescent="0.25">
      <c r="A111" s="1">
        <v>110</v>
      </c>
      <c r="B111" s="1">
        <v>2018</v>
      </c>
      <c r="C111" s="130">
        <v>43462</v>
      </c>
      <c r="D111" s="6" t="s">
        <v>19</v>
      </c>
      <c r="E111" s="183" t="str">
        <f>VLOOKUP($D111,Summary!$K$43:$L$264,2,FALSE)</f>
        <v>Hopper</v>
      </c>
      <c r="F111" s="1" t="s">
        <v>23</v>
      </c>
      <c r="G111" s="5">
        <v>84.36</v>
      </c>
      <c r="H111" s="4" t="s">
        <v>72</v>
      </c>
      <c r="I111" s="8" t="s">
        <v>74</v>
      </c>
      <c r="J111" s="14" t="s">
        <v>27</v>
      </c>
      <c r="K111" s="8" t="s">
        <v>198</v>
      </c>
      <c r="L111" s="8" t="s">
        <v>288</v>
      </c>
      <c r="M111" s="15" t="s">
        <v>272</v>
      </c>
    </row>
    <row r="112" spans="1:13" ht="45" x14ac:dyDescent="0.25">
      <c r="A112" s="1">
        <v>111</v>
      </c>
      <c r="B112" s="1">
        <v>2018</v>
      </c>
      <c r="C112" s="130">
        <v>43464</v>
      </c>
      <c r="D112" s="6">
        <v>55</v>
      </c>
      <c r="E112" s="183" t="str">
        <f>VLOOKUP($D112,Summary!$K$43:$L$264,2,FALSE)</f>
        <v>Mechanical</v>
      </c>
      <c r="F112" s="1" t="s">
        <v>23</v>
      </c>
      <c r="G112" s="5">
        <v>24.16</v>
      </c>
      <c r="H112" s="4" t="s">
        <v>110</v>
      </c>
      <c r="I112" s="8" t="s">
        <v>78</v>
      </c>
      <c r="J112" s="8">
        <v>4212279</v>
      </c>
      <c r="K112" s="8" t="s">
        <v>132</v>
      </c>
      <c r="L112" s="8" t="s">
        <v>407</v>
      </c>
      <c r="M112" s="10" t="s">
        <v>406</v>
      </c>
    </row>
    <row r="113" spans="1:13" ht="60" x14ac:dyDescent="0.25">
      <c r="A113" s="1">
        <v>112</v>
      </c>
      <c r="B113" s="1">
        <v>2019</v>
      </c>
      <c r="C113" s="130">
        <v>43466</v>
      </c>
      <c r="D113" s="6" t="s">
        <v>2</v>
      </c>
      <c r="E113" s="183" t="str">
        <f>VLOOKUP($D113,Summary!$K$43:$L$264,2,FALSE)</f>
        <v>Hydraulic</v>
      </c>
      <c r="F113" s="1" t="s">
        <v>23</v>
      </c>
      <c r="G113" s="5">
        <v>95.14</v>
      </c>
      <c r="H113" s="4" t="s">
        <v>117</v>
      </c>
      <c r="I113" s="8" t="s">
        <v>90</v>
      </c>
      <c r="J113" s="8">
        <v>1728433</v>
      </c>
      <c r="K113" s="8" t="s">
        <v>56</v>
      </c>
      <c r="L113" s="8" t="s">
        <v>419</v>
      </c>
      <c r="M113" s="10" t="s">
        <v>420</v>
      </c>
    </row>
    <row r="114" spans="1:13" x14ac:dyDescent="0.25">
      <c r="A114" s="1">
        <v>113</v>
      </c>
      <c r="B114" s="1">
        <v>2019</v>
      </c>
      <c r="C114" s="130">
        <v>43469</v>
      </c>
      <c r="D114" s="6" t="s">
        <v>18</v>
      </c>
      <c r="E114" s="183" t="str">
        <f>VLOOKUP($D114,Summary!$K$43:$L$264,2,FALSE)</f>
        <v>Hopper</v>
      </c>
      <c r="F114" s="1" t="s">
        <v>23</v>
      </c>
      <c r="G114" s="5">
        <v>35.54</v>
      </c>
      <c r="H114" s="4" t="s">
        <v>71</v>
      </c>
      <c r="I114" s="8" t="s">
        <v>72</v>
      </c>
      <c r="J114" s="14" t="s">
        <v>23</v>
      </c>
      <c r="K114" s="8" t="s">
        <v>26</v>
      </c>
      <c r="L114" s="8" t="s">
        <v>288</v>
      </c>
      <c r="M114" s="15" t="s">
        <v>272</v>
      </c>
    </row>
    <row r="115" spans="1:13" ht="195" x14ac:dyDescent="0.25">
      <c r="A115" s="1">
        <v>114</v>
      </c>
      <c r="B115" s="1">
        <v>2019</v>
      </c>
      <c r="C115" s="130">
        <v>43471</v>
      </c>
      <c r="D115" s="6" t="s">
        <v>4</v>
      </c>
      <c r="E115" s="183" t="str">
        <f>VLOOKUP($D115,Summary!$K$43:$L$264,2,FALSE)</f>
        <v>Hydraulic</v>
      </c>
      <c r="F115" s="1" t="s">
        <v>23</v>
      </c>
      <c r="G115" s="5">
        <v>49.55</v>
      </c>
      <c r="H115" s="4" t="s">
        <v>121</v>
      </c>
      <c r="I115" s="8" t="s">
        <v>96</v>
      </c>
      <c r="J115" s="8">
        <v>4212137</v>
      </c>
      <c r="K115" s="8" t="s">
        <v>23</v>
      </c>
      <c r="L115" s="8" t="s">
        <v>421</v>
      </c>
      <c r="M115" s="10" t="s">
        <v>422</v>
      </c>
    </row>
    <row r="116" spans="1:13" ht="75" x14ac:dyDescent="0.25">
      <c r="A116" s="1">
        <v>115</v>
      </c>
      <c r="B116" s="1">
        <v>2019</v>
      </c>
      <c r="C116" s="130">
        <v>43478</v>
      </c>
      <c r="D116" s="6" t="s">
        <v>17</v>
      </c>
      <c r="E116" s="183" t="str">
        <f>VLOOKUP($D116,Summary!$K$43:$L$264,2,FALSE)</f>
        <v>Hopper</v>
      </c>
      <c r="F116" s="1" t="s">
        <v>23</v>
      </c>
      <c r="G116" s="5">
        <v>129.65</v>
      </c>
      <c r="H116" s="4" t="s">
        <v>69</v>
      </c>
      <c r="I116" s="8" t="s">
        <v>70</v>
      </c>
      <c r="J116" s="8">
        <v>4070010</v>
      </c>
      <c r="K116" s="8" t="s">
        <v>23</v>
      </c>
      <c r="L116" s="8" t="s">
        <v>423</v>
      </c>
      <c r="M116" s="10" t="s">
        <v>424</v>
      </c>
    </row>
    <row r="117" spans="1:13" ht="30" x14ac:dyDescent="0.25">
      <c r="A117" s="1">
        <v>116</v>
      </c>
      <c r="B117" s="1">
        <v>2019</v>
      </c>
      <c r="C117" s="130">
        <v>43489</v>
      </c>
      <c r="D117" s="6" t="s">
        <v>19</v>
      </c>
      <c r="E117" s="183" t="str">
        <f>VLOOKUP($D117,Summary!$K$43:$L$264,2,FALSE)</f>
        <v>Hopper</v>
      </c>
      <c r="F117" s="1" t="s">
        <v>23</v>
      </c>
      <c r="G117" s="5">
        <v>140.19999999999999</v>
      </c>
      <c r="H117" s="4" t="s">
        <v>103</v>
      </c>
      <c r="I117" s="8" t="s">
        <v>72</v>
      </c>
      <c r="J117" s="16" t="s">
        <v>425</v>
      </c>
      <c r="K117" s="8" t="s">
        <v>31</v>
      </c>
      <c r="L117" s="8" t="s">
        <v>426</v>
      </c>
      <c r="M117" s="10" t="s">
        <v>427</v>
      </c>
    </row>
    <row r="118" spans="1:13" ht="135" x14ac:dyDescent="0.25">
      <c r="A118" s="1">
        <v>117</v>
      </c>
      <c r="B118" s="1">
        <v>2019</v>
      </c>
      <c r="C118" s="130">
        <v>43489</v>
      </c>
      <c r="D118" s="6" t="s">
        <v>22</v>
      </c>
      <c r="E118" s="183" t="str">
        <f>VLOOKUP($D118,Summary!$K$43:$L$264,2,FALSE)</f>
        <v>Hopper</v>
      </c>
      <c r="F118" s="1" t="s">
        <v>23</v>
      </c>
      <c r="G118" s="5">
        <v>46</v>
      </c>
      <c r="H118" s="4" t="s">
        <v>69</v>
      </c>
      <c r="I118" s="8" t="s">
        <v>76</v>
      </c>
      <c r="J118" s="8">
        <v>4181088</v>
      </c>
      <c r="K118" s="8" t="s">
        <v>38</v>
      </c>
      <c r="L118" s="8" t="s">
        <v>428</v>
      </c>
      <c r="M118" s="10" t="s">
        <v>429</v>
      </c>
    </row>
    <row r="119" spans="1:13" ht="30" x14ac:dyDescent="0.25">
      <c r="A119" s="1">
        <v>118</v>
      </c>
      <c r="B119" s="1">
        <v>2019</v>
      </c>
      <c r="C119" s="130">
        <v>43491</v>
      </c>
      <c r="D119" s="6" t="s">
        <v>9</v>
      </c>
      <c r="E119" s="183" t="str">
        <f>VLOOKUP($D119,Summary!$K$43:$L$264,2,FALSE)</f>
        <v>Hydraulic</v>
      </c>
      <c r="F119" s="1" t="s">
        <v>23</v>
      </c>
      <c r="G119" s="5">
        <v>26.11</v>
      </c>
      <c r="H119" s="4" t="s">
        <v>121</v>
      </c>
      <c r="I119" s="8" t="s">
        <v>92</v>
      </c>
      <c r="J119" s="8">
        <v>4038374</v>
      </c>
      <c r="K119" s="8" t="s">
        <v>57</v>
      </c>
      <c r="L119" s="8" t="s">
        <v>430</v>
      </c>
      <c r="M119" s="10" t="s">
        <v>431</v>
      </c>
    </row>
    <row r="120" spans="1:13" ht="75" x14ac:dyDescent="0.25">
      <c r="A120" s="1">
        <v>119</v>
      </c>
      <c r="B120" s="1">
        <v>2019</v>
      </c>
      <c r="C120" s="130">
        <v>43492</v>
      </c>
      <c r="D120" s="6" t="s">
        <v>17</v>
      </c>
      <c r="E120" s="183" t="str">
        <f>VLOOKUP($D120,Summary!$K$43:$L$264,2,FALSE)</f>
        <v>Hopper</v>
      </c>
      <c r="F120" s="1" t="s">
        <v>23</v>
      </c>
      <c r="G120" s="5">
        <v>58.27</v>
      </c>
      <c r="H120" s="4" t="s">
        <v>69</v>
      </c>
      <c r="I120" s="8" t="s">
        <v>70</v>
      </c>
      <c r="J120" s="8">
        <v>4069968</v>
      </c>
      <c r="K120" s="8" t="s">
        <v>24</v>
      </c>
      <c r="L120" s="8" t="s">
        <v>432</v>
      </c>
      <c r="M120" s="10" t="s">
        <v>433</v>
      </c>
    </row>
    <row r="121" spans="1:13" ht="75" x14ac:dyDescent="0.25">
      <c r="A121" s="1">
        <v>120</v>
      </c>
      <c r="B121" s="1">
        <v>2019</v>
      </c>
      <c r="C121" s="130">
        <v>43502</v>
      </c>
      <c r="D121" s="6" t="s">
        <v>19</v>
      </c>
      <c r="E121" s="183" t="str">
        <f>VLOOKUP($D121,Summary!$K$43:$L$264,2,FALSE)</f>
        <v>Hopper</v>
      </c>
      <c r="F121" s="1" t="s">
        <v>23</v>
      </c>
      <c r="G121" s="5">
        <v>82.7</v>
      </c>
      <c r="H121" s="4" t="s">
        <v>104</v>
      </c>
      <c r="I121" s="8" t="s">
        <v>72</v>
      </c>
      <c r="J121" s="16" t="s">
        <v>434</v>
      </c>
      <c r="K121" s="8" t="s">
        <v>32</v>
      </c>
      <c r="L121" s="8" t="s">
        <v>435</v>
      </c>
      <c r="M121" s="10" t="s">
        <v>436</v>
      </c>
    </row>
    <row r="122" spans="1:13" ht="90" x14ac:dyDescent="0.25">
      <c r="A122" s="1">
        <v>121</v>
      </c>
      <c r="B122" s="1">
        <v>2019</v>
      </c>
      <c r="C122" s="130">
        <v>43508</v>
      </c>
      <c r="D122" s="6" t="s">
        <v>17</v>
      </c>
      <c r="E122" s="183" t="str">
        <f>VLOOKUP($D122,Summary!$K$43:$L$264,2,FALSE)</f>
        <v>Hopper</v>
      </c>
      <c r="F122" s="1" t="s">
        <v>23</v>
      </c>
      <c r="G122" s="5">
        <v>29.72</v>
      </c>
      <c r="H122" s="4" t="s">
        <v>69</v>
      </c>
      <c r="I122" s="8" t="s">
        <v>70</v>
      </c>
      <c r="J122" s="8">
        <v>4070060</v>
      </c>
      <c r="K122" s="8" t="s">
        <v>25</v>
      </c>
      <c r="L122" s="8" t="s">
        <v>438</v>
      </c>
      <c r="M122" s="10" t="s">
        <v>437</v>
      </c>
    </row>
    <row r="123" spans="1:13" ht="60" x14ac:dyDescent="0.25">
      <c r="A123" s="1">
        <v>122</v>
      </c>
      <c r="B123" s="1">
        <v>2019</v>
      </c>
      <c r="C123" s="130">
        <v>43513</v>
      </c>
      <c r="D123" s="6" t="s">
        <v>10</v>
      </c>
      <c r="E123" s="183" t="str">
        <f>VLOOKUP($D123,Summary!$K$43:$L$264,2,FALSE)</f>
        <v>Hydraulic</v>
      </c>
      <c r="F123" s="1" t="s">
        <v>23</v>
      </c>
      <c r="G123" s="5">
        <v>95.92</v>
      </c>
      <c r="H123" s="4" t="s">
        <v>121</v>
      </c>
      <c r="I123" s="8" t="s">
        <v>96</v>
      </c>
      <c r="J123" s="8">
        <v>4173127</v>
      </c>
      <c r="K123" s="8" t="s">
        <v>63</v>
      </c>
      <c r="L123" s="8" t="s">
        <v>439</v>
      </c>
      <c r="M123" s="10" t="s">
        <v>440</v>
      </c>
    </row>
    <row r="124" spans="1:13" ht="60" x14ac:dyDescent="0.25">
      <c r="A124" s="1">
        <v>123</v>
      </c>
      <c r="B124" s="1">
        <v>2019</v>
      </c>
      <c r="C124" s="130">
        <v>43514</v>
      </c>
      <c r="D124" s="6">
        <v>55</v>
      </c>
      <c r="E124" s="183" t="str">
        <f>VLOOKUP($D124,Summary!$K$43:$L$264,2,FALSE)</f>
        <v>Mechanical</v>
      </c>
      <c r="F124" s="1" t="s">
        <v>23</v>
      </c>
      <c r="G124" s="5">
        <v>95.27</v>
      </c>
      <c r="H124" s="4" t="s">
        <v>116</v>
      </c>
      <c r="I124" s="8" t="s">
        <v>86</v>
      </c>
      <c r="J124" s="8">
        <v>4213134</v>
      </c>
      <c r="K124" s="8" t="s">
        <v>23</v>
      </c>
      <c r="L124" s="8" t="s">
        <v>441</v>
      </c>
      <c r="M124" s="10" t="s">
        <v>442</v>
      </c>
    </row>
    <row r="125" spans="1:13" x14ac:dyDescent="0.25">
      <c r="A125" s="1">
        <v>124</v>
      </c>
      <c r="B125" s="1">
        <v>2019</v>
      </c>
      <c r="C125" s="130">
        <v>43522</v>
      </c>
      <c r="D125" s="6">
        <v>53</v>
      </c>
      <c r="E125" s="183" t="str">
        <f>VLOOKUP($D125,Summary!$K$43:$L$264,2,FALSE)</f>
        <v>Mechanical</v>
      </c>
      <c r="F125" s="1" t="s">
        <v>67</v>
      </c>
      <c r="G125" s="5">
        <v>123.75</v>
      </c>
      <c r="H125" s="4" t="s">
        <v>110</v>
      </c>
      <c r="I125" s="8" t="s">
        <v>78</v>
      </c>
      <c r="J125" s="14" t="s">
        <v>27</v>
      </c>
      <c r="K125" s="8" t="s">
        <v>42</v>
      </c>
      <c r="L125" s="8" t="s">
        <v>288</v>
      </c>
      <c r="M125" s="15" t="s">
        <v>272</v>
      </c>
    </row>
    <row r="126" spans="1:13" ht="30" x14ac:dyDescent="0.25">
      <c r="A126" s="1">
        <v>125</v>
      </c>
      <c r="B126" s="1">
        <v>2019</v>
      </c>
      <c r="C126" s="130">
        <v>43530</v>
      </c>
      <c r="D126" s="6" t="s">
        <v>4</v>
      </c>
      <c r="E126" s="183" t="str">
        <f>VLOOKUP($D126,Summary!$K$43:$L$264,2,FALSE)</f>
        <v>Hydraulic</v>
      </c>
      <c r="F126" s="1" t="s">
        <v>23</v>
      </c>
      <c r="G126" s="5">
        <v>35.409999999999997</v>
      </c>
      <c r="H126" s="4" t="s">
        <v>117</v>
      </c>
      <c r="I126" s="8" t="s">
        <v>96</v>
      </c>
      <c r="J126" s="8">
        <v>1578760</v>
      </c>
      <c r="K126" s="8" t="s">
        <v>60</v>
      </c>
      <c r="L126" s="8" t="s">
        <v>254</v>
      </c>
      <c r="M126" s="10" t="s">
        <v>254</v>
      </c>
    </row>
    <row r="127" spans="1:13" ht="30" x14ac:dyDescent="0.25">
      <c r="A127" s="1">
        <v>126</v>
      </c>
      <c r="B127" s="1">
        <v>2019</v>
      </c>
      <c r="C127" s="130">
        <v>43538</v>
      </c>
      <c r="D127" s="6" t="s">
        <v>9</v>
      </c>
      <c r="E127" s="183" t="str">
        <f>VLOOKUP($D127,Summary!$K$43:$L$264,2,FALSE)</f>
        <v>Hydraulic</v>
      </c>
      <c r="F127" s="1" t="s">
        <v>23</v>
      </c>
      <c r="G127" s="5">
        <v>40.200000000000003</v>
      </c>
      <c r="H127" s="4" t="s">
        <v>122</v>
      </c>
      <c r="I127" s="8" t="s">
        <v>93</v>
      </c>
      <c r="J127" s="18">
        <v>4038414</v>
      </c>
      <c r="K127" s="8" t="s">
        <v>23</v>
      </c>
      <c r="L127" s="8" t="s">
        <v>444</v>
      </c>
      <c r="M127" s="17" t="s">
        <v>443</v>
      </c>
    </row>
    <row r="128" spans="1:13" ht="45" x14ac:dyDescent="0.25">
      <c r="A128" s="1">
        <v>127</v>
      </c>
      <c r="B128" s="1">
        <v>2019</v>
      </c>
      <c r="C128" s="130">
        <v>43548</v>
      </c>
      <c r="D128" s="6">
        <v>53</v>
      </c>
      <c r="E128" s="183" t="str">
        <f>VLOOKUP($D128,Summary!$K$43:$L$264,2,FALSE)</f>
        <v>Mechanical</v>
      </c>
      <c r="F128" s="1" t="s">
        <v>23</v>
      </c>
      <c r="G128" s="5">
        <v>101.08</v>
      </c>
      <c r="H128" s="4" t="s">
        <v>111</v>
      </c>
      <c r="I128" s="8" t="s">
        <v>79</v>
      </c>
      <c r="J128" s="8">
        <v>4213939</v>
      </c>
      <c r="K128" s="8" t="s">
        <v>43</v>
      </c>
      <c r="L128" s="8" t="s">
        <v>446</v>
      </c>
      <c r="M128" s="10" t="s">
        <v>445</v>
      </c>
    </row>
    <row r="129" spans="1:13" ht="90" x14ac:dyDescent="0.25">
      <c r="A129" s="1">
        <v>128</v>
      </c>
      <c r="B129" s="1">
        <v>2019</v>
      </c>
      <c r="C129" s="130">
        <v>43555</v>
      </c>
      <c r="D129" s="6">
        <v>53</v>
      </c>
      <c r="E129" s="183" t="str">
        <f>VLOOKUP($D129,Summary!$K$43:$L$264,2,FALSE)</f>
        <v>Mechanical</v>
      </c>
      <c r="F129" s="1" t="s">
        <v>23</v>
      </c>
      <c r="G129" s="5">
        <v>35.03</v>
      </c>
      <c r="H129" s="4" t="s">
        <v>110</v>
      </c>
      <c r="I129" s="8" t="s">
        <v>80</v>
      </c>
      <c r="J129" s="14" t="s">
        <v>23</v>
      </c>
      <c r="K129" s="8" t="s">
        <v>44</v>
      </c>
      <c r="L129" s="8" t="s">
        <v>288</v>
      </c>
      <c r="M129" s="15" t="s">
        <v>272</v>
      </c>
    </row>
    <row r="130" spans="1:13" x14ac:dyDescent="0.25">
      <c r="A130" s="1">
        <v>129</v>
      </c>
      <c r="B130" s="1">
        <v>2019</v>
      </c>
      <c r="C130" s="130">
        <v>43555</v>
      </c>
      <c r="D130" s="6" t="s">
        <v>18</v>
      </c>
      <c r="E130" s="183" t="str">
        <f>VLOOKUP($D130,Summary!$K$43:$L$264,2,FALSE)</f>
        <v>Hopper</v>
      </c>
      <c r="F130" s="1" t="s">
        <v>23</v>
      </c>
      <c r="G130" s="5">
        <v>31.76</v>
      </c>
      <c r="H130" s="4" t="s">
        <v>103</v>
      </c>
      <c r="I130" s="8" t="s">
        <v>70</v>
      </c>
      <c r="J130" s="14" t="s">
        <v>27</v>
      </c>
      <c r="K130" s="8" t="s">
        <v>26</v>
      </c>
      <c r="L130" s="8" t="s">
        <v>288</v>
      </c>
      <c r="M130" s="15" t="s">
        <v>272</v>
      </c>
    </row>
    <row r="131" spans="1:13" x14ac:dyDescent="0.25">
      <c r="A131" s="1">
        <v>130</v>
      </c>
      <c r="B131" s="1">
        <v>2019</v>
      </c>
      <c r="C131" s="130">
        <v>43557</v>
      </c>
      <c r="D131" s="6" t="s">
        <v>3</v>
      </c>
      <c r="E131" s="183" t="str">
        <f>VLOOKUP($D131,Summary!$K$43:$L$264,2,FALSE)</f>
        <v>Hydraulic</v>
      </c>
      <c r="F131" s="1" t="s">
        <v>23</v>
      </c>
      <c r="G131" s="5">
        <v>49.47</v>
      </c>
      <c r="H131" s="4" t="s">
        <v>119</v>
      </c>
      <c r="I131" s="8" t="s">
        <v>102</v>
      </c>
      <c r="J131" s="16" t="s">
        <v>447</v>
      </c>
      <c r="K131" s="8" t="s">
        <v>23</v>
      </c>
      <c r="L131" s="8" t="s">
        <v>448</v>
      </c>
      <c r="M131" s="10" t="s">
        <v>449</v>
      </c>
    </row>
    <row r="132" spans="1:13" ht="30" x14ac:dyDescent="0.25">
      <c r="A132" s="1">
        <v>131</v>
      </c>
      <c r="B132" s="1">
        <v>2019</v>
      </c>
      <c r="C132" s="130">
        <v>43564</v>
      </c>
      <c r="D132" s="6" t="s">
        <v>19</v>
      </c>
      <c r="E132" s="183" t="str">
        <f>VLOOKUP($D132,Summary!$K$43:$L$264,2,FALSE)</f>
        <v>Hopper</v>
      </c>
      <c r="F132" s="1" t="s">
        <v>23</v>
      </c>
      <c r="G132" s="5">
        <v>167.7</v>
      </c>
      <c r="H132" s="4" t="s">
        <v>105</v>
      </c>
      <c r="I132" s="8" t="s">
        <v>72</v>
      </c>
      <c r="J132" s="14" t="s">
        <v>23</v>
      </c>
      <c r="K132" s="8" t="s">
        <v>33</v>
      </c>
      <c r="L132" s="8" t="s">
        <v>288</v>
      </c>
      <c r="M132" s="15" t="s">
        <v>272</v>
      </c>
    </row>
    <row r="133" spans="1:13" ht="255" x14ac:dyDescent="0.25">
      <c r="A133" s="1">
        <v>132</v>
      </c>
      <c r="B133" s="1">
        <v>2019</v>
      </c>
      <c r="C133" s="130">
        <v>43564</v>
      </c>
      <c r="D133" s="6" t="s">
        <v>22</v>
      </c>
      <c r="E133" s="183" t="str">
        <f>VLOOKUP($D133,Summary!$K$43:$L$264,2,FALSE)</f>
        <v>Hopper</v>
      </c>
      <c r="F133" s="1" t="s">
        <v>23</v>
      </c>
      <c r="G133" s="5">
        <v>28.08</v>
      </c>
      <c r="H133" s="4" t="s">
        <v>72</v>
      </c>
      <c r="I133" s="8" t="s">
        <v>77</v>
      </c>
      <c r="J133" s="18">
        <v>4181401</v>
      </c>
      <c r="K133" s="8" t="s">
        <v>39</v>
      </c>
      <c r="L133" s="8" t="s">
        <v>451</v>
      </c>
      <c r="M133" s="17" t="s">
        <v>450</v>
      </c>
    </row>
    <row r="134" spans="1:13" x14ac:dyDescent="0.25">
      <c r="A134" s="1">
        <v>133</v>
      </c>
      <c r="B134" s="1">
        <v>2019</v>
      </c>
      <c r="C134" s="130">
        <v>43574</v>
      </c>
      <c r="D134" s="6" t="s">
        <v>3</v>
      </c>
      <c r="E134" s="183" t="str">
        <f>VLOOKUP($D134,Summary!$K$43:$L$264,2,FALSE)</f>
        <v>Hydraulic</v>
      </c>
      <c r="F134" s="1" t="s">
        <v>23</v>
      </c>
      <c r="G134" s="5">
        <v>47.21</v>
      </c>
      <c r="H134" s="4" t="s">
        <v>119</v>
      </c>
      <c r="I134" s="8" t="s">
        <v>99</v>
      </c>
      <c r="J134" s="16" t="s">
        <v>452</v>
      </c>
      <c r="K134" s="8" t="s">
        <v>23</v>
      </c>
      <c r="L134" s="8" t="s">
        <v>453</v>
      </c>
      <c r="M134" s="10" t="s">
        <v>454</v>
      </c>
    </row>
    <row r="135" spans="1:13" ht="30" x14ac:dyDescent="0.25">
      <c r="A135" s="1">
        <v>134</v>
      </c>
      <c r="B135" s="1">
        <v>2019</v>
      </c>
      <c r="C135" s="130">
        <v>43579</v>
      </c>
      <c r="D135" s="6">
        <v>53</v>
      </c>
      <c r="E135" s="183" t="str">
        <f>VLOOKUP($D135,Summary!$K$43:$L$264,2,FALSE)</f>
        <v>Mechanical</v>
      </c>
      <c r="F135" s="1" t="s">
        <v>23</v>
      </c>
      <c r="G135" s="5">
        <v>149.93</v>
      </c>
      <c r="H135" s="4" t="s">
        <v>110</v>
      </c>
      <c r="I135" s="8" t="s">
        <v>78</v>
      </c>
      <c r="J135" s="8">
        <v>4213300</v>
      </c>
      <c r="K135" s="8" t="s">
        <v>45</v>
      </c>
      <c r="L135" s="8" t="s">
        <v>455</v>
      </c>
      <c r="M135" s="10" t="s">
        <v>456</v>
      </c>
    </row>
    <row r="136" spans="1:13" x14ac:dyDescent="0.25">
      <c r="A136" s="1">
        <v>135</v>
      </c>
      <c r="B136" s="1">
        <v>2019</v>
      </c>
      <c r="C136" s="130">
        <v>43581</v>
      </c>
      <c r="D136" s="6" t="s">
        <v>3</v>
      </c>
      <c r="E136" s="183" t="str">
        <f>VLOOKUP($D136,Summary!$K$43:$L$264,2,FALSE)</f>
        <v>Hydraulic</v>
      </c>
      <c r="F136" s="1">
        <v>298</v>
      </c>
      <c r="G136" s="5">
        <v>79.09</v>
      </c>
      <c r="H136" s="4" t="s">
        <v>119</v>
      </c>
      <c r="I136" s="8" t="s">
        <v>102</v>
      </c>
      <c r="J136" s="16" t="s">
        <v>457</v>
      </c>
      <c r="K136" s="8" t="s">
        <v>23</v>
      </c>
      <c r="L136" s="8" t="s">
        <v>448</v>
      </c>
      <c r="M136" s="10" t="s">
        <v>458</v>
      </c>
    </row>
    <row r="137" spans="1:13" ht="45" x14ac:dyDescent="0.25">
      <c r="A137" s="1">
        <v>136</v>
      </c>
      <c r="B137" s="1">
        <v>2019</v>
      </c>
      <c r="C137" s="130">
        <v>43586</v>
      </c>
      <c r="D137" s="6" t="s">
        <v>3</v>
      </c>
      <c r="E137" s="183" t="str">
        <f>VLOOKUP($D137,Summary!$K$43:$L$264,2,FALSE)</f>
        <v>Hydraulic</v>
      </c>
      <c r="F137" s="1" t="s">
        <v>23</v>
      </c>
      <c r="G137" s="5">
        <v>25.35</v>
      </c>
      <c r="H137" s="4" t="s">
        <v>119</v>
      </c>
      <c r="I137" s="8" t="s">
        <v>100</v>
      </c>
      <c r="J137" s="8">
        <v>4214929</v>
      </c>
      <c r="K137" s="8" t="s">
        <v>23</v>
      </c>
      <c r="L137" s="8" t="s">
        <v>459</v>
      </c>
      <c r="M137" s="10" t="s">
        <v>460</v>
      </c>
    </row>
    <row r="138" spans="1:13" x14ac:dyDescent="0.25">
      <c r="A138" s="1">
        <v>137</v>
      </c>
      <c r="B138" s="1">
        <v>2019</v>
      </c>
      <c r="C138" s="130">
        <v>43590</v>
      </c>
      <c r="D138" s="6">
        <v>53</v>
      </c>
      <c r="E138" s="183" t="str">
        <f>VLOOKUP($D138,Summary!$K$43:$L$264,2,FALSE)</f>
        <v>Mechanical</v>
      </c>
      <c r="F138" s="1" t="s">
        <v>23</v>
      </c>
      <c r="G138" s="5">
        <v>45.96</v>
      </c>
      <c r="H138" s="4" t="s">
        <v>112</v>
      </c>
      <c r="I138" s="8" t="s">
        <v>81</v>
      </c>
      <c r="J138" s="8">
        <v>1193339</v>
      </c>
      <c r="K138" s="8" t="s">
        <v>46</v>
      </c>
      <c r="L138" s="8" t="s">
        <v>461</v>
      </c>
      <c r="M138" s="10" t="s">
        <v>462</v>
      </c>
    </row>
    <row r="139" spans="1:13" ht="30" x14ac:dyDescent="0.25">
      <c r="A139" s="1">
        <v>138</v>
      </c>
      <c r="B139" s="1">
        <v>2019</v>
      </c>
      <c r="C139" s="130">
        <v>43597</v>
      </c>
      <c r="D139" s="6" t="s">
        <v>18</v>
      </c>
      <c r="E139" s="183" t="str">
        <f>VLOOKUP($D139,Summary!$K$43:$L$264,2,FALSE)</f>
        <v>Hopper</v>
      </c>
      <c r="F139" s="1" t="s">
        <v>23</v>
      </c>
      <c r="G139" s="5">
        <v>190.34</v>
      </c>
      <c r="H139" s="4" t="s">
        <v>103</v>
      </c>
      <c r="I139" s="8" t="s">
        <v>70</v>
      </c>
      <c r="J139" s="14" t="s">
        <v>27</v>
      </c>
      <c r="K139" s="8" t="s">
        <v>28</v>
      </c>
      <c r="L139" s="8" t="s">
        <v>288</v>
      </c>
      <c r="M139" s="15" t="s">
        <v>272</v>
      </c>
    </row>
    <row r="140" spans="1:13" ht="30" x14ac:dyDescent="0.25">
      <c r="A140" s="1">
        <v>139</v>
      </c>
      <c r="B140" s="1">
        <v>2019</v>
      </c>
      <c r="C140" s="130">
        <v>43625</v>
      </c>
      <c r="D140" s="6" t="s">
        <v>4</v>
      </c>
      <c r="E140" s="183" t="str">
        <f>VLOOKUP($D140,Summary!$K$43:$L$264,2,FALSE)</f>
        <v>Hydraulic</v>
      </c>
      <c r="F140" s="1" t="s">
        <v>23</v>
      </c>
      <c r="G140" s="5">
        <v>83.23</v>
      </c>
      <c r="H140" s="4" t="s">
        <v>119</v>
      </c>
      <c r="I140" s="8" t="s">
        <v>95</v>
      </c>
      <c r="J140" s="16" t="s">
        <v>463</v>
      </c>
      <c r="K140" s="8" t="s">
        <v>23</v>
      </c>
      <c r="L140" s="8" t="s">
        <v>464</v>
      </c>
      <c r="M140" s="10" t="s">
        <v>295</v>
      </c>
    </row>
    <row r="141" spans="1:13" ht="195" x14ac:dyDescent="0.25">
      <c r="A141" s="1">
        <v>140</v>
      </c>
      <c r="B141" s="1">
        <v>2019</v>
      </c>
      <c r="C141" s="130">
        <v>43631</v>
      </c>
      <c r="D141" s="6" t="s">
        <v>22</v>
      </c>
      <c r="E141" s="183" t="str">
        <f>VLOOKUP($D141,Summary!$K$43:$L$264,2,FALSE)</f>
        <v>Hopper</v>
      </c>
      <c r="F141" s="1" t="s">
        <v>23</v>
      </c>
      <c r="G141" s="5">
        <v>35.58</v>
      </c>
      <c r="H141" s="4" t="s">
        <v>108</v>
      </c>
      <c r="I141" s="8" t="s">
        <v>72</v>
      </c>
      <c r="J141" s="8">
        <v>4181774</v>
      </c>
      <c r="K141" s="8" t="s">
        <v>40</v>
      </c>
      <c r="L141" s="8" t="s">
        <v>465</v>
      </c>
      <c r="M141" s="10" t="s">
        <v>466</v>
      </c>
    </row>
    <row r="142" spans="1:13" ht="45" x14ac:dyDescent="0.25">
      <c r="A142" s="1">
        <v>141</v>
      </c>
      <c r="B142" s="1">
        <v>2019</v>
      </c>
      <c r="C142" s="130">
        <v>43641</v>
      </c>
      <c r="D142" s="6" t="s">
        <v>19</v>
      </c>
      <c r="E142" s="183" t="str">
        <f>VLOOKUP($D142,Summary!$K$43:$L$264,2,FALSE)</f>
        <v>Hopper</v>
      </c>
      <c r="F142" s="1" t="s">
        <v>23</v>
      </c>
      <c r="G142" s="5">
        <v>27.9</v>
      </c>
      <c r="H142" s="4" t="s">
        <v>103</v>
      </c>
      <c r="I142" s="8" t="s">
        <v>72</v>
      </c>
      <c r="J142" s="16" t="s">
        <v>467</v>
      </c>
      <c r="K142" s="8" t="s">
        <v>34</v>
      </c>
      <c r="L142" s="8" t="s">
        <v>468</v>
      </c>
      <c r="M142" s="10" t="s">
        <v>469</v>
      </c>
    </row>
    <row r="143" spans="1:13" ht="60" x14ac:dyDescent="0.25">
      <c r="A143" s="1">
        <v>142</v>
      </c>
      <c r="B143" s="1">
        <v>2019</v>
      </c>
      <c r="C143" s="130">
        <v>43648</v>
      </c>
      <c r="D143" s="6" t="s">
        <v>18</v>
      </c>
      <c r="E143" s="183" t="str">
        <f>VLOOKUP($D143,Summary!$K$43:$L$264,2,FALSE)</f>
        <v>Hopper</v>
      </c>
      <c r="F143" s="1" t="s">
        <v>23</v>
      </c>
      <c r="G143" s="5">
        <v>26.52</v>
      </c>
      <c r="H143" s="4" t="s">
        <v>69</v>
      </c>
      <c r="I143" s="8" t="s">
        <v>70</v>
      </c>
      <c r="J143" s="8">
        <v>4271273</v>
      </c>
      <c r="K143" s="8" t="s">
        <v>26</v>
      </c>
      <c r="L143" s="8" t="s">
        <v>470</v>
      </c>
      <c r="M143" s="10" t="s">
        <v>471</v>
      </c>
    </row>
    <row r="144" spans="1:13" ht="45" x14ac:dyDescent="0.25">
      <c r="A144" s="1">
        <v>143</v>
      </c>
      <c r="B144" s="1">
        <v>2019</v>
      </c>
      <c r="C144" s="130">
        <v>43648</v>
      </c>
      <c r="D144" s="6" t="s">
        <v>19</v>
      </c>
      <c r="E144" s="183" t="str">
        <f>VLOOKUP($D144,Summary!$K$43:$L$264,2,FALSE)</f>
        <v>Hopper</v>
      </c>
      <c r="F144" s="1" t="s">
        <v>23</v>
      </c>
      <c r="G144" s="5">
        <v>72.099999999999994</v>
      </c>
      <c r="H144" s="4" t="s">
        <v>106</v>
      </c>
      <c r="I144" s="8" t="s">
        <v>72</v>
      </c>
      <c r="J144" s="16" t="s">
        <v>472</v>
      </c>
      <c r="K144" s="8" t="s">
        <v>35</v>
      </c>
      <c r="L144" s="8" t="s">
        <v>473</v>
      </c>
      <c r="M144" s="10" t="s">
        <v>474</v>
      </c>
    </row>
    <row r="145" spans="1:13" ht="120" x14ac:dyDescent="0.25">
      <c r="A145" s="1">
        <v>144</v>
      </c>
      <c r="B145" s="1">
        <v>2019</v>
      </c>
      <c r="C145" s="130">
        <v>43651</v>
      </c>
      <c r="D145" s="6" t="s">
        <v>4</v>
      </c>
      <c r="E145" s="183" t="str">
        <f>VLOOKUP($D145,Summary!$K$43:$L$264,2,FALSE)</f>
        <v>Hydraulic</v>
      </c>
      <c r="F145" s="1" t="s">
        <v>23</v>
      </c>
      <c r="G145" s="5">
        <v>100.17</v>
      </c>
      <c r="H145" s="4" t="s">
        <v>121</v>
      </c>
      <c r="I145" s="8" t="s">
        <v>96</v>
      </c>
      <c r="J145" s="8">
        <v>4214253</v>
      </c>
      <c r="K145" s="8" t="s">
        <v>23</v>
      </c>
      <c r="L145" s="8" t="s">
        <v>421</v>
      </c>
      <c r="M145" s="10" t="s">
        <v>475</v>
      </c>
    </row>
    <row r="146" spans="1:13" x14ac:dyDescent="0.25">
      <c r="A146" s="1">
        <v>145</v>
      </c>
      <c r="B146" s="1">
        <v>2019</v>
      </c>
      <c r="C146" s="130">
        <v>43659</v>
      </c>
      <c r="D146" s="6">
        <v>54</v>
      </c>
      <c r="E146" s="183" t="str">
        <f>VLOOKUP($D146,Summary!$K$43:$L$264,2,FALSE)</f>
        <v>Mechanical</v>
      </c>
      <c r="F146" s="1" t="s">
        <v>23</v>
      </c>
      <c r="G146" s="5">
        <v>31.79</v>
      </c>
      <c r="H146" s="4" t="s">
        <v>115</v>
      </c>
      <c r="I146" s="8" t="s">
        <v>101</v>
      </c>
      <c r="J146" s="8">
        <v>4251678</v>
      </c>
      <c r="K146" s="8" t="s">
        <v>50</v>
      </c>
      <c r="L146" s="8" t="s">
        <v>476</v>
      </c>
      <c r="M146" s="10" t="s">
        <v>477</v>
      </c>
    </row>
    <row r="147" spans="1:13" x14ac:dyDescent="0.25">
      <c r="A147" s="1">
        <v>146</v>
      </c>
      <c r="B147" s="1">
        <v>2019</v>
      </c>
      <c r="C147" s="130">
        <v>43662</v>
      </c>
      <c r="D147" s="6">
        <v>53</v>
      </c>
      <c r="E147" s="183" t="str">
        <f>VLOOKUP($D147,Summary!$K$43:$L$264,2,FALSE)</f>
        <v>Mechanical</v>
      </c>
      <c r="F147" s="1" t="s">
        <v>23</v>
      </c>
      <c r="G147" s="5">
        <v>41.92</v>
      </c>
      <c r="H147" s="4" t="s">
        <v>112</v>
      </c>
      <c r="I147" s="8" t="s">
        <v>82</v>
      </c>
      <c r="J147" s="8">
        <v>1193483</v>
      </c>
      <c r="K147" s="8" t="s">
        <v>47</v>
      </c>
      <c r="L147" s="8" t="s">
        <v>478</v>
      </c>
      <c r="M147" s="10" t="s">
        <v>479</v>
      </c>
    </row>
    <row r="148" spans="1:13" x14ac:dyDescent="0.25">
      <c r="A148" s="1">
        <v>147</v>
      </c>
      <c r="B148" s="1">
        <v>2019</v>
      </c>
      <c r="C148" s="130">
        <v>43666</v>
      </c>
      <c r="D148" s="6">
        <v>55</v>
      </c>
      <c r="E148" s="183" t="str">
        <f>VLOOKUP($D148,Summary!$K$43:$L$264,2,FALSE)</f>
        <v>Mechanical</v>
      </c>
      <c r="F148" s="1" t="s">
        <v>23</v>
      </c>
      <c r="G148" s="5">
        <v>26.48</v>
      </c>
      <c r="H148" s="4" t="s">
        <v>116</v>
      </c>
      <c r="I148" s="8" t="s">
        <v>79</v>
      </c>
      <c r="J148" s="14">
        <v>1725905</v>
      </c>
      <c r="K148" s="8" t="s">
        <v>52</v>
      </c>
      <c r="L148" s="8" t="s">
        <v>254</v>
      </c>
      <c r="M148" s="15" t="s">
        <v>254</v>
      </c>
    </row>
    <row r="149" spans="1:13" ht="60" x14ac:dyDescent="0.25">
      <c r="A149" s="1">
        <v>148</v>
      </c>
      <c r="B149" s="1">
        <v>2019</v>
      </c>
      <c r="C149" s="130">
        <v>43675</v>
      </c>
      <c r="D149" s="6">
        <v>54</v>
      </c>
      <c r="E149" s="183" t="str">
        <f>VLOOKUP($D149,Summary!$K$43:$L$264,2,FALSE)</f>
        <v>Mechanical</v>
      </c>
      <c r="F149" s="1" t="s">
        <v>23</v>
      </c>
      <c r="G149" s="5">
        <v>32.97</v>
      </c>
      <c r="H149" s="4" t="s">
        <v>112</v>
      </c>
      <c r="I149" s="8" t="s">
        <v>81</v>
      </c>
      <c r="J149" s="8">
        <v>4218307</v>
      </c>
      <c r="K149" s="8" t="s">
        <v>51</v>
      </c>
      <c r="L149" s="8" t="s">
        <v>480</v>
      </c>
      <c r="M149" s="10" t="s">
        <v>481</v>
      </c>
    </row>
    <row r="150" spans="1:13" ht="105" x14ac:dyDescent="0.25">
      <c r="A150" s="1">
        <v>149</v>
      </c>
      <c r="B150" s="1">
        <v>2019</v>
      </c>
      <c r="C150" s="130">
        <v>43676</v>
      </c>
      <c r="D150" s="6">
        <v>55</v>
      </c>
      <c r="E150" s="183" t="str">
        <f>VLOOKUP($D150,Summary!$K$43:$L$264,2,FALSE)</f>
        <v>Mechanical</v>
      </c>
      <c r="F150" s="1" t="s">
        <v>23</v>
      </c>
      <c r="G150" s="5">
        <v>927.37</v>
      </c>
      <c r="H150" s="4" t="s">
        <v>116</v>
      </c>
      <c r="I150" s="8" t="s">
        <v>86</v>
      </c>
      <c r="J150" s="8">
        <v>4219354</v>
      </c>
      <c r="K150" s="8" t="s">
        <v>53</v>
      </c>
      <c r="L150" s="8" t="s">
        <v>482</v>
      </c>
      <c r="M150" s="10" t="s">
        <v>483</v>
      </c>
    </row>
    <row r="151" spans="1:13" ht="30" x14ac:dyDescent="0.25">
      <c r="A151" s="1">
        <v>150</v>
      </c>
      <c r="B151" s="1">
        <v>2019</v>
      </c>
      <c r="C151" s="130">
        <v>43679</v>
      </c>
      <c r="D151" s="6" t="s">
        <v>20</v>
      </c>
      <c r="E151" s="183" t="str">
        <f>VLOOKUP($D151,Summary!$K$43:$L$264,2,FALSE)</f>
        <v>Hopper</v>
      </c>
      <c r="F151" s="1" t="s">
        <v>23</v>
      </c>
      <c r="G151" s="5">
        <v>30.18</v>
      </c>
      <c r="H151" s="4" t="s">
        <v>104</v>
      </c>
      <c r="I151" s="8" t="s">
        <v>70</v>
      </c>
      <c r="J151" s="18">
        <v>1726429</v>
      </c>
      <c r="K151" s="8" t="s">
        <v>36</v>
      </c>
      <c r="L151" s="8" t="s">
        <v>484</v>
      </c>
      <c r="M151" s="17" t="s">
        <v>485</v>
      </c>
    </row>
    <row r="152" spans="1:13" ht="210" x14ac:dyDescent="0.25">
      <c r="A152" s="1">
        <v>151</v>
      </c>
      <c r="B152" s="1">
        <v>2019</v>
      </c>
      <c r="C152" s="130">
        <v>43709</v>
      </c>
      <c r="D152" s="6">
        <v>58</v>
      </c>
      <c r="E152" s="183" t="str">
        <f>VLOOKUP($D152,Summary!$K$43:$L$264,2,FALSE)</f>
        <v>Mechanical</v>
      </c>
      <c r="F152" s="1" t="s">
        <v>23</v>
      </c>
      <c r="G152" s="5">
        <v>315.49</v>
      </c>
      <c r="H152" s="4" t="s">
        <v>110</v>
      </c>
      <c r="I152" s="8" t="s">
        <v>88</v>
      </c>
      <c r="J152" s="8">
        <v>4218790</v>
      </c>
      <c r="K152" s="8" t="s">
        <v>54</v>
      </c>
      <c r="L152" s="8" t="s">
        <v>487</v>
      </c>
      <c r="M152" s="10" t="s">
        <v>486</v>
      </c>
    </row>
    <row r="153" spans="1:13" ht="30" x14ac:dyDescent="0.25">
      <c r="A153" s="1">
        <v>152</v>
      </c>
      <c r="B153" s="1">
        <v>2019</v>
      </c>
      <c r="C153" s="130">
        <v>43718</v>
      </c>
      <c r="D153" s="6" t="s">
        <v>3</v>
      </c>
      <c r="E153" s="183" t="str">
        <f>VLOOKUP($D153,Summary!$K$43:$L$264,2,FALSE)</f>
        <v>Hydraulic</v>
      </c>
      <c r="F153" s="1" t="s">
        <v>23</v>
      </c>
      <c r="G153" s="5">
        <v>34.090000000000003</v>
      </c>
      <c r="H153" s="4" t="s">
        <v>117</v>
      </c>
      <c r="I153" s="8" t="s">
        <v>96</v>
      </c>
      <c r="J153" s="8">
        <v>4219360</v>
      </c>
      <c r="K153" s="8" t="s">
        <v>23</v>
      </c>
      <c r="L153" s="8" t="s">
        <v>488</v>
      </c>
      <c r="M153" s="10" t="s">
        <v>489</v>
      </c>
    </row>
    <row r="154" spans="1:13" ht="30" x14ac:dyDescent="0.25">
      <c r="A154" s="1">
        <v>153</v>
      </c>
      <c r="B154" s="1">
        <v>2019</v>
      </c>
      <c r="C154" s="130">
        <v>43721</v>
      </c>
      <c r="D154" s="6" t="s">
        <v>9</v>
      </c>
      <c r="E154" s="183" t="str">
        <f>VLOOKUP($D154,Summary!$K$43:$L$264,2,FALSE)</f>
        <v>Hydraulic</v>
      </c>
      <c r="F154" s="1" t="s">
        <v>23</v>
      </c>
      <c r="G154" s="5">
        <v>60.51</v>
      </c>
      <c r="H154" s="4" t="s">
        <v>121</v>
      </c>
      <c r="I154" s="8" t="s">
        <v>92</v>
      </c>
      <c r="J154" s="8">
        <v>4218765</v>
      </c>
      <c r="K154" s="8" t="s">
        <v>58</v>
      </c>
      <c r="L154" s="8" t="s">
        <v>491</v>
      </c>
      <c r="M154" s="10" t="s">
        <v>490</v>
      </c>
    </row>
    <row r="155" spans="1:13" ht="60" x14ac:dyDescent="0.25">
      <c r="A155" s="1">
        <v>154</v>
      </c>
      <c r="B155" s="1">
        <v>2019</v>
      </c>
      <c r="C155" s="130">
        <v>43721</v>
      </c>
      <c r="D155" s="6" t="s">
        <v>3</v>
      </c>
      <c r="E155" s="183" t="str">
        <f>VLOOKUP($D155,Summary!$K$43:$L$264,2,FALSE)</f>
        <v>Hydraulic</v>
      </c>
      <c r="F155" s="1" t="s">
        <v>23</v>
      </c>
      <c r="G155" s="5">
        <v>498.2</v>
      </c>
      <c r="H155" s="4" t="s">
        <v>122</v>
      </c>
      <c r="I155" s="8" t="s">
        <v>93</v>
      </c>
      <c r="J155" s="8">
        <v>4219453</v>
      </c>
      <c r="K155" s="8" t="s">
        <v>23</v>
      </c>
      <c r="L155" s="8" t="s">
        <v>493</v>
      </c>
      <c r="M155" s="10" t="s">
        <v>492</v>
      </c>
    </row>
    <row r="156" spans="1:13" ht="255" x14ac:dyDescent="0.25">
      <c r="A156" s="1">
        <v>155</v>
      </c>
      <c r="B156" s="1">
        <v>2019</v>
      </c>
      <c r="C156" s="130">
        <v>43737</v>
      </c>
      <c r="D156" s="6">
        <v>55</v>
      </c>
      <c r="E156" s="183" t="str">
        <f>VLOOKUP($D156,Summary!$K$43:$L$264,2,FALSE)</f>
        <v>Mechanical</v>
      </c>
      <c r="F156" s="1" t="s">
        <v>23</v>
      </c>
      <c r="G156" s="5">
        <v>90.25</v>
      </c>
      <c r="H156" s="4" t="s">
        <v>112</v>
      </c>
      <c r="I156" s="8" t="s">
        <v>87</v>
      </c>
      <c r="J156" s="8">
        <v>4219808</v>
      </c>
      <c r="K156" s="8" t="s">
        <v>23</v>
      </c>
      <c r="L156" s="8" t="s">
        <v>494</v>
      </c>
      <c r="M156" s="10" t="s">
        <v>495</v>
      </c>
    </row>
    <row r="157" spans="1:13" ht="270" x14ac:dyDescent="0.25">
      <c r="A157" s="1">
        <v>156</v>
      </c>
      <c r="B157" s="1">
        <v>2019</v>
      </c>
      <c r="C157" s="130">
        <v>43737</v>
      </c>
      <c r="D157" s="6">
        <v>58</v>
      </c>
      <c r="E157" s="183" t="str">
        <f>VLOOKUP($D157,Summary!$K$43:$L$264,2,FALSE)</f>
        <v>Mechanical</v>
      </c>
      <c r="F157" s="1" t="s">
        <v>23</v>
      </c>
      <c r="G157" s="5">
        <v>70.25</v>
      </c>
      <c r="H157" s="4" t="s">
        <v>115</v>
      </c>
      <c r="I157" s="8" t="s">
        <v>89</v>
      </c>
      <c r="J157" s="8">
        <v>4219814</v>
      </c>
      <c r="K157" s="8" t="s">
        <v>55</v>
      </c>
      <c r="L157" s="8" t="s">
        <v>496</v>
      </c>
      <c r="M157" s="10" t="s">
        <v>497</v>
      </c>
    </row>
    <row r="158" spans="1:13" ht="225" x14ac:dyDescent="0.25">
      <c r="A158" s="1">
        <v>157</v>
      </c>
      <c r="B158" s="1">
        <v>2019</v>
      </c>
      <c r="C158" s="130">
        <v>43738</v>
      </c>
      <c r="D158" s="6">
        <v>53</v>
      </c>
      <c r="E158" s="183" t="str">
        <f>VLOOKUP($D158,Summary!$K$43:$L$264,2,FALSE)</f>
        <v>Mechanical</v>
      </c>
      <c r="F158" s="1" t="s">
        <v>23</v>
      </c>
      <c r="G158" s="5">
        <v>33.590000000000003</v>
      </c>
      <c r="H158" s="4" t="s">
        <v>113</v>
      </c>
      <c r="I158" s="8" t="s">
        <v>83</v>
      </c>
      <c r="J158" s="8">
        <v>1193566</v>
      </c>
      <c r="K158" s="8" t="s">
        <v>48</v>
      </c>
      <c r="L158" s="8" t="s">
        <v>508</v>
      </c>
      <c r="M158" s="10" t="s">
        <v>509</v>
      </c>
    </row>
    <row r="159" spans="1:13" x14ac:dyDescent="0.25">
      <c r="A159" s="1">
        <v>158</v>
      </c>
      <c r="B159" s="1">
        <v>2019</v>
      </c>
      <c r="C159" s="130">
        <v>43741</v>
      </c>
      <c r="D159" s="6" t="s">
        <v>18</v>
      </c>
      <c r="E159" s="183" t="str">
        <f>VLOOKUP($D159,Summary!$K$43:$L$264,2,FALSE)</f>
        <v>Hopper</v>
      </c>
      <c r="F159" s="1" t="s">
        <v>23</v>
      </c>
      <c r="G159" s="5">
        <v>273.39</v>
      </c>
      <c r="H159" s="4" t="s">
        <v>72</v>
      </c>
      <c r="I159" s="8" t="s">
        <v>73</v>
      </c>
      <c r="J159" s="14" t="s">
        <v>27</v>
      </c>
      <c r="K159" s="8" t="s">
        <v>29</v>
      </c>
      <c r="L159" s="8" t="s">
        <v>288</v>
      </c>
      <c r="M159" s="15" t="s">
        <v>272</v>
      </c>
    </row>
    <row r="160" spans="1:13" ht="45" x14ac:dyDescent="0.25">
      <c r="A160" s="1">
        <v>159</v>
      </c>
      <c r="B160" s="1">
        <v>2019</v>
      </c>
      <c r="C160" s="130">
        <v>43747</v>
      </c>
      <c r="D160" s="6" t="s">
        <v>9</v>
      </c>
      <c r="E160" s="183" t="str">
        <f>VLOOKUP($D160,Summary!$K$43:$L$264,2,FALSE)</f>
        <v>Hydraulic</v>
      </c>
      <c r="F160" s="1" t="s">
        <v>23</v>
      </c>
      <c r="G160" s="5">
        <v>201.88</v>
      </c>
      <c r="H160" s="4" t="s">
        <v>123</v>
      </c>
      <c r="I160" s="8" t="s">
        <v>94</v>
      </c>
      <c r="J160" s="18">
        <v>4219654</v>
      </c>
      <c r="K160" s="8" t="s">
        <v>23</v>
      </c>
      <c r="L160" s="8" t="s">
        <v>510</v>
      </c>
      <c r="M160" s="17" t="s">
        <v>512</v>
      </c>
    </row>
    <row r="161" spans="1:13" ht="30" x14ac:dyDescent="0.25">
      <c r="A161" s="1">
        <v>160</v>
      </c>
      <c r="B161" s="1">
        <v>2019</v>
      </c>
      <c r="C161" s="130">
        <v>43749</v>
      </c>
      <c r="D161" s="6">
        <v>53</v>
      </c>
      <c r="E161" s="183" t="str">
        <f>VLOOKUP($D161,Summary!$K$43:$L$264,2,FALSE)</f>
        <v>Mechanical</v>
      </c>
      <c r="F161" s="1" t="s">
        <v>23</v>
      </c>
      <c r="G161" s="5">
        <v>59.72</v>
      </c>
      <c r="H161" s="4" t="s">
        <v>112</v>
      </c>
      <c r="I161" s="8" t="s">
        <v>84</v>
      </c>
      <c r="J161" s="8">
        <v>1193606</v>
      </c>
      <c r="K161" s="8" t="s">
        <v>23</v>
      </c>
      <c r="L161" s="8" t="s">
        <v>511</v>
      </c>
      <c r="M161" s="10" t="s">
        <v>295</v>
      </c>
    </row>
    <row r="162" spans="1:13" ht="30" x14ac:dyDescent="0.25">
      <c r="A162" s="1">
        <v>161</v>
      </c>
      <c r="B162" s="1">
        <v>2019</v>
      </c>
      <c r="C162" s="130">
        <v>43757</v>
      </c>
      <c r="D162" s="6">
        <v>53</v>
      </c>
      <c r="E162" s="183" t="str">
        <f>VLOOKUP($D162,Summary!$K$43:$L$264,2,FALSE)</f>
        <v>Mechanical</v>
      </c>
      <c r="F162" s="1" t="s">
        <v>23</v>
      </c>
      <c r="G162" s="5">
        <v>51.7</v>
      </c>
      <c r="H162" s="4" t="s">
        <v>114</v>
      </c>
      <c r="I162" s="8" t="s">
        <v>85</v>
      </c>
      <c r="J162" s="8" t="s">
        <v>66</v>
      </c>
      <c r="K162" s="8" t="s">
        <v>49</v>
      </c>
      <c r="L162" s="8" t="s">
        <v>514</v>
      </c>
      <c r="M162" s="10" t="s">
        <v>513</v>
      </c>
    </row>
    <row r="163" spans="1:13" x14ac:dyDescent="0.25">
      <c r="A163" s="1">
        <v>162</v>
      </c>
      <c r="B163" s="1">
        <v>2019</v>
      </c>
      <c r="C163" s="130">
        <v>43758</v>
      </c>
      <c r="D163" s="6" t="s">
        <v>21</v>
      </c>
      <c r="E163" s="183" t="str">
        <f>VLOOKUP($D163,Summary!$K$43:$L$264,2,FALSE)</f>
        <v>Hopper</v>
      </c>
      <c r="F163" s="1" t="s">
        <v>23</v>
      </c>
      <c r="G163" s="5">
        <v>50.24</v>
      </c>
      <c r="H163" s="4" t="s">
        <v>107</v>
      </c>
      <c r="I163" s="8" t="s">
        <v>75</v>
      </c>
      <c r="J163" s="14" t="s">
        <v>23</v>
      </c>
      <c r="K163" s="8" t="s">
        <v>23</v>
      </c>
      <c r="L163" s="8" t="s">
        <v>288</v>
      </c>
      <c r="M163" s="15" t="s">
        <v>272</v>
      </c>
    </row>
    <row r="164" spans="1:13" x14ac:dyDescent="0.25">
      <c r="A164" s="1">
        <v>163</v>
      </c>
      <c r="B164" s="1">
        <v>2019</v>
      </c>
      <c r="C164" s="130">
        <v>43761</v>
      </c>
      <c r="D164" s="6" t="s">
        <v>4</v>
      </c>
      <c r="E164" s="183" t="str">
        <f>VLOOKUP($D164,Summary!$K$43:$L$264,2,FALSE)</f>
        <v>Hydraulic</v>
      </c>
      <c r="F164" s="1" t="s">
        <v>23</v>
      </c>
      <c r="G164" s="5">
        <v>33.49</v>
      </c>
      <c r="H164" s="4" t="s">
        <v>121</v>
      </c>
      <c r="I164" s="8" t="s">
        <v>97</v>
      </c>
      <c r="J164" s="14">
        <v>1730667</v>
      </c>
      <c r="K164" s="8" t="s">
        <v>23</v>
      </c>
      <c r="L164" s="8" t="s">
        <v>254</v>
      </c>
      <c r="M164" s="15" t="s">
        <v>254</v>
      </c>
    </row>
    <row r="165" spans="1:13" ht="60" x14ac:dyDescent="0.25">
      <c r="A165" s="1">
        <v>164</v>
      </c>
      <c r="B165" s="1">
        <v>2019</v>
      </c>
      <c r="C165" s="130">
        <v>43762</v>
      </c>
      <c r="D165" s="6" t="s">
        <v>22</v>
      </c>
      <c r="E165" s="183" t="str">
        <f>VLOOKUP($D165,Summary!$K$43:$L$264,2,FALSE)</f>
        <v>Hopper</v>
      </c>
      <c r="F165" s="1" t="s">
        <v>23</v>
      </c>
      <c r="G165" s="5">
        <v>29.1</v>
      </c>
      <c r="H165" s="4" t="s">
        <v>69</v>
      </c>
      <c r="I165" s="8" t="s">
        <v>72</v>
      </c>
      <c r="J165" s="8">
        <v>4182054</v>
      </c>
      <c r="K165" s="8" t="s">
        <v>65</v>
      </c>
      <c r="L165" s="8" t="s">
        <v>515</v>
      </c>
      <c r="M165" s="10" t="s">
        <v>516</v>
      </c>
    </row>
    <row r="166" spans="1:13" x14ac:dyDescent="0.25">
      <c r="A166" s="1">
        <v>165</v>
      </c>
      <c r="B166" s="1">
        <v>2019</v>
      </c>
      <c r="C166" s="130">
        <v>43768</v>
      </c>
      <c r="D166" s="6" t="s">
        <v>21</v>
      </c>
      <c r="E166" s="183" t="str">
        <f>VLOOKUP($D166,Summary!$K$43:$L$264,2,FALSE)</f>
        <v>Hopper</v>
      </c>
      <c r="F166" s="1" t="s">
        <v>23</v>
      </c>
      <c r="G166" s="5">
        <v>147.28</v>
      </c>
      <c r="H166" s="4" t="s">
        <v>107</v>
      </c>
      <c r="I166" s="8" t="s">
        <v>72</v>
      </c>
      <c r="J166" s="14" t="s">
        <v>23</v>
      </c>
      <c r="K166" s="8" t="s">
        <v>23</v>
      </c>
      <c r="L166" s="8" t="s">
        <v>288</v>
      </c>
      <c r="M166" s="15" t="s">
        <v>272</v>
      </c>
    </row>
    <row r="167" spans="1:13" ht="30" x14ac:dyDescent="0.25">
      <c r="A167" s="1">
        <v>166</v>
      </c>
      <c r="B167" s="1">
        <v>2019</v>
      </c>
      <c r="C167" s="130">
        <v>43769</v>
      </c>
      <c r="D167" s="6" t="s">
        <v>18</v>
      </c>
      <c r="E167" s="183" t="str">
        <f>VLOOKUP($D167,Summary!$K$43:$L$264,2,FALSE)</f>
        <v>Hopper</v>
      </c>
      <c r="F167" s="1">
        <v>319</v>
      </c>
      <c r="G167" s="5">
        <v>614.48</v>
      </c>
      <c r="H167" s="4" t="s">
        <v>72</v>
      </c>
      <c r="I167" s="8" t="s">
        <v>8</v>
      </c>
      <c r="J167" s="14" t="s">
        <v>23</v>
      </c>
      <c r="K167" s="8" t="s">
        <v>30</v>
      </c>
      <c r="L167" s="8" t="s">
        <v>288</v>
      </c>
      <c r="M167" s="15" t="s">
        <v>272</v>
      </c>
    </row>
    <row r="168" spans="1:13" x14ac:dyDescent="0.25">
      <c r="A168" s="1">
        <v>167</v>
      </c>
      <c r="B168" s="1">
        <v>2019</v>
      </c>
      <c r="C168" s="130">
        <v>43775</v>
      </c>
      <c r="D168" s="6">
        <v>58</v>
      </c>
      <c r="E168" s="183" t="str">
        <f>VLOOKUP($D168,Summary!$K$43:$L$264,2,FALSE)</f>
        <v>Mechanical</v>
      </c>
      <c r="F168" s="1">
        <v>320</v>
      </c>
      <c r="G168" s="5">
        <v>142.57</v>
      </c>
      <c r="H168" s="4" t="s">
        <v>113</v>
      </c>
      <c r="I168" s="8" t="s">
        <v>83</v>
      </c>
      <c r="J168" s="14">
        <v>1730905</v>
      </c>
      <c r="K168" s="8" t="s">
        <v>26</v>
      </c>
      <c r="L168" s="8" t="s">
        <v>254</v>
      </c>
      <c r="M168" s="10" t="s">
        <v>254</v>
      </c>
    </row>
    <row r="169" spans="1:13" ht="30" x14ac:dyDescent="0.25">
      <c r="A169" s="1">
        <v>168</v>
      </c>
      <c r="B169" s="1">
        <v>2019</v>
      </c>
      <c r="C169" s="130">
        <v>43787</v>
      </c>
      <c r="D169" s="6" t="s">
        <v>22</v>
      </c>
      <c r="E169" s="183" t="str">
        <f>VLOOKUP($D169,Summary!$K$43:$L$264,2,FALSE)</f>
        <v>Hopper</v>
      </c>
      <c r="F169" s="1" t="s">
        <v>23</v>
      </c>
      <c r="G169" s="5">
        <v>77.430000000000007</v>
      </c>
      <c r="H169" s="4" t="s">
        <v>109</v>
      </c>
      <c r="I169" s="8" t="s">
        <v>72</v>
      </c>
      <c r="J169" s="8">
        <v>4182079</v>
      </c>
      <c r="K169" s="8" t="s">
        <v>41</v>
      </c>
      <c r="L169" s="8" t="s">
        <v>518</v>
      </c>
      <c r="M169" s="10" t="s">
        <v>519</v>
      </c>
    </row>
    <row r="170" spans="1:13" x14ac:dyDescent="0.25">
      <c r="A170" s="1">
        <v>169</v>
      </c>
      <c r="B170" s="1">
        <v>2019</v>
      </c>
      <c r="C170" s="130">
        <v>43792</v>
      </c>
      <c r="D170" s="6" t="s">
        <v>20</v>
      </c>
      <c r="E170" s="183" t="str">
        <f>VLOOKUP($D170,Summary!$K$43:$L$264,2,FALSE)</f>
        <v>Hopper</v>
      </c>
      <c r="F170" s="1" t="s">
        <v>23</v>
      </c>
      <c r="G170" s="5">
        <v>52.84</v>
      </c>
      <c r="H170" s="4" t="s">
        <v>72</v>
      </c>
      <c r="I170" s="8" t="s">
        <v>74</v>
      </c>
      <c r="J170" s="14" t="s">
        <v>27</v>
      </c>
      <c r="K170" s="8" t="s">
        <v>37</v>
      </c>
      <c r="L170" s="8" t="s">
        <v>288</v>
      </c>
      <c r="M170" s="15" t="s">
        <v>272</v>
      </c>
    </row>
    <row r="171" spans="1:13" ht="30" x14ac:dyDescent="0.25">
      <c r="A171" s="1">
        <v>170</v>
      </c>
      <c r="B171" s="1">
        <v>2019</v>
      </c>
      <c r="C171" s="130">
        <v>43807</v>
      </c>
      <c r="D171" s="6" t="s">
        <v>4</v>
      </c>
      <c r="E171" s="183" t="str">
        <f>VLOOKUP($D171,Summary!$K$43:$L$264,2,FALSE)</f>
        <v>Hydraulic</v>
      </c>
      <c r="F171" s="1" t="s">
        <v>23</v>
      </c>
      <c r="G171" s="5">
        <v>94.08</v>
      </c>
      <c r="H171" s="4" t="s">
        <v>121</v>
      </c>
      <c r="I171" s="8" t="s">
        <v>96</v>
      </c>
      <c r="J171" s="8">
        <v>4796036</v>
      </c>
      <c r="K171" s="8" t="s">
        <v>61</v>
      </c>
      <c r="L171" s="8" t="s">
        <v>421</v>
      </c>
      <c r="M171" s="10" t="s">
        <v>520</v>
      </c>
    </row>
    <row r="172" spans="1:13" ht="45" x14ac:dyDescent="0.25">
      <c r="A172" s="1">
        <v>171</v>
      </c>
      <c r="B172" s="1">
        <v>2019</v>
      </c>
      <c r="C172" s="130">
        <v>43809</v>
      </c>
      <c r="D172" s="6" t="s">
        <v>2</v>
      </c>
      <c r="E172" s="183" t="str">
        <f>VLOOKUP($D172,Summary!$K$43:$L$264,2,FALSE)</f>
        <v>Hydraulic</v>
      </c>
      <c r="F172" s="1">
        <v>377</v>
      </c>
      <c r="G172" s="5">
        <v>143.58000000000001</v>
      </c>
      <c r="H172" s="4" t="s">
        <v>118</v>
      </c>
      <c r="I172" s="8" t="s">
        <v>91</v>
      </c>
      <c r="J172" s="8">
        <v>4796445</v>
      </c>
      <c r="K172" s="8" t="s">
        <v>23</v>
      </c>
      <c r="L172" s="8" t="s">
        <v>521</v>
      </c>
      <c r="M172" s="10" t="s">
        <v>522</v>
      </c>
    </row>
    <row r="173" spans="1:13" x14ac:dyDescent="0.25">
      <c r="A173" s="1">
        <v>172</v>
      </c>
      <c r="B173" s="1">
        <v>2019</v>
      </c>
      <c r="C173" s="130">
        <v>43810</v>
      </c>
      <c r="D173" s="6" t="s">
        <v>9</v>
      </c>
      <c r="E173" s="183" t="str">
        <f>VLOOKUP($D173,Summary!$K$43:$L$264,2,FALSE)</f>
        <v>Hydraulic</v>
      </c>
      <c r="F173" s="1" t="s">
        <v>68</v>
      </c>
      <c r="G173" s="5">
        <v>85.5</v>
      </c>
      <c r="H173" s="4" t="s">
        <v>119</v>
      </c>
      <c r="I173" s="8" t="s">
        <v>95</v>
      </c>
      <c r="J173" s="14" t="s">
        <v>23</v>
      </c>
      <c r="K173" s="8" t="s">
        <v>59</v>
      </c>
      <c r="L173" s="8" t="s">
        <v>288</v>
      </c>
      <c r="M173" s="15" t="s">
        <v>272</v>
      </c>
    </row>
    <row r="174" spans="1:13" ht="120" x14ac:dyDescent="0.25">
      <c r="A174" s="1">
        <v>173</v>
      </c>
      <c r="B174" s="1">
        <v>2019</v>
      </c>
      <c r="C174" s="130">
        <v>43820</v>
      </c>
      <c r="D174" s="6">
        <v>58</v>
      </c>
      <c r="E174" s="183" t="str">
        <f>VLOOKUP($D174,Summary!$K$43:$L$264,2,FALSE)</f>
        <v>Mechanical</v>
      </c>
      <c r="F174" s="1" t="s">
        <v>23</v>
      </c>
      <c r="G174" s="5">
        <v>59.57</v>
      </c>
      <c r="H174" s="4" t="s">
        <v>111</v>
      </c>
      <c r="I174" s="8" t="s">
        <v>86</v>
      </c>
      <c r="J174" s="8">
        <v>4796635</v>
      </c>
      <c r="K174" s="8" t="s">
        <v>26</v>
      </c>
      <c r="L174" s="8" t="s">
        <v>523</v>
      </c>
      <c r="M174" s="10" t="s">
        <v>524</v>
      </c>
    </row>
    <row r="175" spans="1:13" ht="30" x14ac:dyDescent="0.25">
      <c r="A175" s="1">
        <v>174</v>
      </c>
      <c r="B175" s="1">
        <v>2019</v>
      </c>
      <c r="C175" s="130">
        <v>43821</v>
      </c>
      <c r="D175" s="6" t="s">
        <v>4</v>
      </c>
      <c r="E175" s="183" t="str">
        <f>VLOOKUP($D175,Summary!$K$43:$L$264,2,FALSE)</f>
        <v>Hydraulic</v>
      </c>
      <c r="F175" s="1" t="s">
        <v>23</v>
      </c>
      <c r="G175" s="5">
        <v>92</v>
      </c>
      <c r="H175" s="4" t="s">
        <v>117</v>
      </c>
      <c r="I175" s="8" t="s">
        <v>98</v>
      </c>
      <c r="J175" s="16" t="s">
        <v>525</v>
      </c>
      <c r="K175" s="8" t="s">
        <v>62</v>
      </c>
      <c r="L175" s="8" t="s">
        <v>526</v>
      </c>
      <c r="M175" s="10" t="s">
        <v>527</v>
      </c>
    </row>
    <row r="176" spans="1:13" x14ac:dyDescent="0.25">
      <c r="A176" s="1">
        <v>175</v>
      </c>
      <c r="B176" s="1">
        <v>2019</v>
      </c>
      <c r="C176" s="130">
        <v>43824</v>
      </c>
      <c r="D176" s="6" t="s">
        <v>9</v>
      </c>
      <c r="E176" s="183" t="str">
        <f>VLOOKUP($D176,Summary!$K$43:$L$264,2,FALSE)</f>
        <v>Hydraulic</v>
      </c>
      <c r="F176" s="1" t="s">
        <v>23</v>
      </c>
      <c r="G176" s="5">
        <v>144.88999999999999</v>
      </c>
      <c r="H176" s="4" t="s">
        <v>119</v>
      </c>
      <c r="I176" s="8" t="s">
        <v>95</v>
      </c>
      <c r="J176" s="14" t="s">
        <v>23</v>
      </c>
      <c r="K176" s="8" t="s">
        <v>23</v>
      </c>
      <c r="L176" s="8" t="s">
        <v>288</v>
      </c>
      <c r="M176" s="15" t="s">
        <v>272</v>
      </c>
    </row>
    <row r="177" spans="1:13" ht="45" x14ac:dyDescent="0.25">
      <c r="A177" s="1">
        <v>176</v>
      </c>
      <c r="B177" s="1">
        <v>2019</v>
      </c>
      <c r="C177" s="130">
        <v>43828</v>
      </c>
      <c r="D177" s="6" t="s">
        <v>2</v>
      </c>
      <c r="E177" s="183" t="str">
        <f>VLOOKUP($D177,Summary!$K$43:$L$264,2,FALSE)</f>
        <v>Hydraulic</v>
      </c>
      <c r="F177" s="1" t="s">
        <v>23</v>
      </c>
      <c r="G177" s="5">
        <v>59.14</v>
      </c>
      <c r="H177" s="4" t="s">
        <v>119</v>
      </c>
      <c r="I177" s="8" t="s">
        <v>120</v>
      </c>
      <c r="J177" s="8">
        <v>4796684</v>
      </c>
      <c r="K177" s="8" t="s">
        <v>23</v>
      </c>
      <c r="L177" s="8" t="s">
        <v>529</v>
      </c>
      <c r="M177" s="10" t="s">
        <v>528</v>
      </c>
    </row>
    <row r="178" spans="1:13" ht="30" x14ac:dyDescent="0.25">
      <c r="A178" s="1">
        <v>177</v>
      </c>
      <c r="B178" s="1">
        <v>2020</v>
      </c>
      <c r="C178" s="130">
        <v>43831</v>
      </c>
      <c r="D178" s="6">
        <v>55</v>
      </c>
      <c r="E178" s="183" t="str">
        <f>VLOOKUP($D178,Summary!$K$43:$L$264,2,FALSE)</f>
        <v>Mechanical</v>
      </c>
      <c r="F178" s="1" t="s">
        <v>23</v>
      </c>
      <c r="G178" s="5">
        <v>24.5</v>
      </c>
      <c r="H178" s="4" t="s">
        <v>129</v>
      </c>
      <c r="I178" s="8" t="s">
        <v>79</v>
      </c>
      <c r="J178" s="14" t="s">
        <v>23</v>
      </c>
      <c r="K178" s="8" t="s">
        <v>531</v>
      </c>
      <c r="L178" s="8" t="s">
        <v>288</v>
      </c>
      <c r="M178" s="15" t="s">
        <v>272</v>
      </c>
    </row>
    <row r="179" spans="1:13" x14ac:dyDescent="0.25">
      <c r="A179" s="1">
        <v>178</v>
      </c>
      <c r="B179" s="1">
        <v>2020</v>
      </c>
      <c r="C179" s="130">
        <v>43831</v>
      </c>
      <c r="D179" s="7" t="s">
        <v>9</v>
      </c>
      <c r="E179" s="183" t="str">
        <f>VLOOKUP($D179,Summary!$K$43:$L$264,2,FALSE)</f>
        <v>Hydraulic</v>
      </c>
      <c r="F179" s="1" t="s">
        <v>23</v>
      </c>
      <c r="G179" s="5">
        <v>174.2</v>
      </c>
      <c r="H179" s="4" t="s">
        <v>119</v>
      </c>
      <c r="I179" s="8" t="s">
        <v>120</v>
      </c>
      <c r="J179" s="18">
        <v>1733897</v>
      </c>
      <c r="K179" s="8" t="s">
        <v>539</v>
      </c>
      <c r="L179" s="8" t="s">
        <v>254</v>
      </c>
      <c r="M179" s="15" t="s">
        <v>254</v>
      </c>
    </row>
    <row r="180" spans="1:13" x14ac:dyDescent="0.25">
      <c r="A180" s="1">
        <v>179</v>
      </c>
      <c r="B180" s="1">
        <v>2020</v>
      </c>
      <c r="C180" s="130">
        <v>43831</v>
      </c>
      <c r="D180" s="6" t="s">
        <v>4</v>
      </c>
      <c r="E180" s="183" t="str">
        <f>VLOOKUP($D180,Summary!$K$43:$L$264,2,FALSE)</f>
        <v>Hydraulic</v>
      </c>
      <c r="F180" s="1" t="s">
        <v>23</v>
      </c>
      <c r="G180" s="5">
        <v>194.5</v>
      </c>
      <c r="H180" s="4" t="s">
        <v>160</v>
      </c>
      <c r="I180" s="8" t="s">
        <v>161</v>
      </c>
      <c r="J180" s="182" t="s">
        <v>547</v>
      </c>
      <c r="K180" s="8" t="s">
        <v>23</v>
      </c>
      <c r="L180" s="8" t="s">
        <v>548</v>
      </c>
      <c r="M180" s="10" t="s">
        <v>278</v>
      </c>
    </row>
    <row r="181" spans="1:13" ht="30" x14ac:dyDescent="0.25">
      <c r="A181" s="1">
        <v>180</v>
      </c>
      <c r="B181" s="1">
        <v>2020</v>
      </c>
      <c r="C181" s="130">
        <v>43833</v>
      </c>
      <c r="D181" s="6" t="s">
        <v>9</v>
      </c>
      <c r="E181" s="183" t="str">
        <f>VLOOKUP($D181,Summary!$K$43:$L$264,2,FALSE)</f>
        <v>Hydraulic</v>
      </c>
      <c r="F181" s="1" t="s">
        <v>23</v>
      </c>
      <c r="G181" s="5">
        <v>32.22</v>
      </c>
      <c r="H181" s="4" t="s">
        <v>119</v>
      </c>
      <c r="I181" s="8" t="s">
        <v>95</v>
      </c>
      <c r="J181" s="8">
        <v>4038564</v>
      </c>
      <c r="K181" s="8" t="s">
        <v>59</v>
      </c>
      <c r="L181" s="8" t="s">
        <v>541</v>
      </c>
      <c r="M181" s="10" t="s">
        <v>542</v>
      </c>
    </row>
    <row r="182" spans="1:13" ht="180" x14ac:dyDescent="0.25">
      <c r="A182" s="1">
        <v>181</v>
      </c>
      <c r="B182" s="1">
        <v>2020</v>
      </c>
      <c r="C182" s="130">
        <v>43835</v>
      </c>
      <c r="D182" s="6">
        <v>53</v>
      </c>
      <c r="E182" s="183" t="str">
        <f>VLOOKUP($D182,Summary!$K$43:$L$264,2,FALSE)</f>
        <v>Mechanical</v>
      </c>
      <c r="F182" s="1" t="s">
        <v>557</v>
      </c>
      <c r="G182" s="5">
        <v>31.35</v>
      </c>
      <c r="H182" s="4" t="s">
        <v>112</v>
      </c>
      <c r="I182" s="8" t="s">
        <v>87</v>
      </c>
      <c r="J182" s="8">
        <v>4796836</v>
      </c>
      <c r="K182" s="8" t="s">
        <v>530</v>
      </c>
      <c r="L182" s="8" t="s">
        <v>533</v>
      </c>
      <c r="M182" s="10" t="s">
        <v>534</v>
      </c>
    </row>
    <row r="183" spans="1:13" x14ac:dyDescent="0.25">
      <c r="A183" s="1">
        <v>182</v>
      </c>
      <c r="B183" s="1">
        <v>2020</v>
      </c>
      <c r="C183" s="130">
        <v>43837</v>
      </c>
      <c r="D183" s="6" t="s">
        <v>3</v>
      </c>
      <c r="E183" s="183" t="str">
        <f>VLOOKUP($D183,Summary!$K$43:$L$264,2,FALSE)</f>
        <v>Hydraulic</v>
      </c>
      <c r="F183" s="1" t="s">
        <v>23</v>
      </c>
      <c r="G183" s="5">
        <v>70.900000000000006</v>
      </c>
      <c r="H183" s="4" t="s">
        <v>160</v>
      </c>
      <c r="I183" s="8" t="s">
        <v>549</v>
      </c>
      <c r="J183" s="14" t="s">
        <v>23</v>
      </c>
      <c r="K183" s="8" t="s">
        <v>23</v>
      </c>
      <c r="L183" s="8" t="s">
        <v>288</v>
      </c>
      <c r="M183" s="15" t="s">
        <v>272</v>
      </c>
    </row>
    <row r="184" spans="1:13" x14ac:dyDescent="0.25">
      <c r="A184" s="1">
        <v>183</v>
      </c>
      <c r="B184" s="1">
        <v>2020</v>
      </c>
      <c r="C184" s="130">
        <v>43837</v>
      </c>
      <c r="D184" s="6" t="s">
        <v>22</v>
      </c>
      <c r="E184" s="183" t="str">
        <f>VLOOKUP($D184,Summary!$K$43:$L$264,2,FALSE)</f>
        <v>Hopper</v>
      </c>
      <c r="F184" s="1" t="s">
        <v>557</v>
      </c>
      <c r="G184" s="5">
        <v>44.51</v>
      </c>
      <c r="H184" s="4" t="s">
        <v>71</v>
      </c>
      <c r="I184" s="8" t="s">
        <v>72</v>
      </c>
      <c r="J184" s="18">
        <v>418315</v>
      </c>
      <c r="K184" s="8" t="s">
        <v>554</v>
      </c>
      <c r="L184" s="8" t="s">
        <v>254</v>
      </c>
      <c r="M184" s="15" t="s">
        <v>254</v>
      </c>
    </row>
    <row r="185" spans="1:13" ht="120" x14ac:dyDescent="0.25">
      <c r="A185" s="1">
        <v>184</v>
      </c>
      <c r="B185" s="1">
        <v>2020</v>
      </c>
      <c r="C185" s="130">
        <v>43853</v>
      </c>
      <c r="D185" s="6" t="s">
        <v>9</v>
      </c>
      <c r="E185" s="183" t="str">
        <f>VLOOKUP($D185,Summary!$K$43:$L$264,2,FALSE)</f>
        <v>Hydraulic</v>
      </c>
      <c r="F185" s="1" t="s">
        <v>23</v>
      </c>
      <c r="G185" s="5">
        <v>48.22</v>
      </c>
      <c r="H185" s="4" t="s">
        <v>119</v>
      </c>
      <c r="I185" s="8" t="s">
        <v>120</v>
      </c>
      <c r="J185" s="8">
        <v>4038575</v>
      </c>
      <c r="K185" s="8" t="s">
        <v>538</v>
      </c>
      <c r="L185" s="8" t="s">
        <v>543</v>
      </c>
      <c r="M185" s="10" t="s">
        <v>544</v>
      </c>
    </row>
    <row r="186" spans="1:13" ht="360" x14ac:dyDescent="0.25">
      <c r="A186" s="1">
        <v>185</v>
      </c>
      <c r="B186" s="1">
        <v>2020</v>
      </c>
      <c r="C186" s="130">
        <v>43858</v>
      </c>
      <c r="D186" s="6" t="s">
        <v>9</v>
      </c>
      <c r="E186" s="183" t="str">
        <f>VLOOKUP($D186,Summary!$K$43:$L$264,2,FALSE)</f>
        <v>Hydraulic</v>
      </c>
      <c r="F186" s="1">
        <v>331</v>
      </c>
      <c r="G186" s="5">
        <v>124.44</v>
      </c>
      <c r="H186" s="4" t="s">
        <v>119</v>
      </c>
      <c r="I186" s="8" t="s">
        <v>92</v>
      </c>
      <c r="J186" s="8">
        <v>4038583</v>
      </c>
      <c r="K186" s="8" t="s">
        <v>540</v>
      </c>
      <c r="L186" s="8" t="s">
        <v>545</v>
      </c>
      <c r="M186" s="10" t="s">
        <v>546</v>
      </c>
    </row>
    <row r="187" spans="1:13" ht="270" x14ac:dyDescent="0.25">
      <c r="A187" s="1">
        <v>186</v>
      </c>
      <c r="B187" s="1">
        <v>2020</v>
      </c>
      <c r="C187" s="130">
        <v>43897</v>
      </c>
      <c r="D187" s="6" t="s">
        <v>2</v>
      </c>
      <c r="E187" s="183" t="str">
        <f>VLOOKUP($D187,Summary!$K$43:$L$264,2,FALSE)</f>
        <v>Hydraulic</v>
      </c>
      <c r="F187" s="1" t="s">
        <v>23</v>
      </c>
      <c r="G187" s="5">
        <v>48.8</v>
      </c>
      <c r="H187" s="4" t="s">
        <v>121</v>
      </c>
      <c r="I187" s="8" t="s">
        <v>163</v>
      </c>
      <c r="J187" s="8">
        <v>1728652</v>
      </c>
      <c r="K187" s="8" t="s">
        <v>535</v>
      </c>
      <c r="L187" s="8" t="s">
        <v>536</v>
      </c>
      <c r="M187" s="10" t="s">
        <v>537</v>
      </c>
    </row>
    <row r="188" spans="1:13" x14ac:dyDescent="0.25">
      <c r="A188" s="1">
        <v>187</v>
      </c>
      <c r="B188" s="1">
        <v>2020</v>
      </c>
      <c r="C188" s="130">
        <v>43900</v>
      </c>
      <c r="D188" s="6" t="s">
        <v>17</v>
      </c>
      <c r="E188" s="183" t="str">
        <f>VLOOKUP($D188,Summary!$K$43:$L$264,2,FALSE)</f>
        <v>Hopper</v>
      </c>
      <c r="F188" s="1" t="s">
        <v>557</v>
      </c>
      <c r="G188" s="5">
        <v>45.8</v>
      </c>
      <c r="H188" s="4" t="s">
        <v>108</v>
      </c>
      <c r="I188" s="8" t="s">
        <v>72</v>
      </c>
      <c r="J188" s="14" t="s">
        <v>23</v>
      </c>
      <c r="K188" s="8" t="s">
        <v>552</v>
      </c>
      <c r="L188" s="8" t="s">
        <v>288</v>
      </c>
      <c r="M188" s="15" t="s">
        <v>272</v>
      </c>
    </row>
    <row r="189" spans="1:13" ht="30" x14ac:dyDescent="0.25">
      <c r="A189" s="1">
        <v>188</v>
      </c>
      <c r="B189" s="1">
        <v>2020</v>
      </c>
      <c r="C189" s="130">
        <v>43901</v>
      </c>
      <c r="D189" s="6">
        <v>55</v>
      </c>
      <c r="E189" s="183" t="str">
        <f>VLOOKUP($D189,Summary!$K$43:$L$264,2,FALSE)</f>
        <v>Mechanical</v>
      </c>
      <c r="F189" s="1" t="s">
        <v>23</v>
      </c>
      <c r="G189" s="5">
        <v>44.94</v>
      </c>
      <c r="H189" s="4" t="s">
        <v>129</v>
      </c>
      <c r="I189" s="8" t="s">
        <v>86</v>
      </c>
      <c r="J189" s="14" t="s">
        <v>23</v>
      </c>
      <c r="K189" s="8" t="s">
        <v>532</v>
      </c>
      <c r="L189" s="8" t="s">
        <v>288</v>
      </c>
      <c r="M189" s="15" t="s">
        <v>272</v>
      </c>
    </row>
    <row r="190" spans="1:13" x14ac:dyDescent="0.25">
      <c r="A190" s="1">
        <v>189</v>
      </c>
      <c r="B190" s="1">
        <v>2020</v>
      </c>
      <c r="C190" s="130">
        <v>43901</v>
      </c>
      <c r="D190" s="6" t="s">
        <v>18</v>
      </c>
      <c r="E190" s="183" t="str">
        <f>VLOOKUP($D190,Summary!$K$43:$L$264,2,FALSE)</f>
        <v>Hopper</v>
      </c>
      <c r="F190" s="1" t="s">
        <v>557</v>
      </c>
      <c r="G190" s="5">
        <v>29.1</v>
      </c>
      <c r="H190" s="4" t="s">
        <v>550</v>
      </c>
      <c r="I190" s="8" t="s">
        <v>551</v>
      </c>
      <c r="J190" s="14" t="s">
        <v>23</v>
      </c>
      <c r="K190" s="8" t="s">
        <v>23</v>
      </c>
      <c r="L190" s="8" t="s">
        <v>288</v>
      </c>
      <c r="M190" s="15" t="s">
        <v>272</v>
      </c>
    </row>
    <row r="191" spans="1:13" ht="75" x14ac:dyDescent="0.25">
      <c r="A191" s="1">
        <v>190</v>
      </c>
      <c r="B191" s="1">
        <v>2020</v>
      </c>
      <c r="C191" s="130">
        <v>43913</v>
      </c>
      <c r="D191" s="6" t="s">
        <v>17</v>
      </c>
      <c r="E191" s="183" t="str">
        <f>VLOOKUP($D191,Summary!$K$43:$L$264,2,FALSE)</f>
        <v>Hopper</v>
      </c>
      <c r="F191" s="1" t="s">
        <v>557</v>
      </c>
      <c r="G191" s="5">
        <v>26.3</v>
      </c>
      <c r="H191" s="4" t="s">
        <v>176</v>
      </c>
      <c r="I191" s="8" t="s">
        <v>72</v>
      </c>
      <c r="J191" s="8">
        <v>4070790</v>
      </c>
      <c r="K191" s="8" t="s">
        <v>553</v>
      </c>
      <c r="L191" s="8" t="s">
        <v>555</v>
      </c>
      <c r="M191" s="10" t="s">
        <v>556</v>
      </c>
    </row>
    <row r="192" spans="1:13" ht="45" x14ac:dyDescent="0.25">
      <c r="A192" s="1">
        <v>191</v>
      </c>
      <c r="B192" s="1">
        <v>2020</v>
      </c>
      <c r="C192" s="130">
        <v>43948</v>
      </c>
      <c r="D192" s="6" t="s">
        <v>3</v>
      </c>
      <c r="E192" s="183" t="str">
        <f>VLOOKUP($D192,Summary!$K$43:$L$264,2,FALSE)</f>
        <v>Hydraulic</v>
      </c>
      <c r="F192" s="1" t="s">
        <v>23</v>
      </c>
      <c r="G192" s="5">
        <v>42.03</v>
      </c>
      <c r="H192" s="4" t="s">
        <v>121</v>
      </c>
      <c r="I192" s="8" t="s">
        <v>97</v>
      </c>
      <c r="J192" s="16" t="s">
        <v>566</v>
      </c>
      <c r="K192" s="8" t="s">
        <v>562</v>
      </c>
      <c r="L192" s="8" t="s">
        <v>569</v>
      </c>
      <c r="M192" s="10" t="s">
        <v>278</v>
      </c>
    </row>
    <row r="193" spans="1:13" ht="60" x14ac:dyDescent="0.25">
      <c r="A193" s="1">
        <v>192</v>
      </c>
      <c r="B193" s="1">
        <v>2020</v>
      </c>
      <c r="C193" s="130">
        <v>43952</v>
      </c>
      <c r="D193" s="6" t="s">
        <v>3</v>
      </c>
      <c r="E193" s="183" t="str">
        <f>VLOOKUP($D193,Summary!$K$43:$L$264,2,FALSE)</f>
        <v>Hydraulic</v>
      </c>
      <c r="F193" s="1" t="s">
        <v>23</v>
      </c>
      <c r="G193" s="5">
        <v>40.909999999999997</v>
      </c>
      <c r="H193" s="4" t="s">
        <v>121</v>
      </c>
      <c r="I193" s="8" t="s">
        <v>92</v>
      </c>
      <c r="J193" s="16" t="s">
        <v>565</v>
      </c>
      <c r="K193" s="8" t="s">
        <v>561</v>
      </c>
      <c r="L193" s="8" t="s">
        <v>567</v>
      </c>
      <c r="M193" s="10" t="s">
        <v>568</v>
      </c>
    </row>
    <row r="194" spans="1:13" x14ac:dyDescent="0.25">
      <c r="A194" s="1">
        <v>193</v>
      </c>
      <c r="B194" s="1">
        <v>2020</v>
      </c>
      <c r="C194" s="130">
        <v>43964</v>
      </c>
      <c r="D194" s="6" t="s">
        <v>9</v>
      </c>
      <c r="E194" s="183" t="str">
        <f>VLOOKUP($D194,Summary!$K$43:$L$264,2,FALSE)</f>
        <v>Hydraulic</v>
      </c>
      <c r="F194" s="1">
        <v>347</v>
      </c>
      <c r="G194" s="5">
        <v>101.66</v>
      </c>
      <c r="H194" s="4" t="s">
        <v>119</v>
      </c>
      <c r="I194" s="8" t="s">
        <v>120</v>
      </c>
      <c r="J194" s="104" t="s">
        <v>23</v>
      </c>
      <c r="K194" s="8" t="s">
        <v>560</v>
      </c>
      <c r="L194" s="8" t="s">
        <v>288</v>
      </c>
      <c r="M194" s="15" t="s">
        <v>272</v>
      </c>
    </row>
    <row r="195" spans="1:13" ht="105" x14ac:dyDescent="0.25">
      <c r="A195" s="1">
        <v>194</v>
      </c>
      <c r="B195" s="1">
        <v>2020</v>
      </c>
      <c r="C195" s="130">
        <v>43965</v>
      </c>
      <c r="D195" s="6">
        <v>54</v>
      </c>
      <c r="E195" s="183" t="str">
        <f>VLOOKUP($D195,Summary!$K$43:$L$264,2,FALSE)</f>
        <v>Mechanical</v>
      </c>
      <c r="F195" s="1">
        <v>366</v>
      </c>
      <c r="G195" s="5">
        <v>29.91</v>
      </c>
      <c r="H195" s="4" t="s">
        <v>114</v>
      </c>
      <c r="I195" s="8" t="s">
        <v>85</v>
      </c>
      <c r="J195" s="8">
        <v>4799710</v>
      </c>
      <c r="K195" s="8" t="s">
        <v>559</v>
      </c>
      <c r="L195" s="8" t="s">
        <v>563</v>
      </c>
      <c r="M195" s="10" t="s">
        <v>564</v>
      </c>
    </row>
    <row r="196" spans="1:13" x14ac:dyDescent="0.25">
      <c r="A196" s="1">
        <v>195</v>
      </c>
      <c r="B196" s="1">
        <v>2020</v>
      </c>
      <c r="C196" s="130">
        <v>43985</v>
      </c>
      <c r="D196" s="6" t="s">
        <v>9</v>
      </c>
      <c r="E196" s="183" t="str">
        <f>VLOOKUP($D196,Summary!$K$43:$L$264,2,FALSE)</f>
        <v>Hydraulic</v>
      </c>
      <c r="F196" s="1">
        <v>355</v>
      </c>
      <c r="G196" s="5">
        <v>47.29</v>
      </c>
      <c r="H196" s="4" t="s">
        <v>117</v>
      </c>
      <c r="I196" s="8" t="s">
        <v>558</v>
      </c>
      <c r="J196" s="104" t="s">
        <v>23</v>
      </c>
      <c r="K196" s="8" t="s">
        <v>23</v>
      </c>
      <c r="L196" s="8" t="s">
        <v>288</v>
      </c>
      <c r="M196" s="15" t="s">
        <v>272</v>
      </c>
    </row>
    <row r="197" spans="1:13" x14ac:dyDescent="0.25">
      <c r="A197" s="1">
        <v>196</v>
      </c>
      <c r="B197" s="1">
        <v>2020</v>
      </c>
      <c r="C197" s="130">
        <v>44001</v>
      </c>
      <c r="D197" s="6" t="s">
        <v>9</v>
      </c>
      <c r="E197" s="183" t="str">
        <f>VLOOKUP($D197,Summary!$K$43:$L$264,2,FALSE)</f>
        <v>Hydraulic</v>
      </c>
      <c r="F197" s="1">
        <v>354</v>
      </c>
      <c r="G197" s="5">
        <v>143.19</v>
      </c>
      <c r="H197" s="4" t="s">
        <v>121</v>
      </c>
      <c r="I197" s="8" t="s">
        <v>92</v>
      </c>
      <c r="J197" s="104" t="s">
        <v>23</v>
      </c>
      <c r="K197" s="8" t="s">
        <v>23</v>
      </c>
      <c r="L197" s="8" t="s">
        <v>288</v>
      </c>
      <c r="M197" s="15" t="s">
        <v>272</v>
      </c>
    </row>
    <row r="198" spans="1:13" ht="60" x14ac:dyDescent="0.25">
      <c r="A198" s="1">
        <v>197</v>
      </c>
      <c r="B198" s="1">
        <v>2020</v>
      </c>
      <c r="C198" s="130">
        <v>44038</v>
      </c>
      <c r="D198" s="6" t="s">
        <v>3</v>
      </c>
      <c r="E198" s="183" t="str">
        <f>VLOOKUP($D198,Summary!$K$43:$L$264,2,FALSE)</f>
        <v>Hydraulic</v>
      </c>
      <c r="F198" s="1" t="s">
        <v>23</v>
      </c>
      <c r="G198" s="5">
        <v>67.198888888873626</v>
      </c>
      <c r="H198" s="4" t="s">
        <v>117</v>
      </c>
      <c r="I198" s="8" t="s">
        <v>163</v>
      </c>
      <c r="J198" s="8">
        <v>4801646</v>
      </c>
      <c r="K198" s="8" t="s">
        <v>23</v>
      </c>
      <c r="L198" s="8" t="s">
        <v>578</v>
      </c>
      <c r="M198" s="10" t="s">
        <v>579</v>
      </c>
    </row>
    <row r="199" spans="1:13" ht="409.5" x14ac:dyDescent="0.25">
      <c r="A199" s="1">
        <v>198</v>
      </c>
      <c r="B199" s="1">
        <v>2020</v>
      </c>
      <c r="C199" s="130">
        <v>44050</v>
      </c>
      <c r="D199" s="6" t="s">
        <v>9</v>
      </c>
      <c r="E199" s="183" t="str">
        <f>VLOOKUP($D199,Summary!$K$43:$L$264,2,FALSE)</f>
        <v>Hydraulic</v>
      </c>
      <c r="F199" s="1" t="s">
        <v>23</v>
      </c>
      <c r="G199" s="5">
        <v>46.077500000072177</v>
      </c>
      <c r="H199" s="4" t="s">
        <v>570</v>
      </c>
      <c r="I199" s="8" t="s">
        <v>571</v>
      </c>
      <c r="J199" s="8">
        <v>4038753</v>
      </c>
      <c r="K199" s="8" t="s">
        <v>23</v>
      </c>
      <c r="L199" s="8" t="s">
        <v>580</v>
      </c>
      <c r="M199" s="10" t="s">
        <v>581</v>
      </c>
    </row>
    <row r="200" spans="1:13" x14ac:dyDescent="0.25">
      <c r="A200" s="1">
        <v>199</v>
      </c>
      <c r="B200" s="1">
        <v>2020</v>
      </c>
      <c r="C200" s="130">
        <v>44061</v>
      </c>
      <c r="D200" s="6">
        <v>53</v>
      </c>
      <c r="E200" s="183" t="str">
        <f>VLOOKUP($D200,Summary!$K$43:$L$264,2,FALSE)</f>
        <v>Mechanical</v>
      </c>
      <c r="G200" s="5">
        <v>23.999722222157288</v>
      </c>
      <c r="H200" s="4" t="s">
        <v>113</v>
      </c>
      <c r="I200" s="8" t="s">
        <v>593</v>
      </c>
      <c r="J200" s="14" t="s">
        <v>23</v>
      </c>
      <c r="K200" s="8" t="s">
        <v>594</v>
      </c>
      <c r="L200" s="8" t="s">
        <v>288</v>
      </c>
      <c r="M200" s="15" t="s">
        <v>272</v>
      </c>
    </row>
    <row r="201" spans="1:13" x14ac:dyDescent="0.25">
      <c r="A201" s="1">
        <v>200</v>
      </c>
      <c r="B201" s="1">
        <v>2020</v>
      </c>
      <c r="C201" s="130">
        <v>44063</v>
      </c>
      <c r="D201" s="6" t="s">
        <v>18</v>
      </c>
      <c r="E201" s="183" t="str">
        <f>VLOOKUP($D201,Summary!$K$43:$L$264,2,FALSE)</f>
        <v>Hopper</v>
      </c>
      <c r="G201" s="5">
        <v>201.77</v>
      </c>
      <c r="H201" s="4" t="s">
        <v>69</v>
      </c>
      <c r="I201" s="8" t="s">
        <v>181</v>
      </c>
      <c r="J201" s="14" t="s">
        <v>23</v>
      </c>
      <c r="K201" s="8" t="s">
        <v>577</v>
      </c>
      <c r="L201" s="8" t="s">
        <v>288</v>
      </c>
      <c r="M201" s="15" t="s">
        <v>272</v>
      </c>
    </row>
    <row r="202" spans="1:13" ht="45" x14ac:dyDescent="0.25">
      <c r="A202" s="1">
        <v>201</v>
      </c>
      <c r="B202" s="1">
        <v>2020</v>
      </c>
      <c r="C202" s="130">
        <v>44065</v>
      </c>
      <c r="D202" s="6" t="s">
        <v>3</v>
      </c>
      <c r="E202" s="183" t="str">
        <f>VLOOKUP($D202,Summary!$K$43:$L$264,2,FALSE)</f>
        <v>Hydraulic</v>
      </c>
      <c r="F202" s="1" t="s">
        <v>23</v>
      </c>
      <c r="G202" s="5">
        <v>40.062500000058208</v>
      </c>
      <c r="H202" s="4" t="s">
        <v>119</v>
      </c>
      <c r="I202" s="8" t="s">
        <v>102</v>
      </c>
      <c r="J202" s="8">
        <v>792338</v>
      </c>
      <c r="K202" s="8" t="s">
        <v>572</v>
      </c>
      <c r="L202" s="8" t="s">
        <v>582</v>
      </c>
      <c r="M202" s="10" t="s">
        <v>583</v>
      </c>
    </row>
    <row r="203" spans="1:13" ht="165" x14ac:dyDescent="0.25">
      <c r="A203" s="1">
        <v>202</v>
      </c>
      <c r="B203" s="1">
        <v>2020</v>
      </c>
      <c r="C203" s="130">
        <v>44065</v>
      </c>
      <c r="D203" s="6" t="s">
        <v>9</v>
      </c>
      <c r="E203" s="183" t="str">
        <f>VLOOKUP($D203,Summary!$K$43:$L$264,2,FALSE)</f>
        <v>Hydraulic</v>
      </c>
      <c r="F203" s="1">
        <v>361</v>
      </c>
      <c r="G203" s="5">
        <v>27.066388889041264</v>
      </c>
      <c r="H203" s="4" t="s">
        <v>119</v>
      </c>
      <c r="I203" s="8" t="s">
        <v>573</v>
      </c>
      <c r="J203" s="8">
        <v>4038781</v>
      </c>
      <c r="K203" s="8" t="s">
        <v>574</v>
      </c>
      <c r="L203" s="8" t="s">
        <v>584</v>
      </c>
      <c r="M203" s="10" t="s">
        <v>585</v>
      </c>
    </row>
    <row r="204" spans="1:13" x14ac:dyDescent="0.25">
      <c r="A204" s="1">
        <v>203</v>
      </c>
      <c r="B204" s="1">
        <v>2020</v>
      </c>
      <c r="C204" s="130">
        <v>44066</v>
      </c>
      <c r="D204" s="6">
        <v>54</v>
      </c>
      <c r="E204" s="183" t="str">
        <f>VLOOKUP($D204,Summary!$K$43:$L$264,2,FALSE)</f>
        <v>Mechanical</v>
      </c>
      <c r="F204" s="1" t="s">
        <v>23</v>
      </c>
      <c r="G204" s="5">
        <v>117.29638888884801</v>
      </c>
      <c r="H204" s="4" t="s">
        <v>110</v>
      </c>
      <c r="I204" s="8" t="s">
        <v>78</v>
      </c>
      <c r="J204" s="8">
        <v>4251786</v>
      </c>
      <c r="K204" s="8" t="s">
        <v>595</v>
      </c>
      <c r="L204" s="8" t="s">
        <v>612</v>
      </c>
      <c r="M204" s="10" t="s">
        <v>613</v>
      </c>
    </row>
    <row r="205" spans="1:13" ht="30" x14ac:dyDescent="0.25">
      <c r="A205" s="1">
        <v>204</v>
      </c>
      <c r="B205" s="1">
        <v>2020</v>
      </c>
      <c r="C205" s="130">
        <v>44071</v>
      </c>
      <c r="D205" s="6" t="s">
        <v>3</v>
      </c>
      <c r="E205" s="183" t="str">
        <f>VLOOKUP($D205,Summary!$K$43:$L$264,2,FALSE)</f>
        <v>Hydraulic</v>
      </c>
      <c r="F205" s="1" t="s">
        <v>23</v>
      </c>
      <c r="G205" s="5">
        <v>31.669722222082783</v>
      </c>
      <c r="H205" s="4" t="s">
        <v>117</v>
      </c>
      <c r="I205" s="8" t="s">
        <v>575</v>
      </c>
      <c r="J205" s="8">
        <v>4802045</v>
      </c>
      <c r="K205" s="8" t="s">
        <v>576</v>
      </c>
      <c r="L205" s="8" t="s">
        <v>586</v>
      </c>
      <c r="M205" s="10" t="s">
        <v>587</v>
      </c>
    </row>
    <row r="206" spans="1:13" x14ac:dyDescent="0.25">
      <c r="A206" s="1">
        <v>205</v>
      </c>
      <c r="B206" s="1">
        <v>2020</v>
      </c>
      <c r="C206" s="130">
        <v>44072</v>
      </c>
      <c r="D206" s="6" t="s">
        <v>18</v>
      </c>
      <c r="E206" s="183" t="str">
        <f>VLOOKUP($D206,Summary!$K$43:$L$264,2,FALSE)</f>
        <v>Hopper</v>
      </c>
      <c r="F206" s="1" t="s">
        <v>23</v>
      </c>
      <c r="G206" s="5">
        <v>201.77</v>
      </c>
      <c r="H206" s="4" t="s">
        <v>69</v>
      </c>
      <c r="I206" s="8" t="s">
        <v>181</v>
      </c>
      <c r="J206" s="14" t="s">
        <v>23</v>
      </c>
      <c r="K206" s="8" t="s">
        <v>577</v>
      </c>
      <c r="L206" s="8" t="s">
        <v>288</v>
      </c>
      <c r="M206" s="15" t="s">
        <v>272</v>
      </c>
    </row>
    <row r="207" spans="1:13" x14ac:dyDescent="0.25">
      <c r="A207" s="1">
        <v>206</v>
      </c>
      <c r="B207" s="1">
        <v>2020</v>
      </c>
      <c r="C207" s="130">
        <v>44077</v>
      </c>
      <c r="D207" s="6">
        <v>53</v>
      </c>
      <c r="E207" s="183" t="str">
        <f>VLOOKUP($D207,Summary!$K$43:$L$264,2,FALSE)</f>
        <v>Mechanical</v>
      </c>
      <c r="F207" s="1" t="s">
        <v>639</v>
      </c>
      <c r="G207" s="5">
        <v>27.058055555680767</v>
      </c>
      <c r="H207" s="4" t="s">
        <v>129</v>
      </c>
      <c r="I207" s="8" t="s">
        <v>79</v>
      </c>
      <c r="J207" s="14" t="s">
        <v>23</v>
      </c>
      <c r="K207" s="8" t="s">
        <v>23</v>
      </c>
      <c r="L207" s="8" t="s">
        <v>288</v>
      </c>
      <c r="M207" s="15" t="s">
        <v>272</v>
      </c>
    </row>
    <row r="208" spans="1:13" ht="75" x14ac:dyDescent="0.25">
      <c r="A208" s="1">
        <v>207</v>
      </c>
      <c r="B208" s="1">
        <v>2020</v>
      </c>
      <c r="C208" s="130">
        <v>44098</v>
      </c>
      <c r="D208" s="6" t="s">
        <v>2</v>
      </c>
      <c r="E208" s="183" t="str">
        <f>VLOOKUP($D208,Summary!$K$43:$L$264,2,FALSE)</f>
        <v>Hydraulic</v>
      </c>
      <c r="F208" s="1">
        <v>368</v>
      </c>
      <c r="G208" s="5">
        <v>243.1527777776937</v>
      </c>
      <c r="H208" s="4" t="s">
        <v>121</v>
      </c>
      <c r="I208" s="8" t="s">
        <v>596</v>
      </c>
      <c r="J208" s="8">
        <v>4802724</v>
      </c>
      <c r="K208" s="8" t="s">
        <v>597</v>
      </c>
      <c r="L208" s="8" t="s">
        <v>614</v>
      </c>
      <c r="M208" s="10" t="s">
        <v>615</v>
      </c>
    </row>
    <row r="209" spans="1:13" ht="409.5" x14ac:dyDescent="0.25">
      <c r="A209" s="1">
        <v>208</v>
      </c>
      <c r="B209" s="1">
        <v>2020</v>
      </c>
      <c r="C209" s="130">
        <v>44117</v>
      </c>
      <c r="D209" s="6" t="s">
        <v>19</v>
      </c>
      <c r="E209" s="183" t="str">
        <f>VLOOKUP($D209,Summary!$K$43:$L$264,2,FALSE)</f>
        <v>Hopper</v>
      </c>
      <c r="F209" s="1">
        <v>375</v>
      </c>
      <c r="G209" s="5">
        <v>130.53</v>
      </c>
      <c r="H209" s="4" t="s">
        <v>69</v>
      </c>
      <c r="I209" s="8" t="s">
        <v>72</v>
      </c>
      <c r="J209" s="8">
        <v>850561</v>
      </c>
      <c r="K209" s="8" t="s">
        <v>604</v>
      </c>
      <c r="L209" s="8" t="s">
        <v>616</v>
      </c>
      <c r="M209" s="10" t="s">
        <v>635</v>
      </c>
    </row>
    <row r="210" spans="1:13" ht="195" x14ac:dyDescent="0.25">
      <c r="A210" s="1">
        <v>209</v>
      </c>
      <c r="B210" s="1">
        <v>2020</v>
      </c>
      <c r="C210" s="130">
        <v>44119</v>
      </c>
      <c r="D210" s="6" t="s">
        <v>9</v>
      </c>
      <c r="E210" s="183" t="str">
        <f>VLOOKUP($D210,Summary!$K$43:$L$264,2,FALSE)</f>
        <v>Hydraulic</v>
      </c>
      <c r="F210" s="1" t="s">
        <v>23</v>
      </c>
      <c r="G210" s="5">
        <v>61.499444444314577</v>
      </c>
      <c r="H210" s="4" t="s">
        <v>121</v>
      </c>
      <c r="I210" s="8" t="s">
        <v>596</v>
      </c>
      <c r="J210" s="8">
        <v>4803118</v>
      </c>
      <c r="K210" s="8" t="s">
        <v>23</v>
      </c>
      <c r="L210" s="8" t="s">
        <v>617</v>
      </c>
      <c r="M210" s="10" t="s">
        <v>618</v>
      </c>
    </row>
    <row r="211" spans="1:13" ht="30" x14ac:dyDescent="0.25">
      <c r="A211" s="1">
        <v>210</v>
      </c>
      <c r="B211" s="1">
        <v>2020</v>
      </c>
      <c r="C211" s="130">
        <v>44122</v>
      </c>
      <c r="D211" s="6" t="s">
        <v>10</v>
      </c>
      <c r="E211" s="183" t="str">
        <f>VLOOKUP($D211,Summary!$K$43:$L$264,2,FALSE)</f>
        <v>Hydraulic</v>
      </c>
      <c r="F211" s="1" t="s">
        <v>23</v>
      </c>
      <c r="G211" s="5">
        <v>62.895000000076834</v>
      </c>
      <c r="H211" s="4" t="s">
        <v>570</v>
      </c>
      <c r="I211" s="8" t="s">
        <v>571</v>
      </c>
      <c r="J211" s="14" t="s">
        <v>23</v>
      </c>
      <c r="K211" s="8" t="s">
        <v>598</v>
      </c>
      <c r="L211" s="8" t="s">
        <v>288</v>
      </c>
      <c r="M211" s="15" t="s">
        <v>272</v>
      </c>
    </row>
    <row r="212" spans="1:13" x14ac:dyDescent="0.25">
      <c r="A212" s="1">
        <v>211</v>
      </c>
      <c r="B212" s="1">
        <v>2020</v>
      </c>
      <c r="C212" s="130">
        <v>44125</v>
      </c>
      <c r="D212" s="6">
        <v>54</v>
      </c>
      <c r="E212" s="183" t="str">
        <f>VLOOKUP($D212,Summary!$K$43:$L$264,2,FALSE)</f>
        <v>Mechanical</v>
      </c>
      <c r="F212" s="1" t="s">
        <v>639</v>
      </c>
      <c r="G212" s="5">
        <v>94.386666666716337</v>
      </c>
      <c r="H212" s="4" t="s">
        <v>113</v>
      </c>
      <c r="I212" s="8" t="s">
        <v>599</v>
      </c>
      <c r="J212" s="14" t="s">
        <v>23</v>
      </c>
      <c r="K212" s="8" t="s">
        <v>600</v>
      </c>
      <c r="L212" s="8" t="s">
        <v>288</v>
      </c>
      <c r="M212" s="15" t="s">
        <v>272</v>
      </c>
    </row>
    <row r="213" spans="1:13" ht="30" x14ac:dyDescent="0.25">
      <c r="A213" s="1">
        <v>212</v>
      </c>
      <c r="B213" s="1">
        <v>2020</v>
      </c>
      <c r="C213" s="130">
        <v>44126</v>
      </c>
      <c r="D213" s="6" t="s">
        <v>2</v>
      </c>
      <c r="E213" s="183" t="str">
        <f>VLOOKUP($D213,Summary!$K$43:$L$264,2,FALSE)</f>
        <v>Hydraulic</v>
      </c>
      <c r="F213" s="1" t="s">
        <v>23</v>
      </c>
      <c r="G213" s="5">
        <v>67.445833333418705</v>
      </c>
      <c r="H213" s="4" t="s">
        <v>121</v>
      </c>
      <c r="I213" s="8" t="s">
        <v>596</v>
      </c>
      <c r="J213" s="8">
        <v>1747550</v>
      </c>
      <c r="K213" s="8" t="s">
        <v>601</v>
      </c>
      <c r="L213" s="8" t="s">
        <v>254</v>
      </c>
      <c r="M213" s="15" t="s">
        <v>254</v>
      </c>
    </row>
    <row r="214" spans="1:13" ht="30" x14ac:dyDescent="0.25">
      <c r="A214" s="1">
        <v>213</v>
      </c>
      <c r="B214" s="1">
        <v>2020</v>
      </c>
      <c r="C214" s="130">
        <v>44140</v>
      </c>
      <c r="D214" s="6" t="s">
        <v>10</v>
      </c>
      <c r="E214" s="183" t="str">
        <f>VLOOKUP($D214,Summary!$K$43:$L$264,2,FALSE)</f>
        <v>Hydraulic</v>
      </c>
      <c r="F214" s="1" t="s">
        <v>23</v>
      </c>
      <c r="G214" s="5">
        <v>72.470555555541068</v>
      </c>
      <c r="H214" s="4" t="s">
        <v>117</v>
      </c>
      <c r="I214" s="8" t="s">
        <v>596</v>
      </c>
      <c r="J214" s="8">
        <v>4803593</v>
      </c>
      <c r="K214" s="8" t="s">
        <v>23</v>
      </c>
      <c r="L214" s="8" t="s">
        <v>619</v>
      </c>
      <c r="M214" s="10" t="s">
        <v>620</v>
      </c>
    </row>
    <row r="215" spans="1:13" x14ac:dyDescent="0.25">
      <c r="A215" s="1">
        <v>214</v>
      </c>
      <c r="B215" s="1">
        <v>2020</v>
      </c>
      <c r="C215" s="130">
        <v>44143</v>
      </c>
      <c r="D215" s="6" t="s">
        <v>10</v>
      </c>
      <c r="E215" s="183" t="str">
        <f>VLOOKUP($D215,Summary!$K$43:$L$264,2,FALSE)</f>
        <v>Hydraulic</v>
      </c>
      <c r="F215" s="1" t="s">
        <v>23</v>
      </c>
      <c r="G215" s="5">
        <v>29.892499999841675</v>
      </c>
      <c r="H215" s="4" t="s">
        <v>123</v>
      </c>
      <c r="I215" s="8" t="s">
        <v>79</v>
      </c>
      <c r="J215" s="14" t="s">
        <v>23</v>
      </c>
      <c r="K215" s="8" t="s">
        <v>23</v>
      </c>
      <c r="L215" s="8" t="s">
        <v>288</v>
      </c>
      <c r="M215" s="15" t="s">
        <v>272</v>
      </c>
    </row>
    <row r="216" spans="1:13" x14ac:dyDescent="0.25">
      <c r="A216" s="1">
        <v>215</v>
      </c>
      <c r="B216" s="1">
        <v>2020</v>
      </c>
      <c r="C216" s="130">
        <v>44146</v>
      </c>
      <c r="D216" s="6" t="s">
        <v>19</v>
      </c>
      <c r="E216" s="183" t="str">
        <f>VLOOKUP($D216,Summary!$K$43:$L$264,2,FALSE)</f>
        <v>Hopper</v>
      </c>
      <c r="F216" s="1" t="s">
        <v>639</v>
      </c>
      <c r="G216" s="5">
        <v>30.64</v>
      </c>
      <c r="H216" s="4" t="s">
        <v>72</v>
      </c>
      <c r="I216" s="8" t="s">
        <v>74</v>
      </c>
      <c r="J216" s="14" t="s">
        <v>23</v>
      </c>
      <c r="K216" s="8" t="s">
        <v>23</v>
      </c>
      <c r="L216" s="8" t="s">
        <v>288</v>
      </c>
      <c r="M216" s="15" t="s">
        <v>272</v>
      </c>
    </row>
    <row r="217" spans="1:13" ht="90" x14ac:dyDescent="0.25">
      <c r="A217" s="1">
        <v>216</v>
      </c>
      <c r="B217" s="1">
        <v>2020</v>
      </c>
      <c r="C217" s="130">
        <v>44152</v>
      </c>
      <c r="D217" s="6" t="s">
        <v>2</v>
      </c>
      <c r="E217" s="183" t="str">
        <f>VLOOKUP($D217,Summary!$K$43:$L$264,2,FALSE)</f>
        <v>Hydraulic</v>
      </c>
      <c r="F217" s="1" t="s">
        <v>23</v>
      </c>
      <c r="G217" s="5">
        <v>33.39055555552477</v>
      </c>
      <c r="H217" s="4" t="s">
        <v>117</v>
      </c>
      <c r="I217" s="8" t="s">
        <v>98</v>
      </c>
      <c r="J217" s="8">
        <v>1728852</v>
      </c>
      <c r="K217" s="8" t="s">
        <v>23</v>
      </c>
      <c r="L217" s="8" t="s">
        <v>621</v>
      </c>
      <c r="M217" s="10" t="s">
        <v>622</v>
      </c>
    </row>
    <row r="218" spans="1:13" ht="285" x14ac:dyDescent="0.25">
      <c r="A218" s="1">
        <v>217</v>
      </c>
      <c r="B218" s="1">
        <v>2020</v>
      </c>
      <c r="C218" s="130">
        <v>44157</v>
      </c>
      <c r="D218" s="6" t="s">
        <v>19</v>
      </c>
      <c r="E218" s="183" t="str">
        <f>VLOOKUP($D218,Summary!$K$43:$L$264,2,FALSE)</f>
        <v>Hopper</v>
      </c>
      <c r="F218" s="1" t="s">
        <v>639</v>
      </c>
      <c r="G218" s="5">
        <v>34.72</v>
      </c>
      <c r="H218" s="4" t="s">
        <v>176</v>
      </c>
      <c r="I218" s="8" t="s">
        <v>177</v>
      </c>
      <c r="J218" s="8">
        <v>850650</v>
      </c>
      <c r="K218" s="8" t="s">
        <v>603</v>
      </c>
      <c r="L218" s="8" t="s">
        <v>623</v>
      </c>
      <c r="M218" s="10" t="s">
        <v>624</v>
      </c>
    </row>
    <row r="219" spans="1:13" x14ac:dyDescent="0.25">
      <c r="A219" s="1">
        <v>218</v>
      </c>
      <c r="B219" s="1">
        <v>2020</v>
      </c>
      <c r="C219" s="130">
        <v>44157</v>
      </c>
      <c r="D219" s="6" t="s">
        <v>19</v>
      </c>
      <c r="E219" s="183" t="str">
        <f>VLOOKUP($D219,Summary!$K$43:$L$264,2,FALSE)</f>
        <v>Hopper</v>
      </c>
      <c r="F219" s="1" t="s">
        <v>23</v>
      </c>
      <c r="G219" s="5">
        <v>51.76</v>
      </c>
      <c r="H219" s="4" t="s">
        <v>69</v>
      </c>
      <c r="I219" s="8" t="s">
        <v>177</v>
      </c>
      <c r="J219" s="14" t="s">
        <v>23</v>
      </c>
      <c r="K219" s="8" t="s">
        <v>23</v>
      </c>
      <c r="L219" s="8" t="s">
        <v>288</v>
      </c>
      <c r="M219" s="15" t="s">
        <v>272</v>
      </c>
    </row>
    <row r="220" spans="1:13" ht="90" x14ac:dyDescent="0.25">
      <c r="A220" s="1">
        <v>219</v>
      </c>
      <c r="B220" s="1">
        <v>2020</v>
      </c>
      <c r="C220" s="130">
        <v>44159</v>
      </c>
      <c r="D220" s="6" t="s">
        <v>10</v>
      </c>
      <c r="E220" s="183" t="str">
        <f>VLOOKUP($D220,Summary!$K$43:$L$264,2,FALSE)</f>
        <v>Hydraulic</v>
      </c>
      <c r="F220" s="1" t="s">
        <v>23</v>
      </c>
      <c r="G220" s="5">
        <v>87.834999999962747</v>
      </c>
      <c r="H220" s="4" t="s">
        <v>117</v>
      </c>
      <c r="I220" s="8" t="s">
        <v>181</v>
      </c>
      <c r="J220" s="14" t="s">
        <v>23</v>
      </c>
      <c r="K220" s="8" t="s">
        <v>602</v>
      </c>
      <c r="L220" s="8" t="s">
        <v>288</v>
      </c>
      <c r="M220" s="15" t="s">
        <v>272</v>
      </c>
    </row>
    <row r="221" spans="1:13" x14ac:dyDescent="0.25">
      <c r="A221" s="1">
        <v>220</v>
      </c>
      <c r="B221" s="1">
        <v>2020</v>
      </c>
      <c r="C221" s="130">
        <v>44163</v>
      </c>
      <c r="D221" s="6" t="s">
        <v>19</v>
      </c>
      <c r="E221" s="183" t="str">
        <f>VLOOKUP($D221,Summary!$K$43:$L$264,2,FALSE)</f>
        <v>Hopper</v>
      </c>
      <c r="F221" s="1" t="s">
        <v>639</v>
      </c>
      <c r="G221" s="5">
        <v>25.13</v>
      </c>
      <c r="H221" s="4" t="s">
        <v>103</v>
      </c>
      <c r="I221" s="8" t="s">
        <v>72</v>
      </c>
      <c r="J221" s="14" t="s">
        <v>23</v>
      </c>
      <c r="K221" s="8" t="s">
        <v>634</v>
      </c>
      <c r="L221" s="8" t="s">
        <v>288</v>
      </c>
      <c r="M221" s="15" t="s">
        <v>272</v>
      </c>
    </row>
    <row r="222" spans="1:13" ht="75" x14ac:dyDescent="0.25">
      <c r="A222" s="1">
        <v>221</v>
      </c>
      <c r="B222" s="1">
        <v>2020</v>
      </c>
      <c r="C222" s="130">
        <v>44166</v>
      </c>
      <c r="D222" s="6" t="s">
        <v>22</v>
      </c>
      <c r="E222" s="183" t="str">
        <f>VLOOKUP($D222,Summary!$K$43:$L$264,2,FALSE)</f>
        <v>Hopper</v>
      </c>
      <c r="F222" s="1" t="s">
        <v>639</v>
      </c>
      <c r="G222" s="5">
        <v>43.692499999946449</v>
      </c>
      <c r="H222" s="4" t="s">
        <v>103</v>
      </c>
      <c r="I222" s="8" t="s">
        <v>72</v>
      </c>
      <c r="J222" s="14" t="s">
        <v>627</v>
      </c>
      <c r="K222" s="8" t="s">
        <v>628</v>
      </c>
      <c r="L222" s="8" t="s">
        <v>288</v>
      </c>
      <c r="M222" s="15" t="s">
        <v>272</v>
      </c>
    </row>
    <row r="223" spans="1:13" x14ac:dyDescent="0.25">
      <c r="A223" s="1">
        <v>222</v>
      </c>
      <c r="B223" s="1">
        <v>2020</v>
      </c>
      <c r="C223" s="130">
        <v>44173</v>
      </c>
      <c r="D223" s="6" t="s">
        <v>626</v>
      </c>
      <c r="E223" s="183" t="str">
        <f>VLOOKUP($D223,Summary!$K$43:$L$264,2,FALSE)</f>
        <v>Mechanical</v>
      </c>
      <c r="F223" s="1" t="s">
        <v>639</v>
      </c>
      <c r="G223" s="5">
        <v>26.165277777705342</v>
      </c>
      <c r="H223" s="4" t="s">
        <v>629</v>
      </c>
      <c r="I223" s="8" t="s">
        <v>630</v>
      </c>
      <c r="J223" s="14" t="s">
        <v>23</v>
      </c>
      <c r="K223" s="8" t="s">
        <v>631</v>
      </c>
      <c r="L223" s="8" t="s">
        <v>288</v>
      </c>
      <c r="M223" s="15" t="s">
        <v>272</v>
      </c>
    </row>
    <row r="224" spans="1:13" x14ac:dyDescent="0.25">
      <c r="A224" s="1">
        <v>223</v>
      </c>
      <c r="B224" s="1">
        <v>2020</v>
      </c>
      <c r="C224" s="130">
        <v>44182</v>
      </c>
      <c r="D224" s="6" t="s">
        <v>10</v>
      </c>
      <c r="E224" s="183" t="str">
        <f>VLOOKUP($D224,Summary!$K$43:$L$264,2,FALSE)</f>
        <v>Hydraulic</v>
      </c>
      <c r="F224" s="1" t="s">
        <v>23</v>
      </c>
      <c r="G224" s="5">
        <v>25.983333333337214</v>
      </c>
      <c r="H224" s="4" t="s">
        <v>121</v>
      </c>
      <c r="I224" s="8" t="s">
        <v>575</v>
      </c>
      <c r="J224" s="14" t="s">
        <v>23</v>
      </c>
      <c r="K224" s="8" t="s">
        <v>23</v>
      </c>
      <c r="L224" s="8" t="s">
        <v>288</v>
      </c>
      <c r="M224" s="15" t="s">
        <v>272</v>
      </c>
    </row>
    <row r="225" spans="1:13" x14ac:dyDescent="0.25">
      <c r="A225" s="1">
        <v>224</v>
      </c>
      <c r="B225" s="1">
        <v>2020</v>
      </c>
      <c r="C225" s="130">
        <v>44192</v>
      </c>
      <c r="D225" s="6" t="s">
        <v>626</v>
      </c>
      <c r="E225" s="183" t="str">
        <f>VLOOKUP($D225,Summary!$K$43:$L$264,2,FALSE)</f>
        <v>Mechanical</v>
      </c>
      <c r="F225" s="1">
        <v>383</v>
      </c>
      <c r="G225" s="5">
        <v>43.727500000095461</v>
      </c>
      <c r="H225" s="4" t="s">
        <v>114</v>
      </c>
      <c r="I225" s="8" t="s">
        <v>632</v>
      </c>
      <c r="J225" s="14" t="s">
        <v>23</v>
      </c>
      <c r="K225" s="8" t="s">
        <v>633</v>
      </c>
      <c r="L225" s="8" t="s">
        <v>288</v>
      </c>
      <c r="M225" s="15" t="s">
        <v>272</v>
      </c>
    </row>
    <row r="226" spans="1:13" ht="90" x14ac:dyDescent="0.25">
      <c r="A226" s="1">
        <v>225</v>
      </c>
      <c r="B226" s="1">
        <v>2021</v>
      </c>
      <c r="C226" s="130">
        <v>44199</v>
      </c>
      <c r="D226" s="6">
        <v>53</v>
      </c>
      <c r="E226" s="183" t="str">
        <f>VLOOKUP($D226,Summary!$K$43:$L$264,2,FALSE)</f>
        <v>Mechanical</v>
      </c>
      <c r="F226" s="1" t="s">
        <v>639</v>
      </c>
      <c r="G226" s="5">
        <v>24.064166666823439</v>
      </c>
      <c r="H226" s="4" t="s">
        <v>129</v>
      </c>
      <c r="I226" s="8" t="s">
        <v>79</v>
      </c>
      <c r="J226" s="18">
        <v>1750884</v>
      </c>
      <c r="K226" s="8" t="s">
        <v>637</v>
      </c>
      <c r="L226" s="8" t="s">
        <v>254</v>
      </c>
      <c r="M226" s="15" t="s">
        <v>254</v>
      </c>
    </row>
    <row r="227" spans="1:13" x14ac:dyDescent="0.25">
      <c r="A227" s="1">
        <v>226</v>
      </c>
      <c r="B227" s="1">
        <v>2021</v>
      </c>
      <c r="C227" s="130">
        <v>44213</v>
      </c>
      <c r="D227" s="6">
        <v>54</v>
      </c>
      <c r="E227" s="183" t="str">
        <f>VLOOKUP($D227,Summary!$K$43:$L$264,2,FALSE)</f>
        <v>Mechanical</v>
      </c>
      <c r="F227" s="1">
        <v>385</v>
      </c>
      <c r="G227" s="5">
        <v>33.933333333407063</v>
      </c>
      <c r="H227" s="4" t="s">
        <v>110</v>
      </c>
      <c r="I227" s="8" t="s">
        <v>78</v>
      </c>
      <c r="J227" s="14" t="s">
        <v>23</v>
      </c>
      <c r="K227" s="8" t="s">
        <v>23</v>
      </c>
      <c r="L227" s="8" t="s">
        <v>288</v>
      </c>
      <c r="M227" s="15" t="s">
        <v>272</v>
      </c>
    </row>
    <row r="228" spans="1:13" x14ac:dyDescent="0.25">
      <c r="A228" s="1">
        <v>227</v>
      </c>
      <c r="B228" s="1">
        <v>2021</v>
      </c>
      <c r="C228" s="130">
        <v>44226</v>
      </c>
      <c r="D228" s="6" t="s">
        <v>3</v>
      </c>
      <c r="E228" s="183" t="str">
        <f>VLOOKUP($D228,Summary!$K$43:$L$264,2,FALSE)</f>
        <v>Hydraulic</v>
      </c>
      <c r="F228" s="1" t="s">
        <v>23</v>
      </c>
      <c r="G228" s="5">
        <v>27.261111111205537</v>
      </c>
      <c r="H228" s="4" t="s">
        <v>119</v>
      </c>
      <c r="I228" s="8" t="s">
        <v>102</v>
      </c>
      <c r="J228" s="14" t="s">
        <v>23</v>
      </c>
      <c r="K228" s="8" t="s">
        <v>638</v>
      </c>
      <c r="L228" s="8" t="s">
        <v>288</v>
      </c>
      <c r="M228" s="15" t="s">
        <v>272</v>
      </c>
    </row>
    <row r="229" spans="1:13" ht="30" x14ac:dyDescent="0.25">
      <c r="A229" s="1">
        <v>228</v>
      </c>
      <c r="B229" s="1">
        <v>2021</v>
      </c>
      <c r="C229" s="130">
        <v>44232</v>
      </c>
      <c r="D229" s="6" t="s">
        <v>18</v>
      </c>
      <c r="E229" s="183" t="str">
        <f>VLOOKUP($D229,Summary!$K$43:$L$264,2,FALSE)</f>
        <v>Hopper</v>
      </c>
      <c r="G229" s="5">
        <v>50.22</v>
      </c>
      <c r="H229" s="4" t="s">
        <v>72</v>
      </c>
      <c r="I229" s="8" t="s">
        <v>74</v>
      </c>
      <c r="J229" s="14" t="s">
        <v>23</v>
      </c>
      <c r="K229" s="8" t="s">
        <v>647</v>
      </c>
      <c r="L229" s="8" t="s">
        <v>288</v>
      </c>
      <c r="M229" s="15" t="s">
        <v>272</v>
      </c>
    </row>
    <row r="230" spans="1:13" x14ac:dyDescent="0.25">
      <c r="A230" s="1">
        <v>229</v>
      </c>
      <c r="B230" s="1">
        <v>2021</v>
      </c>
      <c r="C230" s="130">
        <v>44233</v>
      </c>
      <c r="D230" s="6">
        <v>58</v>
      </c>
      <c r="E230" s="183" t="str">
        <f>VLOOKUP($D230,Summary!$K$43:$L$264,2,FALSE)</f>
        <v>Mechanical</v>
      </c>
      <c r="G230" s="5">
        <v>32.374999999883585</v>
      </c>
      <c r="H230" s="4" t="s">
        <v>110</v>
      </c>
      <c r="I230" s="8" t="s">
        <v>78</v>
      </c>
      <c r="J230" s="8">
        <v>4420100</v>
      </c>
      <c r="K230" s="8" t="s">
        <v>640</v>
      </c>
      <c r="L230" s="8" t="s">
        <v>648</v>
      </c>
      <c r="M230" s="10" t="s">
        <v>649</v>
      </c>
    </row>
    <row r="231" spans="1:13" x14ac:dyDescent="0.25">
      <c r="A231" s="1">
        <v>230</v>
      </c>
      <c r="B231" s="1">
        <v>2021</v>
      </c>
      <c r="C231" s="130">
        <v>44235</v>
      </c>
      <c r="D231" s="6">
        <v>53</v>
      </c>
      <c r="E231" s="183" t="str">
        <f>VLOOKUP($D231,Summary!$K$43:$L$264,2,FALSE)</f>
        <v>Mechanical</v>
      </c>
      <c r="G231" s="5">
        <v>26.002500000118744</v>
      </c>
      <c r="H231" s="4" t="s">
        <v>641</v>
      </c>
      <c r="I231" s="8" t="s">
        <v>642</v>
      </c>
      <c r="J231" s="14" t="s">
        <v>23</v>
      </c>
      <c r="K231" s="8" t="s">
        <v>23</v>
      </c>
      <c r="L231" s="8" t="s">
        <v>288</v>
      </c>
      <c r="M231" s="15" t="s">
        <v>272</v>
      </c>
    </row>
    <row r="232" spans="1:13" ht="45" x14ac:dyDescent="0.25">
      <c r="A232" s="1">
        <v>231</v>
      </c>
      <c r="B232" s="1">
        <v>2021</v>
      </c>
      <c r="C232" s="130">
        <v>44235</v>
      </c>
      <c r="D232" s="6" t="s">
        <v>3</v>
      </c>
      <c r="E232" s="183" t="str">
        <f>VLOOKUP($D232,Summary!$K$43:$L$264,2,FALSE)</f>
        <v>Hydraulic</v>
      </c>
      <c r="G232" s="5">
        <v>40.789166666509118</v>
      </c>
      <c r="H232" s="4" t="s">
        <v>643</v>
      </c>
      <c r="I232" s="8" t="s">
        <v>158</v>
      </c>
      <c r="J232" s="14" t="s">
        <v>23</v>
      </c>
      <c r="K232" s="8" t="s">
        <v>644</v>
      </c>
      <c r="L232" s="8" t="s">
        <v>288</v>
      </c>
      <c r="M232" s="15" t="s">
        <v>272</v>
      </c>
    </row>
    <row r="233" spans="1:13" ht="45" x14ac:dyDescent="0.25">
      <c r="A233" s="1">
        <v>232</v>
      </c>
      <c r="B233" s="1">
        <v>2021</v>
      </c>
      <c r="C233" s="130">
        <v>44251</v>
      </c>
      <c r="D233" s="7" t="s">
        <v>4</v>
      </c>
      <c r="E233" s="183" t="str">
        <f>VLOOKUP($D233,Summary!$K$43:$L$264,2,FALSE)</f>
        <v>Hydraulic</v>
      </c>
      <c r="F233" s="1">
        <v>391</v>
      </c>
      <c r="G233" s="5">
        <v>149.6619444443495</v>
      </c>
      <c r="H233" s="4" t="s">
        <v>119</v>
      </c>
      <c r="I233" s="8" t="s">
        <v>2668</v>
      </c>
      <c r="J233" s="8">
        <v>4806414</v>
      </c>
      <c r="K233" s="8" t="s">
        <v>23</v>
      </c>
      <c r="L233" s="8" t="s">
        <v>2675</v>
      </c>
      <c r="M233" s="10" t="s">
        <v>2676</v>
      </c>
    </row>
    <row r="234" spans="1:13" ht="225" x14ac:dyDescent="0.25">
      <c r="A234" s="1">
        <v>233</v>
      </c>
      <c r="B234" s="1">
        <v>2021</v>
      </c>
      <c r="C234" s="130">
        <v>44252</v>
      </c>
      <c r="D234" s="6" t="s">
        <v>17</v>
      </c>
      <c r="E234" s="183" t="str">
        <f>VLOOKUP($D234,Summary!$K$43:$L$264,2,FALSE)</f>
        <v>Hopper</v>
      </c>
      <c r="G234" s="5">
        <v>25.273333333432674</v>
      </c>
      <c r="H234" s="4" t="s">
        <v>104</v>
      </c>
      <c r="I234" s="8" t="s">
        <v>72</v>
      </c>
      <c r="J234" s="8">
        <v>4071215</v>
      </c>
      <c r="K234" s="8" t="s">
        <v>645</v>
      </c>
      <c r="L234" s="8" t="s">
        <v>650</v>
      </c>
      <c r="M234" s="10" t="s">
        <v>651</v>
      </c>
    </row>
    <row r="235" spans="1:13" ht="45" x14ac:dyDescent="0.25">
      <c r="A235" s="1">
        <v>234</v>
      </c>
      <c r="B235" s="1">
        <v>2021</v>
      </c>
      <c r="C235" s="130">
        <v>44255</v>
      </c>
      <c r="D235" s="6" t="s">
        <v>22</v>
      </c>
      <c r="E235" s="183" t="str">
        <f>VLOOKUP($D235,Summary!$K$43:$L$264,2,FALSE)</f>
        <v>Hopper</v>
      </c>
      <c r="G235" s="5">
        <v>29.591111111221835</v>
      </c>
      <c r="H235" s="4" t="s">
        <v>176</v>
      </c>
      <c r="I235" s="8" t="s">
        <v>98</v>
      </c>
      <c r="J235" s="8">
        <v>4182524</v>
      </c>
      <c r="K235" s="8" t="s">
        <v>646</v>
      </c>
      <c r="L235" s="8" t="s">
        <v>2775</v>
      </c>
      <c r="M235" s="10" t="s">
        <v>2776</v>
      </c>
    </row>
    <row r="236" spans="1:13" ht="45" x14ac:dyDescent="0.25">
      <c r="A236" s="1">
        <v>235</v>
      </c>
      <c r="B236" s="1">
        <v>2021</v>
      </c>
      <c r="C236" s="130">
        <v>44262</v>
      </c>
      <c r="D236" s="6" t="s">
        <v>19</v>
      </c>
      <c r="E236" s="183" t="str">
        <f>VLOOKUP($D236,Summary!$K$43:$L$264,2,FALSE)</f>
        <v>Hopper</v>
      </c>
      <c r="G236" s="5">
        <v>47.34</v>
      </c>
      <c r="H236" s="4" t="s">
        <v>105</v>
      </c>
      <c r="I236" s="8" t="s">
        <v>2673</v>
      </c>
      <c r="J236" s="8">
        <v>850890</v>
      </c>
      <c r="K236" s="8" t="s">
        <v>2674</v>
      </c>
      <c r="L236" s="8" t="s">
        <v>2777</v>
      </c>
      <c r="M236" s="10" t="s">
        <v>2778</v>
      </c>
    </row>
    <row r="237" spans="1:13" ht="60" x14ac:dyDescent="0.25">
      <c r="A237" s="1">
        <v>236</v>
      </c>
      <c r="B237" s="1">
        <v>2021</v>
      </c>
      <c r="C237" s="130">
        <v>44269</v>
      </c>
      <c r="D237" s="6">
        <v>53</v>
      </c>
      <c r="E237" s="183" t="str">
        <f>VLOOKUP($D237,Summary!$K$43:$L$264,2,FALSE)</f>
        <v>Mechanical</v>
      </c>
      <c r="G237" s="5">
        <v>120</v>
      </c>
      <c r="H237" s="4" t="s">
        <v>113</v>
      </c>
      <c r="I237" s="8" t="s">
        <v>593</v>
      </c>
      <c r="J237" s="14" t="s">
        <v>23</v>
      </c>
      <c r="K237" s="8" t="s">
        <v>2683</v>
      </c>
      <c r="L237" s="8" t="s">
        <v>288</v>
      </c>
      <c r="M237" s="15" t="s">
        <v>272</v>
      </c>
    </row>
    <row r="238" spans="1:13" ht="30" x14ac:dyDescent="0.25">
      <c r="A238" s="1">
        <v>237</v>
      </c>
      <c r="B238" s="1">
        <v>2021</v>
      </c>
      <c r="C238" s="130">
        <v>44270</v>
      </c>
      <c r="D238" s="6" t="s">
        <v>626</v>
      </c>
      <c r="E238" s="183" t="str">
        <f>VLOOKUP($D238,Summary!$K$43:$L$264,2,FALSE)</f>
        <v>Mechanical</v>
      </c>
      <c r="G238" s="5">
        <v>33.833888888941146</v>
      </c>
      <c r="H238" s="4" t="s">
        <v>2669</v>
      </c>
      <c r="I238" s="8" t="s">
        <v>2670</v>
      </c>
      <c r="J238" s="8">
        <v>4806683</v>
      </c>
      <c r="K238" s="8" t="s">
        <v>2671</v>
      </c>
      <c r="L238" s="8" t="s">
        <v>2677</v>
      </c>
      <c r="M238" s="10" t="s">
        <v>2676</v>
      </c>
    </row>
    <row r="239" spans="1:13" ht="30" x14ac:dyDescent="0.25">
      <c r="A239" s="1">
        <v>238</v>
      </c>
      <c r="B239" s="1">
        <v>2021</v>
      </c>
      <c r="C239" s="130">
        <v>44273</v>
      </c>
      <c r="D239" s="6">
        <v>54</v>
      </c>
      <c r="E239" s="183" t="str">
        <f>VLOOKUP($D239,Summary!$K$43:$L$264,2,FALSE)</f>
        <v>Mechanical</v>
      </c>
      <c r="G239" s="5">
        <v>27.345833333325572</v>
      </c>
      <c r="H239" s="4" t="s">
        <v>110</v>
      </c>
      <c r="I239" s="8" t="s">
        <v>78</v>
      </c>
      <c r="J239" s="8">
        <v>4806741</v>
      </c>
      <c r="K239" s="8" t="s">
        <v>2672</v>
      </c>
      <c r="L239" s="8" t="s">
        <v>2678</v>
      </c>
      <c r="M239" s="10" t="s">
        <v>2679</v>
      </c>
    </row>
    <row r="240" spans="1:13" ht="45" x14ac:dyDescent="0.25">
      <c r="A240" s="1">
        <v>239</v>
      </c>
      <c r="B240" s="1">
        <v>2021</v>
      </c>
      <c r="C240" s="130">
        <v>44284</v>
      </c>
      <c r="D240" s="6">
        <v>54</v>
      </c>
      <c r="E240" s="183" t="str">
        <f>VLOOKUP($D240,Summary!$K$43:$L$264,2,FALSE)</f>
        <v>Mechanical</v>
      </c>
      <c r="G240" s="5">
        <v>27.75</v>
      </c>
      <c r="H240" s="4" t="s">
        <v>114</v>
      </c>
      <c r="I240" s="8" t="s">
        <v>85</v>
      </c>
      <c r="J240" s="8">
        <v>4807069</v>
      </c>
      <c r="K240" s="8" t="s">
        <v>23</v>
      </c>
      <c r="L240" s="8" t="s">
        <v>2680</v>
      </c>
      <c r="M240" s="10" t="s">
        <v>2681</v>
      </c>
    </row>
    <row r="241" spans="1:13" ht="45" x14ac:dyDescent="0.25">
      <c r="A241" s="1">
        <v>240</v>
      </c>
      <c r="B241" s="1">
        <v>2021</v>
      </c>
      <c r="C241" s="130">
        <v>44291</v>
      </c>
      <c r="D241" s="6" t="s">
        <v>4</v>
      </c>
      <c r="E241" s="183" t="str">
        <f>VLOOKUP($D241,Summary!$K$43:$L$264,2,FALSE)</f>
        <v>Hydraulic</v>
      </c>
      <c r="G241" s="5">
        <v>42.078333333309274</v>
      </c>
      <c r="H241" s="4" t="s">
        <v>119</v>
      </c>
      <c r="I241" s="8" t="s">
        <v>2668</v>
      </c>
      <c r="J241" s="8">
        <v>4806414</v>
      </c>
      <c r="K241" s="8" t="s">
        <v>23</v>
      </c>
      <c r="L241" s="8" t="s">
        <v>2675</v>
      </c>
      <c r="M241" s="10" t="s">
        <v>2676</v>
      </c>
    </row>
    <row r="242" spans="1:13" ht="90" x14ac:dyDescent="0.25">
      <c r="A242" s="1">
        <v>241</v>
      </c>
      <c r="B242" s="1">
        <v>2021</v>
      </c>
      <c r="C242" s="130">
        <v>44292</v>
      </c>
      <c r="D242" s="6">
        <v>53</v>
      </c>
      <c r="E242" s="183" t="str">
        <f>VLOOKUP($D242,Summary!$K$43:$L$264,2,FALSE)</f>
        <v>Mechanical</v>
      </c>
      <c r="G242" s="5">
        <v>40.082777777686715</v>
      </c>
      <c r="H242" s="4" t="s">
        <v>115</v>
      </c>
      <c r="I242" s="8" t="s">
        <v>2692</v>
      </c>
      <c r="J242" s="14" t="s">
        <v>23</v>
      </c>
      <c r="K242" s="8" t="s">
        <v>2693</v>
      </c>
      <c r="L242" s="8" t="s">
        <v>288</v>
      </c>
      <c r="M242" s="15" t="s">
        <v>272</v>
      </c>
    </row>
    <row r="243" spans="1:13" ht="30" x14ac:dyDescent="0.25">
      <c r="A243" s="1">
        <v>242</v>
      </c>
      <c r="B243" s="1">
        <v>2021</v>
      </c>
      <c r="C243" s="130">
        <v>44307</v>
      </c>
      <c r="D243" s="6">
        <v>54</v>
      </c>
      <c r="E243" s="183" t="str">
        <f>VLOOKUP($D243,Summary!$K$43:$L$264,2,FALSE)</f>
        <v>Mechanical</v>
      </c>
      <c r="G243" s="5">
        <v>67.983055555494502</v>
      </c>
      <c r="H243" s="4" t="s">
        <v>112</v>
      </c>
      <c r="I243" s="8" t="s">
        <v>82</v>
      </c>
      <c r="J243" s="8">
        <v>4807689</v>
      </c>
      <c r="K243" s="8" t="s">
        <v>2691</v>
      </c>
      <c r="L243" s="8" t="s">
        <v>2695</v>
      </c>
      <c r="M243" s="10" t="s">
        <v>2696</v>
      </c>
    </row>
    <row r="244" spans="1:13" ht="45" x14ac:dyDescent="0.25">
      <c r="A244" s="1">
        <v>243</v>
      </c>
      <c r="B244" s="1">
        <v>2021</v>
      </c>
      <c r="C244" s="130">
        <v>44309</v>
      </c>
      <c r="D244" s="6" t="s">
        <v>10</v>
      </c>
      <c r="E244" s="183" t="str">
        <f>VLOOKUP($D244,Summary!$K$43:$L$264,2,FALSE)</f>
        <v>Hydraulic</v>
      </c>
      <c r="G244" s="5">
        <v>27.903888888889924</v>
      </c>
      <c r="H244" s="4" t="s">
        <v>121</v>
      </c>
      <c r="I244" s="8" t="s">
        <v>575</v>
      </c>
      <c r="J244" s="8">
        <v>4807705</v>
      </c>
      <c r="K244" s="8" t="s">
        <v>2694</v>
      </c>
      <c r="L244" s="8" t="s">
        <v>2697</v>
      </c>
      <c r="M244" s="10" t="s">
        <v>2698</v>
      </c>
    </row>
    <row r="245" spans="1:13" ht="15" customHeight="1" x14ac:dyDescent="0.25">
      <c r="A245" s="1">
        <v>244</v>
      </c>
      <c r="B245" s="1">
        <v>2021</v>
      </c>
      <c r="C245" s="130">
        <v>44312</v>
      </c>
      <c r="D245" s="6" t="s">
        <v>9</v>
      </c>
      <c r="E245" s="183" t="str">
        <f>VLOOKUP($D245,Summary!$K$43:$L$264,2,FALSE)</f>
        <v>Hydraulic</v>
      </c>
      <c r="G245" s="5">
        <v>50.718888889008667</v>
      </c>
      <c r="H245" s="4" t="s">
        <v>117</v>
      </c>
      <c r="I245" s="8" t="s">
        <v>181</v>
      </c>
      <c r="J245" s="8">
        <v>4038883</v>
      </c>
      <c r="K245" s="8" t="s">
        <v>23</v>
      </c>
      <c r="L245" s="8" t="s">
        <v>2724</v>
      </c>
      <c r="M245" s="10" t="s">
        <v>2725</v>
      </c>
    </row>
    <row r="246" spans="1:13" x14ac:dyDescent="0.25">
      <c r="A246" s="1">
        <v>245</v>
      </c>
      <c r="B246" s="1">
        <v>2021</v>
      </c>
      <c r="C246" s="130">
        <v>44321</v>
      </c>
      <c r="D246" s="7" t="s">
        <v>9</v>
      </c>
      <c r="E246" s="183" t="str">
        <f>VLOOKUP($D246,Summary!$K$43:$L$264,2,FALSE)</f>
        <v>Hydraulic</v>
      </c>
      <c r="G246" s="5">
        <v>117.15805555548286</v>
      </c>
      <c r="H246" s="4" t="s">
        <v>145</v>
      </c>
      <c r="I246" s="8" t="s">
        <v>2720</v>
      </c>
      <c r="J246" s="14" t="s">
        <v>23</v>
      </c>
      <c r="K246" s="8" t="s">
        <v>2721</v>
      </c>
      <c r="L246" s="8" t="s">
        <v>288</v>
      </c>
      <c r="M246" s="15" t="s">
        <v>272</v>
      </c>
    </row>
    <row r="247" spans="1:13" x14ac:dyDescent="0.25">
      <c r="A247" s="1">
        <v>246</v>
      </c>
      <c r="B247" s="1">
        <v>2021</v>
      </c>
      <c r="C247" s="130">
        <v>44335</v>
      </c>
      <c r="D247" s="7" t="s">
        <v>9</v>
      </c>
      <c r="E247" s="183" t="str">
        <f>VLOOKUP($D247,Summary!$K$43:$L$264,2,FALSE)</f>
        <v>Hydraulic</v>
      </c>
      <c r="G247" s="5">
        <v>156.39611111098202</v>
      </c>
      <c r="H247" s="4" t="s">
        <v>117</v>
      </c>
      <c r="I247" s="8" t="s">
        <v>181</v>
      </c>
      <c r="J247" s="14" t="s">
        <v>23</v>
      </c>
      <c r="K247" s="8" t="s">
        <v>2722</v>
      </c>
      <c r="L247" s="8" t="s">
        <v>288</v>
      </c>
      <c r="M247" s="15" t="s">
        <v>272</v>
      </c>
    </row>
    <row r="248" spans="1:13" x14ac:dyDescent="0.25">
      <c r="A248" s="1">
        <v>247</v>
      </c>
      <c r="B248" s="1">
        <v>2021</v>
      </c>
      <c r="C248" s="130">
        <v>44344</v>
      </c>
      <c r="D248" s="7" t="s">
        <v>9</v>
      </c>
      <c r="E248" s="183" t="str">
        <f>VLOOKUP($D248,Summary!$K$43:$L$264,2,FALSE)</f>
        <v>Hydraulic</v>
      </c>
      <c r="G248" s="5">
        <v>88.841666666732635</v>
      </c>
      <c r="H248" s="4" t="s">
        <v>121</v>
      </c>
      <c r="I248" s="8" t="s">
        <v>596</v>
      </c>
      <c r="J248" s="14" t="s">
        <v>23</v>
      </c>
      <c r="K248" s="8" t="s">
        <v>23</v>
      </c>
      <c r="L248" s="8" t="s">
        <v>288</v>
      </c>
      <c r="M248" s="15" t="s">
        <v>272</v>
      </c>
    </row>
    <row r="249" spans="1:13" x14ac:dyDescent="0.25">
      <c r="A249" s="1">
        <v>248</v>
      </c>
      <c r="B249" s="1">
        <v>2021</v>
      </c>
      <c r="C249" s="130">
        <v>44351</v>
      </c>
      <c r="D249" s="7" t="s">
        <v>19</v>
      </c>
      <c r="E249" s="183" t="str">
        <f>VLOOKUP($D249,Summary!$K$43:$L$264,2,FALSE)</f>
        <v>Hopper</v>
      </c>
      <c r="G249" s="5">
        <v>42.96</v>
      </c>
      <c r="H249" s="4" t="s">
        <v>72</v>
      </c>
      <c r="I249" s="8" t="s">
        <v>73</v>
      </c>
      <c r="J249" s="14" t="s">
        <v>23</v>
      </c>
      <c r="K249" s="8" t="s">
        <v>23</v>
      </c>
      <c r="L249" s="8" t="s">
        <v>288</v>
      </c>
      <c r="M249" s="15" t="s">
        <v>272</v>
      </c>
    </row>
    <row r="250" spans="1:13" ht="30" x14ac:dyDescent="0.25">
      <c r="A250" s="1">
        <v>249</v>
      </c>
      <c r="B250" s="1">
        <v>2021</v>
      </c>
      <c r="C250" s="130">
        <v>44353</v>
      </c>
      <c r="D250" s="6">
        <v>54</v>
      </c>
      <c r="E250" s="183" t="str">
        <f>VLOOKUP($D250,Summary!$K$43:$L$264,2,FALSE)</f>
        <v>Mechanical</v>
      </c>
      <c r="G250" s="5">
        <v>40.011666666716337</v>
      </c>
      <c r="H250" s="4" t="s">
        <v>112</v>
      </c>
      <c r="I250" s="8" t="s">
        <v>82</v>
      </c>
      <c r="J250" s="8">
        <v>4251870</v>
      </c>
      <c r="K250" s="8" t="s">
        <v>23</v>
      </c>
      <c r="L250" s="8" t="s">
        <v>2738</v>
      </c>
      <c r="M250" s="10" t="s">
        <v>2739</v>
      </c>
    </row>
    <row r="251" spans="1:13" ht="30" x14ac:dyDescent="0.25">
      <c r="A251" s="1">
        <v>250</v>
      </c>
      <c r="B251" s="1">
        <v>2021</v>
      </c>
      <c r="C251" s="130">
        <v>44354</v>
      </c>
      <c r="D251" s="7" t="s">
        <v>4</v>
      </c>
      <c r="E251" s="183" t="str">
        <f>VLOOKUP($D251,Summary!$K$43:$L$264,2,FALSE)</f>
        <v>Hydraulic</v>
      </c>
      <c r="G251" s="5">
        <v>34.706111111096106</v>
      </c>
      <c r="H251" s="4" t="s">
        <v>121</v>
      </c>
      <c r="I251" s="8" t="s">
        <v>2726</v>
      </c>
      <c r="J251" s="8">
        <v>4808652</v>
      </c>
      <c r="K251" s="8" t="s">
        <v>2727</v>
      </c>
      <c r="L251" s="8" t="s">
        <v>2740</v>
      </c>
      <c r="M251" s="10" t="s">
        <v>2741</v>
      </c>
    </row>
    <row r="252" spans="1:13" ht="135" x14ac:dyDescent="0.25">
      <c r="A252" s="1">
        <v>251</v>
      </c>
      <c r="B252" s="1">
        <v>2021</v>
      </c>
      <c r="C252" s="130">
        <v>44355</v>
      </c>
      <c r="D252" s="7" t="s">
        <v>19</v>
      </c>
      <c r="E252" s="183" t="str">
        <f>VLOOKUP($D252,Summary!$K$43:$L$264,2,FALSE)</f>
        <v>Hopper</v>
      </c>
      <c r="G252" s="5">
        <v>67.89</v>
      </c>
      <c r="H252" s="4" t="s">
        <v>69</v>
      </c>
      <c r="I252" s="8" t="s">
        <v>70</v>
      </c>
      <c r="J252" s="8">
        <v>851132</v>
      </c>
      <c r="K252" s="8" t="s">
        <v>2728</v>
      </c>
      <c r="L252" s="8" t="s">
        <v>2742</v>
      </c>
      <c r="M252" s="10" t="s">
        <v>2743</v>
      </c>
    </row>
    <row r="253" spans="1:13" ht="60" x14ac:dyDescent="0.25">
      <c r="A253" s="1">
        <v>252</v>
      </c>
      <c r="B253" s="1">
        <v>2021</v>
      </c>
      <c r="C253" s="130">
        <v>44362</v>
      </c>
      <c r="D253" s="7" t="s">
        <v>9</v>
      </c>
      <c r="E253" s="183" t="str">
        <f>VLOOKUP($D253,Summary!$K$43:$L$264,2,FALSE)</f>
        <v>Hydraulic</v>
      </c>
      <c r="G253" s="5">
        <v>24.890277777740266</v>
      </c>
      <c r="H253" s="4" t="s">
        <v>121</v>
      </c>
      <c r="I253" s="8" t="s">
        <v>575</v>
      </c>
      <c r="J253" s="8">
        <v>4808746</v>
      </c>
      <c r="K253" s="8" t="s">
        <v>23</v>
      </c>
      <c r="L253" s="8" t="s">
        <v>2744</v>
      </c>
      <c r="M253" s="10" t="s">
        <v>2745</v>
      </c>
    </row>
    <row r="254" spans="1:13" ht="60" x14ac:dyDescent="0.25">
      <c r="A254" s="1">
        <v>253</v>
      </c>
      <c r="B254" s="1">
        <v>2021</v>
      </c>
      <c r="C254" s="130">
        <v>44366</v>
      </c>
      <c r="D254" s="7" t="s">
        <v>9</v>
      </c>
      <c r="E254" s="183" t="str">
        <f>VLOOKUP($D254,Summary!$K$43:$L$264,2,FALSE)</f>
        <v>Hydraulic</v>
      </c>
      <c r="G254" s="5">
        <v>116.14055555564119</v>
      </c>
      <c r="H254" s="4" t="s">
        <v>121</v>
      </c>
      <c r="I254" s="8" t="s">
        <v>163</v>
      </c>
      <c r="J254" s="8">
        <v>4808866</v>
      </c>
      <c r="K254" s="8" t="s">
        <v>23</v>
      </c>
      <c r="L254" s="8" t="s">
        <v>2746</v>
      </c>
      <c r="M254" s="10" t="s">
        <v>2747</v>
      </c>
    </row>
    <row r="255" spans="1:13" x14ac:dyDescent="0.25">
      <c r="A255" s="1">
        <v>254</v>
      </c>
      <c r="B255" s="1">
        <v>2021</v>
      </c>
      <c r="C255" s="130">
        <v>44370</v>
      </c>
      <c r="D255" s="7" t="s">
        <v>4</v>
      </c>
      <c r="E255" s="183" t="str">
        <f>VLOOKUP($D255,Summary!$K$43:$L$264,2,FALSE)</f>
        <v>Hydraulic</v>
      </c>
      <c r="G255" s="5">
        <v>67.980833333276678</v>
      </c>
      <c r="H255" s="4" t="s">
        <v>121</v>
      </c>
      <c r="I255" s="8" t="s">
        <v>575</v>
      </c>
      <c r="J255" s="14" t="s">
        <v>23</v>
      </c>
      <c r="K255" s="8" t="s">
        <v>23</v>
      </c>
      <c r="L255" s="8" t="s">
        <v>288</v>
      </c>
      <c r="M255" s="15" t="s">
        <v>272</v>
      </c>
    </row>
    <row r="256" spans="1:13" ht="45" x14ac:dyDescent="0.25">
      <c r="A256" s="1">
        <v>255</v>
      </c>
      <c r="B256" s="1">
        <v>2021</v>
      </c>
      <c r="C256" s="130">
        <v>44373</v>
      </c>
      <c r="D256" s="7" t="s">
        <v>4</v>
      </c>
      <c r="E256" s="183" t="str">
        <f>VLOOKUP($D256,Summary!$K$43:$L$264,2,FALSE)</f>
        <v>Hydraulic</v>
      </c>
      <c r="G256" s="5">
        <v>42.6</v>
      </c>
      <c r="H256" s="4" t="s">
        <v>121</v>
      </c>
      <c r="I256" s="8" t="s">
        <v>596</v>
      </c>
      <c r="J256" s="8">
        <v>309837</v>
      </c>
      <c r="K256" s="8" t="s">
        <v>2748</v>
      </c>
      <c r="L256" s="8" t="s">
        <v>2749</v>
      </c>
      <c r="M256" s="135" t="s">
        <v>2750</v>
      </c>
    </row>
    <row r="257" spans="1:13" x14ac:dyDescent="0.25">
      <c r="A257" s="1">
        <v>256</v>
      </c>
      <c r="B257" s="1">
        <v>2021</v>
      </c>
      <c r="C257" s="130">
        <v>44376</v>
      </c>
      <c r="D257" s="6">
        <v>54</v>
      </c>
      <c r="E257" s="183" t="str">
        <f>VLOOKUP($D257,Summary!$K$43:$L$264,2,FALSE)</f>
        <v>Mechanical</v>
      </c>
      <c r="G257" s="5">
        <v>87.112499999930151</v>
      </c>
      <c r="H257" s="4" t="s">
        <v>115</v>
      </c>
      <c r="I257" s="8" t="s">
        <v>2692</v>
      </c>
      <c r="J257" s="8">
        <v>4251884</v>
      </c>
      <c r="K257" s="8" t="s">
        <v>23</v>
      </c>
      <c r="L257" s="8" t="s">
        <v>2764</v>
      </c>
      <c r="M257" s="10" t="s">
        <v>2765</v>
      </c>
    </row>
    <row r="258" spans="1:13" x14ac:dyDescent="0.25">
      <c r="A258" s="1">
        <v>257</v>
      </c>
      <c r="B258" s="1">
        <v>2021</v>
      </c>
      <c r="C258" s="130">
        <v>44380</v>
      </c>
      <c r="D258" s="6">
        <v>54</v>
      </c>
      <c r="E258" s="183" t="str">
        <f>VLOOKUP($D258,Summary!$K$43:$L$264,2,FALSE)</f>
        <v>Mechanical</v>
      </c>
      <c r="G258" s="5">
        <v>29.942777777847368</v>
      </c>
      <c r="H258" s="4" t="s">
        <v>115</v>
      </c>
      <c r="I258" s="8" t="s">
        <v>101</v>
      </c>
      <c r="J258" s="8">
        <v>4251884</v>
      </c>
      <c r="K258" s="8" t="s">
        <v>23</v>
      </c>
      <c r="L258" s="8" t="s">
        <v>2764</v>
      </c>
      <c r="M258" s="10" t="s">
        <v>2765</v>
      </c>
    </row>
    <row r="259" spans="1:13" x14ac:dyDescent="0.25">
      <c r="A259" s="1">
        <v>258</v>
      </c>
      <c r="B259" s="1">
        <v>2021</v>
      </c>
      <c r="C259" s="130">
        <v>44386</v>
      </c>
      <c r="D259" s="6">
        <v>55</v>
      </c>
      <c r="E259" s="183" t="str">
        <f>VLOOKUP($D259,Summary!$K$43:$L$264,2,FALSE)</f>
        <v>Mechanical</v>
      </c>
      <c r="G259" s="5">
        <v>26.270555555471219</v>
      </c>
      <c r="H259" s="4" t="s">
        <v>129</v>
      </c>
      <c r="I259" s="8" t="s">
        <v>2759</v>
      </c>
      <c r="J259" s="8">
        <v>4809140</v>
      </c>
      <c r="K259" s="8" t="s">
        <v>2760</v>
      </c>
      <c r="L259" s="8" t="s">
        <v>2766</v>
      </c>
      <c r="M259" s="135" t="s">
        <v>2767</v>
      </c>
    </row>
    <row r="260" spans="1:13" ht="165" x14ac:dyDescent="0.25">
      <c r="A260" s="1">
        <v>259</v>
      </c>
      <c r="B260" s="1">
        <v>2021</v>
      </c>
      <c r="C260" s="130">
        <v>44386</v>
      </c>
      <c r="D260" s="7" t="s">
        <v>19</v>
      </c>
      <c r="E260" s="183" t="str">
        <f>VLOOKUP($D260,Summary!$K$43:$L$264,2,FALSE)</f>
        <v>Hopper</v>
      </c>
      <c r="G260" s="5">
        <v>52.745277777663432</v>
      </c>
      <c r="H260" s="4" t="s">
        <v>72</v>
      </c>
      <c r="I260" s="8" t="s">
        <v>74</v>
      </c>
      <c r="J260" s="8" t="s">
        <v>2761</v>
      </c>
      <c r="K260" s="8" t="s">
        <v>2762</v>
      </c>
      <c r="L260" s="8" t="s">
        <v>2768</v>
      </c>
      <c r="M260" s="10" t="s">
        <v>2782</v>
      </c>
    </row>
    <row r="261" spans="1:13" ht="60" x14ac:dyDescent="0.25">
      <c r="A261" s="1">
        <v>260</v>
      </c>
      <c r="B261" s="1">
        <v>2021</v>
      </c>
      <c r="C261" s="130">
        <v>44388</v>
      </c>
      <c r="D261" s="7" t="s">
        <v>9</v>
      </c>
      <c r="E261" s="183" t="str">
        <f>VLOOKUP($D261,Summary!$K$43:$L$264,2,FALSE)</f>
        <v>Hydraulic</v>
      </c>
      <c r="G261" s="5">
        <v>26.223333333386108</v>
      </c>
      <c r="H261" s="4" t="s">
        <v>121</v>
      </c>
      <c r="I261" s="8" t="s">
        <v>575</v>
      </c>
      <c r="J261" s="8">
        <v>4809309</v>
      </c>
      <c r="K261" s="8" t="s">
        <v>23</v>
      </c>
      <c r="L261" s="8" t="s">
        <v>2769</v>
      </c>
      <c r="M261" s="10" t="s">
        <v>2770</v>
      </c>
    </row>
    <row r="262" spans="1:13" ht="30" x14ac:dyDescent="0.25">
      <c r="A262" s="1">
        <v>261</v>
      </c>
      <c r="B262" s="1">
        <v>2021</v>
      </c>
      <c r="C262" s="130">
        <v>44392</v>
      </c>
      <c r="D262" s="6">
        <v>58</v>
      </c>
      <c r="E262" s="183" t="str">
        <f>VLOOKUP($D262,Summary!$K$43:$L$264,2,FALSE)</f>
        <v>Mechanical</v>
      </c>
      <c r="G262" s="5">
        <v>51.543055555550382</v>
      </c>
      <c r="H262" s="4" t="s">
        <v>115</v>
      </c>
      <c r="I262" s="8" t="s">
        <v>2692</v>
      </c>
      <c r="J262" s="8">
        <v>4420132</v>
      </c>
      <c r="K262" s="8" t="s">
        <v>23</v>
      </c>
      <c r="L262" s="8" t="s">
        <v>2771</v>
      </c>
      <c r="M262" s="10" t="s">
        <v>2772</v>
      </c>
    </row>
    <row r="263" spans="1:13" ht="45" x14ac:dyDescent="0.25">
      <c r="A263" s="1">
        <v>262</v>
      </c>
      <c r="B263" s="1">
        <v>2021</v>
      </c>
      <c r="C263" s="130">
        <v>44398</v>
      </c>
      <c r="D263" s="7" t="s">
        <v>3</v>
      </c>
      <c r="E263" s="183" t="str">
        <f>VLOOKUP($D263,Summary!$K$43:$L$264,2,FALSE)</f>
        <v>Hydraulic</v>
      </c>
      <c r="G263" s="5">
        <v>33.423888888792135</v>
      </c>
      <c r="H263" s="4" t="s">
        <v>117</v>
      </c>
      <c r="I263" s="8" t="s">
        <v>153</v>
      </c>
      <c r="J263" s="8">
        <v>4809535</v>
      </c>
      <c r="K263" s="8" t="s">
        <v>2763</v>
      </c>
      <c r="L263" s="8" t="s">
        <v>2773</v>
      </c>
      <c r="M263" s="10" t="s">
        <v>2774</v>
      </c>
    </row>
    <row r="264" spans="1:13" x14ac:dyDescent="0.25">
      <c r="A264" s="1">
        <v>263</v>
      </c>
      <c r="B264" s="1">
        <v>2021</v>
      </c>
      <c r="C264" s="130">
        <v>44405</v>
      </c>
      <c r="D264" s="6">
        <v>54</v>
      </c>
      <c r="E264" s="183" t="str">
        <f>VLOOKUP($D264,Summary!$K$43:$L$264,2,FALSE)</f>
        <v>Mechanical</v>
      </c>
      <c r="G264" s="5">
        <v>221.0077777779079</v>
      </c>
      <c r="H264" s="4" t="s">
        <v>2836</v>
      </c>
      <c r="I264" s="8" t="s">
        <v>2837</v>
      </c>
      <c r="J264" s="18">
        <v>1761278</v>
      </c>
      <c r="K264" s="8" t="s">
        <v>2838</v>
      </c>
      <c r="L264" s="18" t="s">
        <v>254</v>
      </c>
      <c r="M264" s="17" t="s">
        <v>254</v>
      </c>
    </row>
    <row r="265" spans="1:13" ht="105" x14ac:dyDescent="0.25">
      <c r="A265" s="1">
        <v>264</v>
      </c>
      <c r="B265" s="1">
        <v>2021</v>
      </c>
      <c r="C265" s="130">
        <v>44409</v>
      </c>
      <c r="D265" s="6">
        <v>58</v>
      </c>
      <c r="E265" s="183" t="str">
        <f>VLOOKUP($D265,Summary!$K$43:$L$264,2,FALSE)</f>
        <v>Mechanical</v>
      </c>
      <c r="G265" s="5">
        <v>573.06972222228069</v>
      </c>
      <c r="H265" s="4" t="s">
        <v>114</v>
      </c>
      <c r="I265" s="8" t="s">
        <v>85</v>
      </c>
      <c r="J265" s="8">
        <v>4420181</v>
      </c>
      <c r="K265" s="8" t="s">
        <v>2839</v>
      </c>
      <c r="L265" s="8" t="s">
        <v>2847</v>
      </c>
      <c r="M265" s="10" t="s">
        <v>2846</v>
      </c>
    </row>
    <row r="266" spans="1:13" x14ac:dyDescent="0.25">
      <c r="A266" s="1">
        <v>265</v>
      </c>
      <c r="B266" s="1">
        <v>2021</v>
      </c>
      <c r="C266" s="130">
        <v>44411</v>
      </c>
      <c r="D266" s="7" t="s">
        <v>18</v>
      </c>
      <c r="E266" s="183" t="str">
        <f>VLOOKUP($D266,Summary!$K$43:$L$264,2,FALSE)</f>
        <v>Hopper</v>
      </c>
      <c r="G266" s="5">
        <v>44.549722222262062</v>
      </c>
      <c r="H266" s="4" t="s">
        <v>72</v>
      </c>
      <c r="I266" s="8" t="s">
        <v>74</v>
      </c>
      <c r="J266" s="14" t="s">
        <v>23</v>
      </c>
      <c r="K266" s="8" t="s">
        <v>2840</v>
      </c>
      <c r="L266" s="8" t="s">
        <v>288</v>
      </c>
      <c r="M266" s="15" t="s">
        <v>272</v>
      </c>
    </row>
    <row r="267" spans="1:13" ht="30" x14ac:dyDescent="0.25">
      <c r="A267" s="1">
        <v>266</v>
      </c>
      <c r="B267" s="1">
        <v>2021</v>
      </c>
      <c r="C267" s="130">
        <v>44413</v>
      </c>
      <c r="D267" s="7" t="s">
        <v>2605</v>
      </c>
      <c r="E267" s="183" t="str">
        <f>VLOOKUP($D267,Summary!$K$43:$L$264,2,FALSE)</f>
        <v>R&amp;L</v>
      </c>
      <c r="G267" s="5">
        <v>23.999722222157288</v>
      </c>
      <c r="H267" s="4" t="s">
        <v>160</v>
      </c>
      <c r="I267" s="8" t="s">
        <v>161</v>
      </c>
      <c r="J267" s="14" t="s">
        <v>23</v>
      </c>
      <c r="K267" s="8" t="s">
        <v>2841</v>
      </c>
      <c r="L267" s="8" t="s">
        <v>288</v>
      </c>
      <c r="M267" s="15" t="s">
        <v>272</v>
      </c>
    </row>
    <row r="268" spans="1:13" x14ac:dyDescent="0.25">
      <c r="A268" s="1">
        <v>267</v>
      </c>
      <c r="B268" s="1">
        <v>2021</v>
      </c>
      <c r="C268" s="130">
        <v>44423</v>
      </c>
      <c r="D268" s="7" t="s">
        <v>3</v>
      </c>
      <c r="E268" s="183" t="str">
        <f>VLOOKUP($D268,Summary!$K$43:$L$264,2,FALSE)</f>
        <v>Hydraulic</v>
      </c>
      <c r="G268" s="5">
        <v>33.849166666623205</v>
      </c>
      <c r="H268" s="4" t="s">
        <v>160</v>
      </c>
      <c r="I268" s="8" t="s">
        <v>2842</v>
      </c>
      <c r="J268" s="14" t="s">
        <v>23</v>
      </c>
      <c r="K268" s="8" t="s">
        <v>23</v>
      </c>
      <c r="L268" s="8" t="s">
        <v>288</v>
      </c>
      <c r="M268" s="15" t="s">
        <v>272</v>
      </c>
    </row>
    <row r="269" spans="1:13" ht="30" x14ac:dyDescent="0.25">
      <c r="A269" s="1">
        <v>268</v>
      </c>
      <c r="B269" s="1">
        <v>2021</v>
      </c>
      <c r="C269" s="130">
        <v>44425</v>
      </c>
      <c r="D269" s="6">
        <v>54</v>
      </c>
      <c r="E269" s="183" t="str">
        <f>VLOOKUP($D269,Summary!$K$43:$L$264,2,FALSE)</f>
        <v>Mechanical</v>
      </c>
      <c r="G269" s="5">
        <v>100.76833333336981</v>
      </c>
      <c r="H269" s="4" t="s">
        <v>129</v>
      </c>
      <c r="I269" s="8" t="s">
        <v>2759</v>
      </c>
      <c r="J269" s="8">
        <v>4810115</v>
      </c>
      <c r="K269" s="8" t="s">
        <v>23</v>
      </c>
      <c r="L269" s="8" t="s">
        <v>2848</v>
      </c>
      <c r="M269" s="10" t="s">
        <v>2849</v>
      </c>
    </row>
    <row r="270" spans="1:13" x14ac:dyDescent="0.25">
      <c r="A270" s="1">
        <v>269</v>
      </c>
      <c r="B270" s="1">
        <v>2021</v>
      </c>
      <c r="C270" s="130">
        <v>44427</v>
      </c>
      <c r="D270" s="7" t="s">
        <v>3</v>
      </c>
      <c r="E270" s="183" t="str">
        <f>VLOOKUP($D270,Summary!$K$43:$L$264,2,FALSE)</f>
        <v>Hydraulic</v>
      </c>
      <c r="G270" s="5">
        <v>24.156111111107748</v>
      </c>
      <c r="H270" s="4" t="s">
        <v>643</v>
      </c>
      <c r="I270" s="8" t="s">
        <v>2843</v>
      </c>
      <c r="J270" s="14" t="s">
        <v>23</v>
      </c>
      <c r="K270" s="8" t="s">
        <v>23</v>
      </c>
      <c r="L270" s="8" t="s">
        <v>288</v>
      </c>
      <c r="M270" s="15" t="s">
        <v>272</v>
      </c>
    </row>
    <row r="271" spans="1:13" x14ac:dyDescent="0.25">
      <c r="A271" s="1">
        <v>270</v>
      </c>
      <c r="B271" s="1">
        <v>2021</v>
      </c>
      <c r="C271" s="130">
        <v>44433</v>
      </c>
      <c r="D271" s="7" t="s">
        <v>17</v>
      </c>
      <c r="E271" s="183" t="str">
        <f>VLOOKUP($D271,Summary!$K$43:$L$264,2,FALSE)</f>
        <v>Hopper</v>
      </c>
      <c r="G271" s="5">
        <v>173.5102777776774</v>
      </c>
      <c r="H271" s="4" t="s">
        <v>2844</v>
      </c>
      <c r="I271" s="8" t="s">
        <v>2845</v>
      </c>
      <c r="J271" s="14" t="s">
        <v>23</v>
      </c>
      <c r="K271" s="8" t="s">
        <v>23</v>
      </c>
      <c r="L271" s="8" t="s">
        <v>288</v>
      </c>
      <c r="M271" s="15" t="s">
        <v>272</v>
      </c>
    </row>
    <row r="272" spans="1:13" ht="30" x14ac:dyDescent="0.25">
      <c r="A272" s="1">
        <v>271</v>
      </c>
      <c r="B272" s="1">
        <v>2021</v>
      </c>
      <c r="C272" s="130">
        <v>44440</v>
      </c>
      <c r="D272" s="7" t="s">
        <v>19</v>
      </c>
      <c r="E272" s="183" t="str">
        <f>VLOOKUP($D272,Summary!$K$43:$L$264,2,FALSE)</f>
        <v>Hopper</v>
      </c>
      <c r="G272" s="5">
        <v>23.999722222157288</v>
      </c>
      <c r="H272" s="4" t="s">
        <v>109</v>
      </c>
      <c r="I272" s="8" t="s">
        <v>72</v>
      </c>
      <c r="J272" s="14" t="s">
        <v>23</v>
      </c>
      <c r="K272" s="8" t="s">
        <v>2850</v>
      </c>
      <c r="L272" s="8" t="s">
        <v>288</v>
      </c>
      <c r="M272" s="15" t="s">
        <v>272</v>
      </c>
    </row>
    <row r="273" spans="1:15" ht="60" x14ac:dyDescent="0.25">
      <c r="A273" s="1">
        <v>272</v>
      </c>
      <c r="B273" s="1">
        <v>2021</v>
      </c>
      <c r="C273" s="130">
        <v>44441</v>
      </c>
      <c r="D273" s="7" t="s">
        <v>626</v>
      </c>
      <c r="E273" s="183" t="str">
        <f>VLOOKUP($D273,Summary!$K$43:$L$264,2,FALSE)</f>
        <v>Mechanical</v>
      </c>
      <c r="G273" s="5">
        <v>32.598055555543397</v>
      </c>
      <c r="H273" s="4" t="s">
        <v>2669</v>
      </c>
      <c r="I273" s="8" t="s">
        <v>2670</v>
      </c>
      <c r="J273" s="8">
        <v>4810395</v>
      </c>
      <c r="K273" s="8" t="s">
        <v>2851</v>
      </c>
      <c r="L273" s="8" t="s">
        <v>2859</v>
      </c>
      <c r="M273" s="10" t="s">
        <v>2860</v>
      </c>
    </row>
    <row r="274" spans="1:15" ht="30" x14ac:dyDescent="0.25">
      <c r="A274" s="1">
        <v>273</v>
      </c>
      <c r="B274" s="1">
        <v>2021</v>
      </c>
      <c r="C274" s="130">
        <v>44442</v>
      </c>
      <c r="D274" s="7" t="s">
        <v>9</v>
      </c>
      <c r="E274" s="183" t="str">
        <f>VLOOKUP($D274,Summary!$K$43:$L$264,2,FALSE)</f>
        <v>Hydraulic</v>
      </c>
      <c r="G274" s="5">
        <v>59.029722222068813</v>
      </c>
      <c r="H274" s="4" t="s">
        <v>121</v>
      </c>
      <c r="I274" s="8" t="s">
        <v>181</v>
      </c>
      <c r="J274" s="8">
        <v>4038962</v>
      </c>
      <c r="K274" s="8" t="s">
        <v>2852</v>
      </c>
      <c r="L274" s="8" t="s">
        <v>2861</v>
      </c>
      <c r="M274" s="10" t="s">
        <v>2862</v>
      </c>
    </row>
    <row r="275" spans="1:15" ht="45" x14ac:dyDescent="0.25">
      <c r="A275" s="1">
        <v>274</v>
      </c>
      <c r="B275" s="1">
        <v>2021</v>
      </c>
      <c r="C275" s="130">
        <v>44444</v>
      </c>
      <c r="D275" s="7" t="s">
        <v>10</v>
      </c>
      <c r="E275" s="183" t="str">
        <f>VLOOKUP($D275,Summary!$K$43:$L$264,2,FALSE)</f>
        <v>Hydraulic</v>
      </c>
      <c r="G275" s="5">
        <v>30.773611111042555</v>
      </c>
      <c r="H275" s="4" t="s">
        <v>2853</v>
      </c>
      <c r="I275" s="8" t="s">
        <v>2854</v>
      </c>
      <c r="J275" s="14" t="s">
        <v>23</v>
      </c>
      <c r="K275" s="8" t="s">
        <v>2855</v>
      </c>
      <c r="L275" s="8" t="s">
        <v>288</v>
      </c>
      <c r="M275" s="15" t="s">
        <v>272</v>
      </c>
    </row>
    <row r="276" spans="1:15" ht="75" x14ac:dyDescent="0.25">
      <c r="A276" s="1">
        <v>275</v>
      </c>
      <c r="B276" s="1">
        <v>2021</v>
      </c>
      <c r="C276" s="130">
        <v>44446</v>
      </c>
      <c r="D276" s="7" t="s">
        <v>17</v>
      </c>
      <c r="E276" s="183" t="str">
        <f>VLOOKUP($D276,Summary!$K$43:$L$264,2,FALSE)</f>
        <v>Hopper</v>
      </c>
      <c r="G276" s="5">
        <v>35.4375</v>
      </c>
      <c r="H276" s="4" t="s">
        <v>109</v>
      </c>
      <c r="I276" s="8" t="s">
        <v>72</v>
      </c>
      <c r="J276" s="8">
        <v>4071556</v>
      </c>
      <c r="K276" s="8" t="s">
        <v>23</v>
      </c>
      <c r="L276" s="8" t="s">
        <v>2863</v>
      </c>
      <c r="M276" s="10" t="s">
        <v>2864</v>
      </c>
    </row>
    <row r="277" spans="1:15" ht="30" x14ac:dyDescent="0.25">
      <c r="A277" s="1">
        <v>276</v>
      </c>
      <c r="B277" s="1">
        <v>2021</v>
      </c>
      <c r="C277" s="130">
        <v>44457</v>
      </c>
      <c r="D277" s="7" t="s">
        <v>10</v>
      </c>
      <c r="E277" s="183" t="str">
        <f>VLOOKUP($D277,Summary!$K$43:$L$264,2,FALSE)</f>
        <v>Hydraulic</v>
      </c>
      <c r="G277" s="5">
        <v>95.706944444566034</v>
      </c>
      <c r="H277" s="4" t="s">
        <v>117</v>
      </c>
      <c r="I277" s="8" t="s">
        <v>549</v>
      </c>
      <c r="J277" s="14" t="s">
        <v>23</v>
      </c>
      <c r="K277" s="8" t="s">
        <v>2856</v>
      </c>
      <c r="L277" s="8" t="s">
        <v>288</v>
      </c>
      <c r="M277" s="15" t="s">
        <v>272</v>
      </c>
    </row>
    <row r="278" spans="1:15" x14ac:dyDescent="0.25">
      <c r="A278" s="1">
        <v>277</v>
      </c>
      <c r="B278" s="1">
        <v>2021</v>
      </c>
      <c r="C278" s="130">
        <v>44464</v>
      </c>
      <c r="D278" s="6">
        <v>54</v>
      </c>
      <c r="E278" s="183" t="str">
        <f>VLOOKUP($D278,Summary!$K$43:$L$264,2,FALSE)</f>
        <v>Mechanical</v>
      </c>
      <c r="G278" s="5">
        <v>26.315277777670417</v>
      </c>
      <c r="H278" s="4" t="s">
        <v>112</v>
      </c>
      <c r="I278" s="8" t="s">
        <v>81</v>
      </c>
      <c r="J278" s="14" t="s">
        <v>23</v>
      </c>
      <c r="K278" s="8" t="s">
        <v>23</v>
      </c>
      <c r="L278" s="8" t="s">
        <v>288</v>
      </c>
      <c r="M278" s="15" t="s">
        <v>272</v>
      </c>
    </row>
    <row r="279" spans="1:15" ht="75" x14ac:dyDescent="0.25">
      <c r="A279" s="1">
        <v>278</v>
      </c>
      <c r="B279" s="1">
        <v>2021</v>
      </c>
      <c r="C279" s="130">
        <v>44468</v>
      </c>
      <c r="D279" s="7" t="s">
        <v>626</v>
      </c>
      <c r="E279" s="183" t="str">
        <f>VLOOKUP($D279,Summary!$K$43:$L$264,2,FALSE)</f>
        <v>Mechanical</v>
      </c>
      <c r="G279" s="5">
        <v>51.206666666606907</v>
      </c>
      <c r="H279" s="4" t="s">
        <v>113</v>
      </c>
      <c r="I279" s="8" t="s">
        <v>2857</v>
      </c>
      <c r="J279" s="8">
        <v>4811009</v>
      </c>
      <c r="K279" s="8" t="s">
        <v>2858</v>
      </c>
      <c r="L279" s="8" t="s">
        <v>2865</v>
      </c>
      <c r="M279" s="10" t="s">
        <v>2866</v>
      </c>
    </row>
    <row r="280" spans="1:15" ht="45" x14ac:dyDescent="0.25">
      <c r="A280" s="1">
        <v>279</v>
      </c>
      <c r="B280" s="1">
        <v>2021</v>
      </c>
      <c r="C280" s="130">
        <v>44471</v>
      </c>
      <c r="D280" s="7" t="s">
        <v>626</v>
      </c>
      <c r="E280" s="183" t="str">
        <f>VLOOKUP($D280,Summary!$K$43:$L$264,2,FALSE)</f>
        <v>Mechanical</v>
      </c>
      <c r="G280" s="5">
        <v>24.861666666751262</v>
      </c>
      <c r="H280" s="4" t="s">
        <v>113</v>
      </c>
      <c r="I280" s="8" t="s">
        <v>2857</v>
      </c>
      <c r="J280" s="8">
        <v>4811214</v>
      </c>
      <c r="K280" s="8" t="s">
        <v>2950</v>
      </c>
      <c r="L280" s="8" t="s">
        <v>3270</v>
      </c>
      <c r="M280" s="10" t="s">
        <v>3271</v>
      </c>
    </row>
    <row r="281" spans="1:15" ht="60" x14ac:dyDescent="0.25">
      <c r="A281" s="1">
        <v>280</v>
      </c>
      <c r="B281" s="1">
        <v>2021</v>
      </c>
      <c r="C281" s="130">
        <v>44473</v>
      </c>
      <c r="D281" s="1" t="s">
        <v>2</v>
      </c>
      <c r="E281" s="183" t="str">
        <f>VLOOKUP($D281,Summary!$K$43:$L$264,2,FALSE)</f>
        <v>Hydraulic</v>
      </c>
      <c r="G281" s="178">
        <v>58.5</v>
      </c>
      <c r="H281" s="1" t="s">
        <v>643</v>
      </c>
      <c r="I281" s="7" t="s">
        <v>549</v>
      </c>
      <c r="J281" s="1">
        <v>4811264</v>
      </c>
      <c r="K281" s="7" t="s">
        <v>23</v>
      </c>
      <c r="L281" s="8" t="s">
        <v>2919</v>
      </c>
      <c r="M281" s="10" t="s">
        <v>2920</v>
      </c>
    </row>
    <row r="282" spans="1:15" ht="47.25" customHeight="1" x14ac:dyDescent="0.25">
      <c r="A282" s="1">
        <v>281</v>
      </c>
      <c r="B282" s="1">
        <v>2021</v>
      </c>
      <c r="C282" s="130">
        <v>44474</v>
      </c>
      <c r="D282" s="7" t="s">
        <v>626</v>
      </c>
      <c r="E282" s="183" t="str">
        <f>VLOOKUP($D282,Summary!$K$43:$L$264,2,FALSE)</f>
        <v>Mechanical</v>
      </c>
      <c r="G282" s="5">
        <v>68.484722222085111</v>
      </c>
      <c r="H282" s="4" t="s">
        <v>2951</v>
      </c>
      <c r="I282" s="8" t="s">
        <v>2952</v>
      </c>
      <c r="J282" s="8">
        <v>4811241</v>
      </c>
      <c r="K282" s="8" t="s">
        <v>2953</v>
      </c>
      <c r="L282" s="8" t="s">
        <v>3272</v>
      </c>
      <c r="M282" s="10" t="s">
        <v>3273</v>
      </c>
    </row>
    <row r="283" spans="1:15" ht="30" x14ac:dyDescent="0.25">
      <c r="A283" s="1">
        <v>282</v>
      </c>
      <c r="B283" s="1">
        <v>2021</v>
      </c>
      <c r="C283" s="130">
        <v>44475</v>
      </c>
      <c r="D283" s="1" t="s">
        <v>2606</v>
      </c>
      <c r="E283" s="183" t="str">
        <f>VLOOKUP($D283,Summary!$K$43:$L$264,2,FALSE)</f>
        <v>R&amp;L</v>
      </c>
      <c r="G283" s="178">
        <v>24.423888888792135</v>
      </c>
      <c r="H283" s="1" t="s">
        <v>160</v>
      </c>
      <c r="I283" s="7" t="s">
        <v>161</v>
      </c>
      <c r="J283" s="181" t="s">
        <v>23</v>
      </c>
      <c r="K283" s="7" t="s">
        <v>2898</v>
      </c>
      <c r="L283" s="8" t="s">
        <v>288</v>
      </c>
      <c r="M283" s="15" t="s">
        <v>272</v>
      </c>
    </row>
    <row r="284" spans="1:15" ht="29.25" customHeight="1" x14ac:dyDescent="0.25">
      <c r="A284" s="1">
        <v>283</v>
      </c>
      <c r="B284" s="1">
        <v>2021</v>
      </c>
      <c r="C284" s="130">
        <v>44479</v>
      </c>
      <c r="D284" s="6">
        <v>54</v>
      </c>
      <c r="E284" s="183" t="str">
        <f>VLOOKUP($D284,Summary!$K$43:$L$264,2,FALSE)</f>
        <v>Mechanical</v>
      </c>
      <c r="G284" s="178">
        <v>35.85805555555271</v>
      </c>
      <c r="H284" s="1" t="s">
        <v>112</v>
      </c>
      <c r="I284" s="7" t="s">
        <v>82</v>
      </c>
      <c r="J284" s="1">
        <v>4811448</v>
      </c>
      <c r="K284" s="7" t="s">
        <v>2899</v>
      </c>
      <c r="L284" s="8" t="s">
        <v>2921</v>
      </c>
      <c r="M284" s="10" t="s">
        <v>2922</v>
      </c>
    </row>
    <row r="285" spans="1:15" ht="45" x14ac:dyDescent="0.25">
      <c r="A285" s="1">
        <v>284</v>
      </c>
      <c r="B285" s="1">
        <v>2021</v>
      </c>
      <c r="C285" s="130">
        <v>44484</v>
      </c>
      <c r="D285" s="1" t="s">
        <v>19</v>
      </c>
      <c r="E285" s="183" t="str">
        <f>VLOOKUP($D285,Summary!$K$43:$L$264,2,FALSE)</f>
        <v>Hopper</v>
      </c>
      <c r="G285" s="178">
        <v>23.999722222157288</v>
      </c>
      <c r="H285" s="1" t="s">
        <v>2900</v>
      </c>
      <c r="I285" s="7" t="s">
        <v>72</v>
      </c>
      <c r="J285" s="1">
        <v>851480</v>
      </c>
      <c r="K285" s="7" t="s">
        <v>23</v>
      </c>
      <c r="L285" s="8" t="s">
        <v>2923</v>
      </c>
      <c r="M285" s="10" t="s">
        <v>2924</v>
      </c>
    </row>
    <row r="286" spans="1:15" x14ac:dyDescent="0.25">
      <c r="A286" s="1">
        <v>285</v>
      </c>
      <c r="B286" s="1">
        <v>2021</v>
      </c>
      <c r="C286" s="130">
        <v>44490</v>
      </c>
      <c r="D286" s="1" t="s">
        <v>18</v>
      </c>
      <c r="E286" s="183" t="str">
        <f>VLOOKUP($D286,Summary!$K$43:$L$264,2,FALSE)</f>
        <v>Hopper</v>
      </c>
      <c r="G286" s="178">
        <v>68.966666666732635</v>
      </c>
      <c r="H286" s="1" t="s">
        <v>106</v>
      </c>
      <c r="I286" s="7" t="s">
        <v>158</v>
      </c>
      <c r="J286" s="1">
        <v>4272235</v>
      </c>
      <c r="K286" s="7" t="s">
        <v>23</v>
      </c>
      <c r="L286" s="8" t="s">
        <v>2925</v>
      </c>
      <c r="M286" s="10" t="s">
        <v>2926</v>
      </c>
    </row>
    <row r="287" spans="1:15" ht="30" x14ac:dyDescent="0.25">
      <c r="A287" s="1">
        <v>286</v>
      </c>
      <c r="B287" s="1">
        <v>2021</v>
      </c>
      <c r="C287" s="130">
        <v>44498</v>
      </c>
      <c r="D287" s="1" t="s">
        <v>18</v>
      </c>
      <c r="E287" s="183" t="str">
        <f>VLOOKUP($D287,Summary!$K$43:$L$264,2,FALSE)</f>
        <v>Hopper</v>
      </c>
      <c r="G287" s="178">
        <v>69.683055555447936</v>
      </c>
      <c r="H287" s="1" t="s">
        <v>72</v>
      </c>
      <c r="I287" s="7" t="s">
        <v>183</v>
      </c>
      <c r="J287" s="181" t="s">
        <v>23</v>
      </c>
      <c r="K287" s="7" t="s">
        <v>2901</v>
      </c>
      <c r="L287" s="8" t="s">
        <v>288</v>
      </c>
      <c r="M287" s="15" t="s">
        <v>272</v>
      </c>
    </row>
    <row r="288" spans="1:15" x14ac:dyDescent="0.25">
      <c r="A288" s="1">
        <v>287</v>
      </c>
      <c r="B288" s="1">
        <v>2021</v>
      </c>
      <c r="C288" s="130">
        <v>44498</v>
      </c>
      <c r="D288" s="1" t="s">
        <v>9</v>
      </c>
      <c r="E288" s="183" t="str">
        <f>VLOOKUP($D288,Summary!$K$43:$L$264,2,FALSE)</f>
        <v>Hydraulic</v>
      </c>
      <c r="G288" s="178">
        <v>35.550833333458286</v>
      </c>
      <c r="H288" s="1" t="s">
        <v>160</v>
      </c>
      <c r="I288" s="7" t="s">
        <v>161</v>
      </c>
      <c r="J288" s="181" t="s">
        <v>23</v>
      </c>
      <c r="K288" s="7" t="s">
        <v>23</v>
      </c>
      <c r="L288" s="8" t="s">
        <v>288</v>
      </c>
      <c r="M288" s="15" t="s">
        <v>272</v>
      </c>
      <c r="O288" s="71"/>
    </row>
    <row r="289" spans="1:15" ht="30" x14ac:dyDescent="0.25">
      <c r="A289" s="1">
        <v>288</v>
      </c>
      <c r="B289" s="1">
        <v>2021</v>
      </c>
      <c r="C289" s="130">
        <v>44499</v>
      </c>
      <c r="D289" s="1" t="s">
        <v>19</v>
      </c>
      <c r="E289" s="183" t="str">
        <f>VLOOKUP($D289,Summary!$K$43:$L$264,2,FALSE)</f>
        <v>Hopper</v>
      </c>
      <c r="G289" s="178">
        <v>232.4</v>
      </c>
      <c r="H289" s="1" t="s">
        <v>2844</v>
      </c>
      <c r="I289" s="7" t="s">
        <v>2845</v>
      </c>
      <c r="J289" s="1">
        <v>851525</v>
      </c>
      <c r="K289" s="7" t="s">
        <v>2902</v>
      </c>
      <c r="L289" s="8" t="s">
        <v>2927</v>
      </c>
      <c r="M289" s="10" t="s">
        <v>2928</v>
      </c>
      <c r="O289" s="71"/>
    </row>
    <row r="290" spans="1:15" x14ac:dyDescent="0.25">
      <c r="A290" s="1">
        <v>289</v>
      </c>
      <c r="B290" s="71">
        <v>2021</v>
      </c>
      <c r="C290" s="179">
        <v>44513</v>
      </c>
      <c r="D290" s="112" t="s">
        <v>2</v>
      </c>
      <c r="E290" s="183" t="str">
        <f>VLOOKUP($D290,Summary!$K$43:$L$264,2,FALSE)</f>
        <v>Hydraulic</v>
      </c>
      <c r="F290" s="71"/>
      <c r="G290" s="5">
        <v>145.44638888875488</v>
      </c>
      <c r="H290" s="4" t="s">
        <v>117</v>
      </c>
      <c r="I290" s="8" t="s">
        <v>153</v>
      </c>
      <c r="J290" s="8">
        <v>1729030</v>
      </c>
      <c r="K290" s="8" t="s">
        <v>2935</v>
      </c>
      <c r="L290" s="8" t="s">
        <v>2943</v>
      </c>
      <c r="M290" s="17" t="s">
        <v>2676</v>
      </c>
      <c r="N290" s="71"/>
      <c r="O290" s="71"/>
    </row>
    <row r="291" spans="1:15" ht="45" x14ac:dyDescent="0.25">
      <c r="A291" s="1">
        <v>290</v>
      </c>
      <c r="B291" s="71">
        <v>2021</v>
      </c>
      <c r="C291" s="179">
        <v>44515</v>
      </c>
      <c r="D291" s="112" t="s">
        <v>22</v>
      </c>
      <c r="E291" s="183" t="str">
        <f>VLOOKUP($D291,Summary!$K$43:$L$264,2,FALSE)</f>
        <v>Hopper</v>
      </c>
      <c r="F291" s="71"/>
      <c r="G291" s="5">
        <v>61.156666666734964</v>
      </c>
      <c r="H291" s="4" t="s">
        <v>176</v>
      </c>
      <c r="I291" s="8" t="s">
        <v>98</v>
      </c>
      <c r="J291" s="8">
        <v>4184180</v>
      </c>
      <c r="K291" s="8" t="s">
        <v>2936</v>
      </c>
      <c r="L291" s="8" t="s">
        <v>2944</v>
      </c>
      <c r="M291" s="10" t="s">
        <v>2945</v>
      </c>
      <c r="N291" s="71"/>
      <c r="O291" s="71"/>
    </row>
    <row r="292" spans="1:15" ht="30" x14ac:dyDescent="0.25">
      <c r="A292" s="1">
        <v>291</v>
      </c>
      <c r="B292" s="71">
        <v>2021</v>
      </c>
      <c r="C292" s="179">
        <v>44515</v>
      </c>
      <c r="D292" s="112" t="s">
        <v>9</v>
      </c>
      <c r="E292" s="183" t="str">
        <f>VLOOKUP($D292,Summary!$K$43:$L$264,2,FALSE)</f>
        <v>Hydraulic</v>
      </c>
      <c r="F292" s="71"/>
      <c r="G292" s="5">
        <v>55.011666666716337</v>
      </c>
      <c r="H292" s="4" t="s">
        <v>160</v>
      </c>
      <c r="I292" s="8" t="s">
        <v>2842</v>
      </c>
      <c r="J292" s="8">
        <v>4038991</v>
      </c>
      <c r="K292" s="8" t="s">
        <v>2937</v>
      </c>
      <c r="L292" s="8" t="s">
        <v>2946</v>
      </c>
      <c r="M292" s="10" t="s">
        <v>2947</v>
      </c>
      <c r="N292" s="71"/>
      <c r="O292" s="71"/>
    </row>
    <row r="293" spans="1:15" ht="75" x14ac:dyDescent="0.25">
      <c r="A293" s="1">
        <v>292</v>
      </c>
      <c r="B293" s="71">
        <v>2021</v>
      </c>
      <c r="C293" s="179">
        <v>44519</v>
      </c>
      <c r="D293" s="112" t="s">
        <v>2606</v>
      </c>
      <c r="E293" s="183" t="str">
        <f>VLOOKUP($D293,Summary!$K$43:$L$264,2,FALSE)</f>
        <v>R&amp;L</v>
      </c>
      <c r="F293" s="71"/>
      <c r="G293" s="5">
        <v>28.199999999895226</v>
      </c>
      <c r="H293" s="4" t="s">
        <v>121</v>
      </c>
      <c r="I293" s="8" t="s">
        <v>2726</v>
      </c>
      <c r="J293" s="14" t="s">
        <v>23</v>
      </c>
      <c r="K293" s="8" t="s">
        <v>2938</v>
      </c>
      <c r="L293" s="8" t="s">
        <v>288</v>
      </c>
      <c r="M293" s="15" t="s">
        <v>272</v>
      </c>
      <c r="N293" s="71"/>
      <c r="O293" s="71"/>
    </row>
    <row r="294" spans="1:15" x14ac:dyDescent="0.25">
      <c r="A294" s="1">
        <v>293</v>
      </c>
      <c r="B294" s="71">
        <v>2021</v>
      </c>
      <c r="C294" s="179">
        <v>44520</v>
      </c>
      <c r="D294" s="71" t="s">
        <v>2605</v>
      </c>
      <c r="E294" s="183" t="str">
        <f>VLOOKUP($D294,Summary!$K$43:$L$264,2,FALSE)</f>
        <v>R&amp;L</v>
      </c>
      <c r="F294" s="71"/>
      <c r="G294" s="180">
        <v>23.999444444314577</v>
      </c>
      <c r="H294" s="71" t="s">
        <v>117</v>
      </c>
      <c r="I294" s="112" t="s">
        <v>596</v>
      </c>
      <c r="J294" s="181" t="s">
        <v>23</v>
      </c>
      <c r="K294" s="112" t="s">
        <v>23</v>
      </c>
      <c r="L294" s="8" t="s">
        <v>288</v>
      </c>
      <c r="M294" s="15" t="s">
        <v>272</v>
      </c>
      <c r="N294" s="71"/>
      <c r="O294" s="71"/>
    </row>
    <row r="295" spans="1:15" ht="165" x14ac:dyDescent="0.25">
      <c r="A295" s="1">
        <v>294</v>
      </c>
      <c r="B295" s="71">
        <v>2021</v>
      </c>
      <c r="C295" s="179">
        <v>44524</v>
      </c>
      <c r="D295" s="71" t="s">
        <v>626</v>
      </c>
      <c r="E295" s="183" t="str">
        <f>VLOOKUP($D295,Summary!$K$43:$L$264,2,FALSE)</f>
        <v>Mechanical</v>
      </c>
      <c r="F295" s="71"/>
      <c r="G295" s="180">
        <v>83.253333333239425</v>
      </c>
      <c r="H295" s="71" t="s">
        <v>112</v>
      </c>
      <c r="I295" s="112" t="s">
        <v>82</v>
      </c>
      <c r="J295" s="71">
        <v>4812674</v>
      </c>
      <c r="K295" s="112" t="s">
        <v>2939</v>
      </c>
      <c r="L295" s="8" t="s">
        <v>2948</v>
      </c>
      <c r="M295" s="10" t="s">
        <v>2949</v>
      </c>
      <c r="N295" s="71"/>
      <c r="O295" s="71"/>
    </row>
    <row r="296" spans="1:15" ht="30" x14ac:dyDescent="0.25">
      <c r="A296" s="1">
        <v>295</v>
      </c>
      <c r="B296" s="71">
        <v>2021</v>
      </c>
      <c r="C296" s="179">
        <v>44524</v>
      </c>
      <c r="D296" s="71" t="s">
        <v>10</v>
      </c>
      <c r="E296" s="183" t="str">
        <f>VLOOKUP($D296,Summary!$K$43:$L$264,2,FALSE)</f>
        <v>Hydraulic</v>
      </c>
      <c r="F296" s="71"/>
      <c r="G296" s="180">
        <v>27.665833333390765</v>
      </c>
      <c r="H296" s="71" t="s">
        <v>643</v>
      </c>
      <c r="I296" s="112" t="s">
        <v>158</v>
      </c>
      <c r="J296" s="181" t="s">
        <v>23</v>
      </c>
      <c r="K296" s="112" t="s">
        <v>2940</v>
      </c>
      <c r="L296" s="8" t="s">
        <v>288</v>
      </c>
      <c r="M296" s="15" t="s">
        <v>272</v>
      </c>
      <c r="N296" s="71"/>
      <c r="O296" s="71"/>
    </row>
    <row r="297" spans="1:15" ht="30" x14ac:dyDescent="0.25">
      <c r="A297" s="1">
        <v>296</v>
      </c>
      <c r="B297" s="71">
        <v>2021</v>
      </c>
      <c r="C297" s="179">
        <v>44527</v>
      </c>
      <c r="D297" s="71" t="s">
        <v>2606</v>
      </c>
      <c r="E297" s="183" t="str">
        <f>VLOOKUP($D297,Summary!$K$43:$L$264,2,FALSE)</f>
        <v>R&amp;L</v>
      </c>
      <c r="F297" s="71"/>
      <c r="G297" s="180">
        <v>47.999722222331911</v>
      </c>
      <c r="H297" s="71" t="s">
        <v>121</v>
      </c>
      <c r="I297" s="112" t="s">
        <v>2726</v>
      </c>
      <c r="J297" s="181" t="s">
        <v>23</v>
      </c>
      <c r="K297" s="112" t="s">
        <v>2941</v>
      </c>
      <c r="L297" s="8" t="s">
        <v>288</v>
      </c>
      <c r="M297" s="15" t="s">
        <v>272</v>
      </c>
      <c r="N297" s="71"/>
      <c r="O297" s="71"/>
    </row>
    <row r="298" spans="1:15" ht="225" x14ac:dyDescent="0.25">
      <c r="A298" s="1">
        <v>297</v>
      </c>
      <c r="B298" s="71">
        <v>2021</v>
      </c>
      <c r="C298" s="179">
        <v>44535</v>
      </c>
      <c r="D298" s="71" t="s">
        <v>10</v>
      </c>
      <c r="E298" s="183" t="str">
        <f>VLOOKUP($D298,Summary!$K$43:$L$264,2,FALSE)</f>
        <v>Hydraulic</v>
      </c>
      <c r="F298" s="71"/>
      <c r="G298" s="180">
        <v>51.4</v>
      </c>
      <c r="H298" s="71" t="s">
        <v>117</v>
      </c>
      <c r="I298" s="112" t="s">
        <v>575</v>
      </c>
      <c r="J298" s="71">
        <v>4812866</v>
      </c>
      <c r="K298" s="112" t="s">
        <v>2954</v>
      </c>
      <c r="L298" s="8" t="s">
        <v>3097</v>
      </c>
      <c r="M298" s="10" t="s">
        <v>3098</v>
      </c>
      <c r="N298" s="71"/>
      <c r="O298" s="71"/>
    </row>
    <row r="299" spans="1:15" ht="60" x14ac:dyDescent="0.25">
      <c r="A299" s="1">
        <v>298</v>
      </c>
      <c r="B299" s="71">
        <v>2021</v>
      </c>
      <c r="C299" s="179">
        <v>44538</v>
      </c>
      <c r="D299" s="112" t="s">
        <v>626</v>
      </c>
      <c r="E299" s="183" t="str">
        <f>VLOOKUP($D299,Summary!$K$43:$L$264,2,FALSE)</f>
        <v>Mechanical</v>
      </c>
      <c r="F299" s="71"/>
      <c r="G299" s="5">
        <v>131.14944444451248</v>
      </c>
      <c r="H299" s="4" t="s">
        <v>2951</v>
      </c>
      <c r="I299" s="8" t="s">
        <v>2955</v>
      </c>
      <c r="J299" s="8">
        <v>4812901</v>
      </c>
      <c r="K299" s="8" t="s">
        <v>2956</v>
      </c>
      <c r="L299" s="8" t="s">
        <v>3099</v>
      </c>
      <c r="M299" s="10" t="s">
        <v>3100</v>
      </c>
      <c r="N299" s="71"/>
      <c r="O299" s="71"/>
    </row>
    <row r="300" spans="1:15" ht="212.25" customHeight="1" x14ac:dyDescent="0.25">
      <c r="A300" s="1">
        <v>299</v>
      </c>
      <c r="B300" s="71">
        <v>2021</v>
      </c>
      <c r="C300" s="179">
        <v>44538</v>
      </c>
      <c r="D300" s="112" t="s">
        <v>2606</v>
      </c>
      <c r="E300" s="183" t="str">
        <f>VLOOKUP($D300,Summary!$K$43:$L$264,2,FALSE)</f>
        <v>R&amp;L</v>
      </c>
      <c r="F300" s="71"/>
      <c r="G300" s="5">
        <v>32.215000000025611</v>
      </c>
      <c r="H300" s="4" t="s">
        <v>160</v>
      </c>
      <c r="I300" s="8" t="s">
        <v>161</v>
      </c>
      <c r="J300" s="8">
        <v>4812886</v>
      </c>
      <c r="K300" s="8" t="s">
        <v>2957</v>
      </c>
      <c r="L300" s="8" t="s">
        <v>3101</v>
      </c>
      <c r="M300" s="10" t="s">
        <v>3102</v>
      </c>
      <c r="N300" s="71"/>
      <c r="O300" s="71"/>
    </row>
    <row r="301" spans="1:15" ht="60" x14ac:dyDescent="0.25">
      <c r="A301" s="1">
        <v>300</v>
      </c>
      <c r="B301" s="71">
        <v>2021</v>
      </c>
      <c r="C301" s="179">
        <v>44544</v>
      </c>
      <c r="D301" s="112" t="s">
        <v>2606</v>
      </c>
      <c r="E301" s="183" t="str">
        <f>VLOOKUP($D301,Summary!$K$43:$L$264,2,FALSE)</f>
        <v>R&amp;L</v>
      </c>
      <c r="F301" s="71"/>
      <c r="G301" s="5">
        <v>53.859444444591645</v>
      </c>
      <c r="H301" s="4" t="s">
        <v>121</v>
      </c>
      <c r="I301" s="8" t="s">
        <v>2726</v>
      </c>
      <c r="J301" s="8">
        <v>4813019</v>
      </c>
      <c r="K301" s="8" t="s">
        <v>2958</v>
      </c>
      <c r="L301" s="8" t="s">
        <v>3103</v>
      </c>
      <c r="M301" s="10" t="s">
        <v>3104</v>
      </c>
      <c r="N301" s="71"/>
      <c r="O301" s="71"/>
    </row>
    <row r="302" spans="1:15" x14ac:dyDescent="0.25">
      <c r="A302" s="1">
        <v>301</v>
      </c>
      <c r="B302" s="71">
        <v>2021</v>
      </c>
      <c r="C302" s="179">
        <v>44544</v>
      </c>
      <c r="D302" s="112" t="s">
        <v>626</v>
      </c>
      <c r="E302" s="183" t="str">
        <f>VLOOKUP($D302,Summary!$K$43:$L$264,2,FALSE)</f>
        <v>Mechanical</v>
      </c>
      <c r="F302" s="71"/>
      <c r="G302" s="5">
        <v>32.983333333279006</v>
      </c>
      <c r="H302" s="4" t="s">
        <v>2669</v>
      </c>
      <c r="I302" s="8" t="s">
        <v>2959</v>
      </c>
      <c r="J302" s="8">
        <v>4813001</v>
      </c>
      <c r="K302" s="8" t="s">
        <v>2960</v>
      </c>
      <c r="L302" s="8" t="s">
        <v>3105</v>
      </c>
      <c r="M302" s="10" t="s">
        <v>3106</v>
      </c>
      <c r="N302" s="71"/>
      <c r="O302" s="71"/>
    </row>
    <row r="303" spans="1:15" ht="30" x14ac:dyDescent="0.25">
      <c r="A303" s="1">
        <v>302</v>
      </c>
      <c r="B303" s="71">
        <v>2021</v>
      </c>
      <c r="C303" s="179">
        <v>44547</v>
      </c>
      <c r="D303" s="112" t="s">
        <v>626</v>
      </c>
      <c r="E303" s="183" t="str">
        <f>VLOOKUP($D303,Summary!$K$43:$L$264,2,FALSE)</f>
        <v>Mechanical</v>
      </c>
      <c r="F303" s="71"/>
      <c r="G303" s="5">
        <v>39.166666666686069</v>
      </c>
      <c r="H303" s="4" t="s">
        <v>112</v>
      </c>
      <c r="I303" s="8" t="s">
        <v>82</v>
      </c>
      <c r="J303" s="8">
        <v>4813043</v>
      </c>
      <c r="K303" s="8" t="s">
        <v>2961</v>
      </c>
      <c r="L303" s="8" t="s">
        <v>3107</v>
      </c>
      <c r="M303" s="10" t="s">
        <v>3108</v>
      </c>
      <c r="N303" s="71"/>
      <c r="O303" s="71"/>
    </row>
    <row r="304" spans="1:15" x14ac:dyDescent="0.25">
      <c r="A304" s="1">
        <v>303</v>
      </c>
      <c r="B304" s="71">
        <v>2021</v>
      </c>
      <c r="C304" s="179">
        <v>44548</v>
      </c>
      <c r="D304" s="112" t="s">
        <v>3</v>
      </c>
      <c r="E304" s="183" t="str">
        <f>VLOOKUP($D304,Summary!$K$43:$L$264,2,FALSE)</f>
        <v>Hydraulic</v>
      </c>
      <c r="F304" s="71"/>
      <c r="G304" s="5">
        <v>47.533055555541068</v>
      </c>
      <c r="H304" s="4" t="s">
        <v>119</v>
      </c>
      <c r="I304" s="8" t="s">
        <v>102</v>
      </c>
      <c r="J304" s="8">
        <v>792854</v>
      </c>
      <c r="K304" s="8" t="s">
        <v>23</v>
      </c>
      <c r="L304" s="8" t="s">
        <v>288</v>
      </c>
      <c r="M304" s="10" t="s">
        <v>272</v>
      </c>
      <c r="N304" s="71"/>
      <c r="O304" s="71"/>
    </row>
    <row r="305" spans="1:15" x14ac:dyDescent="0.25">
      <c r="A305" s="1">
        <v>304</v>
      </c>
      <c r="B305" s="71">
        <v>2021</v>
      </c>
      <c r="C305" s="179">
        <v>44550</v>
      </c>
      <c r="D305" s="112" t="s">
        <v>2606</v>
      </c>
      <c r="E305" s="183" t="str">
        <f>VLOOKUP($D305,Summary!$K$43:$L$264,2,FALSE)</f>
        <v>R&amp;L</v>
      </c>
      <c r="F305" s="71"/>
      <c r="G305" s="5">
        <v>55.2</v>
      </c>
      <c r="H305" s="4" t="s">
        <v>121</v>
      </c>
      <c r="I305" s="8" t="s">
        <v>2726</v>
      </c>
      <c r="J305" s="196">
        <v>4813490</v>
      </c>
      <c r="K305" s="8" t="s">
        <v>23</v>
      </c>
      <c r="L305" s="8" t="s">
        <v>288</v>
      </c>
      <c r="M305" s="10" t="s">
        <v>272</v>
      </c>
      <c r="N305" s="71"/>
      <c r="O305" s="71"/>
    </row>
    <row r="306" spans="1:15" ht="30" x14ac:dyDescent="0.25">
      <c r="A306" s="1">
        <v>305</v>
      </c>
      <c r="B306" s="71">
        <v>2021</v>
      </c>
      <c r="C306" s="179">
        <v>44552</v>
      </c>
      <c r="D306" s="6">
        <v>53</v>
      </c>
      <c r="E306" s="183" t="str">
        <f>VLOOKUP($D306,Summary!$K$43:$L$264,2,FALSE)</f>
        <v>Mechanical</v>
      </c>
      <c r="F306" s="71"/>
      <c r="G306" s="5">
        <v>216</v>
      </c>
      <c r="H306" s="4" t="s">
        <v>218</v>
      </c>
      <c r="I306" s="8" t="s">
        <v>3094</v>
      </c>
      <c r="J306" s="8">
        <v>4813071</v>
      </c>
      <c r="K306" s="8" t="s">
        <v>3095</v>
      </c>
      <c r="L306" s="8" t="s">
        <v>3109</v>
      </c>
      <c r="M306" s="10" t="s">
        <v>3110</v>
      </c>
      <c r="N306" s="71"/>
      <c r="O306" s="71"/>
    </row>
    <row r="307" spans="1:15" ht="45" x14ac:dyDescent="0.25">
      <c r="A307" s="1">
        <v>306</v>
      </c>
      <c r="B307" s="71">
        <v>2021</v>
      </c>
      <c r="C307" s="179">
        <v>44557</v>
      </c>
      <c r="D307" s="71" t="s">
        <v>626</v>
      </c>
      <c r="E307" s="183" t="str">
        <f>VLOOKUP($D307,Summary!$K$43:$L$264,2,FALSE)</f>
        <v>Mechanical</v>
      </c>
      <c r="F307" s="71"/>
      <c r="G307" s="180">
        <v>79.5</v>
      </c>
      <c r="H307" s="71" t="s">
        <v>114</v>
      </c>
      <c r="I307" s="112" t="s">
        <v>632</v>
      </c>
      <c r="J307" s="71">
        <v>4813504</v>
      </c>
      <c r="K307" s="112" t="s">
        <v>3096</v>
      </c>
      <c r="L307" s="8" t="s">
        <v>288</v>
      </c>
      <c r="M307" s="10" t="s">
        <v>272</v>
      </c>
      <c r="N307" s="71"/>
      <c r="O307" s="71"/>
    </row>
    <row r="308" spans="1:15" x14ac:dyDescent="0.25">
      <c r="A308" s="1">
        <v>307</v>
      </c>
      <c r="B308" s="71">
        <v>2022</v>
      </c>
      <c r="C308" s="179">
        <v>44572</v>
      </c>
      <c r="D308" s="112">
        <v>55</v>
      </c>
      <c r="E308" s="183" t="s">
        <v>7</v>
      </c>
      <c r="F308" s="71"/>
      <c r="G308" s="5">
        <v>25.671111111121718</v>
      </c>
      <c r="H308" s="4" t="s">
        <v>641</v>
      </c>
      <c r="I308" s="8" t="s">
        <v>3117</v>
      </c>
      <c r="J308" s="8" t="s">
        <v>27</v>
      </c>
      <c r="K308" s="8" t="s">
        <v>3118</v>
      </c>
      <c r="L308" s="8" t="s">
        <v>288</v>
      </c>
      <c r="M308" s="10" t="s">
        <v>272</v>
      </c>
      <c r="N308" s="71"/>
      <c r="O308" s="71"/>
    </row>
    <row r="309" spans="1:15" ht="135" x14ac:dyDescent="0.25">
      <c r="A309" s="1">
        <v>308</v>
      </c>
      <c r="B309" s="71">
        <v>2022</v>
      </c>
      <c r="C309" s="179">
        <v>44576</v>
      </c>
      <c r="D309" s="112" t="s">
        <v>9</v>
      </c>
      <c r="E309" s="183" t="s">
        <v>6</v>
      </c>
      <c r="F309" s="71"/>
      <c r="G309" s="5">
        <v>110.85222222207813</v>
      </c>
      <c r="H309" s="4" t="s">
        <v>117</v>
      </c>
      <c r="I309" s="8" t="s">
        <v>596</v>
      </c>
      <c r="J309" s="8">
        <v>4813489</v>
      </c>
      <c r="K309" s="8" t="s">
        <v>23</v>
      </c>
      <c r="L309" s="8" t="s">
        <v>3121</v>
      </c>
      <c r="M309" s="10" t="s">
        <v>3120</v>
      </c>
      <c r="N309" s="71"/>
      <c r="O309" s="71"/>
    </row>
    <row r="310" spans="1:15" ht="48.75" customHeight="1" x14ac:dyDescent="0.25">
      <c r="A310" s="1">
        <v>309</v>
      </c>
      <c r="B310" s="71">
        <v>2022</v>
      </c>
      <c r="C310" s="179">
        <v>44578</v>
      </c>
      <c r="D310" s="112" t="s">
        <v>22</v>
      </c>
      <c r="E310" s="183" t="s">
        <v>8</v>
      </c>
      <c r="F310" s="71"/>
      <c r="G310" s="5">
        <v>58.625000000058208</v>
      </c>
      <c r="H310" s="4" t="s">
        <v>176</v>
      </c>
      <c r="I310" s="8" t="s">
        <v>98</v>
      </c>
      <c r="J310" s="8">
        <v>4184362</v>
      </c>
      <c r="K310" s="8" t="s">
        <v>23</v>
      </c>
      <c r="L310" s="8" t="s">
        <v>3123</v>
      </c>
      <c r="M310" s="10" t="s">
        <v>3122</v>
      </c>
      <c r="N310" s="71"/>
      <c r="O310" s="71"/>
    </row>
    <row r="311" spans="1:15" ht="45" x14ac:dyDescent="0.25">
      <c r="A311" s="1">
        <v>310</v>
      </c>
      <c r="B311" s="71">
        <v>2022</v>
      </c>
      <c r="C311" s="179">
        <v>44582</v>
      </c>
      <c r="D311" s="112" t="s">
        <v>626</v>
      </c>
      <c r="E311" s="183" t="s">
        <v>7</v>
      </c>
      <c r="F311" s="71"/>
      <c r="G311" s="5">
        <v>26.194166666711681</v>
      </c>
      <c r="H311" s="4" t="s">
        <v>2951</v>
      </c>
      <c r="I311" s="8" t="s">
        <v>2952</v>
      </c>
      <c r="J311" s="8">
        <v>1769537</v>
      </c>
      <c r="K311" s="8" t="s">
        <v>3119</v>
      </c>
      <c r="L311" s="8" t="s">
        <v>254</v>
      </c>
      <c r="M311" s="197" t="s">
        <v>254</v>
      </c>
      <c r="N311" s="71"/>
      <c r="O311" s="71"/>
    </row>
    <row r="312" spans="1:15" ht="135" x14ac:dyDescent="0.25">
      <c r="A312" s="1">
        <v>311</v>
      </c>
      <c r="B312" s="71">
        <v>2022</v>
      </c>
      <c r="C312" s="179">
        <v>44587</v>
      </c>
      <c r="D312" s="112" t="s">
        <v>9</v>
      </c>
      <c r="E312" s="183" t="s">
        <v>6</v>
      </c>
      <c r="F312" s="71"/>
      <c r="G312" s="5">
        <v>48.756944444321562</v>
      </c>
      <c r="H312" s="4" t="s">
        <v>145</v>
      </c>
      <c r="I312" s="8" t="s">
        <v>2720</v>
      </c>
      <c r="J312" s="8">
        <v>4813835</v>
      </c>
      <c r="K312" s="8" t="s">
        <v>23</v>
      </c>
      <c r="L312" s="8" t="s">
        <v>3146</v>
      </c>
      <c r="M312" s="10" t="s">
        <v>3147</v>
      </c>
      <c r="N312" s="71"/>
      <c r="O312" s="71"/>
    </row>
    <row r="313" spans="1:15" ht="75" x14ac:dyDescent="0.25">
      <c r="A313" s="1">
        <v>312</v>
      </c>
      <c r="B313" s="71">
        <v>2022</v>
      </c>
      <c r="C313" s="179">
        <v>44601</v>
      </c>
      <c r="D313" s="112" t="s">
        <v>626</v>
      </c>
      <c r="E313" s="183" t="s">
        <v>7</v>
      </c>
      <c r="F313" s="71"/>
      <c r="G313" s="5">
        <v>25.199999999895226</v>
      </c>
      <c r="H313" s="4" t="s">
        <v>2951</v>
      </c>
      <c r="I313" s="8" t="s">
        <v>2952</v>
      </c>
      <c r="J313" s="8">
        <v>4814066</v>
      </c>
      <c r="K313" s="8" t="s">
        <v>3124</v>
      </c>
      <c r="L313" s="8" t="s">
        <v>3148</v>
      </c>
      <c r="M313" s="10" t="s">
        <v>3149</v>
      </c>
      <c r="N313" s="71"/>
      <c r="O313" s="71"/>
    </row>
    <row r="314" spans="1:15" ht="30" x14ac:dyDescent="0.25">
      <c r="A314" s="1">
        <v>313</v>
      </c>
      <c r="B314" s="71">
        <v>2022</v>
      </c>
      <c r="C314" s="179">
        <v>44602</v>
      </c>
      <c r="D314" s="112">
        <v>53</v>
      </c>
      <c r="E314" s="183" t="s">
        <v>7</v>
      </c>
      <c r="F314" s="71"/>
      <c r="G314" s="5">
        <v>69</v>
      </c>
      <c r="H314" s="4" t="s">
        <v>218</v>
      </c>
      <c r="I314" s="8" t="s">
        <v>3094</v>
      </c>
      <c r="J314" s="8">
        <v>1770611</v>
      </c>
      <c r="K314" s="8" t="s">
        <v>23</v>
      </c>
      <c r="L314" s="8" t="s">
        <v>254</v>
      </c>
      <c r="M314" s="15" t="s">
        <v>254</v>
      </c>
      <c r="N314" s="71"/>
      <c r="O314" s="71"/>
    </row>
    <row r="315" spans="1:15" ht="180" x14ac:dyDescent="0.25">
      <c r="A315" s="1">
        <v>314</v>
      </c>
      <c r="B315" s="71">
        <v>2022</v>
      </c>
      <c r="C315" s="179">
        <v>44605</v>
      </c>
      <c r="D315" s="71" t="s">
        <v>2606</v>
      </c>
      <c r="E315" s="183" t="s">
        <v>2942</v>
      </c>
      <c r="F315" s="71"/>
      <c r="G315" s="180">
        <v>81.916666666686069</v>
      </c>
      <c r="H315" s="71" t="s">
        <v>119</v>
      </c>
      <c r="I315" s="112" t="s">
        <v>102</v>
      </c>
      <c r="J315" s="71">
        <v>4814293</v>
      </c>
      <c r="K315" s="112" t="s">
        <v>3125</v>
      </c>
      <c r="L315" s="8" t="s">
        <v>3274</v>
      </c>
      <c r="M315" s="10" t="s">
        <v>3275</v>
      </c>
      <c r="N315" s="71"/>
    </row>
    <row r="316" spans="1:15" ht="45" x14ac:dyDescent="0.25">
      <c r="A316" s="1">
        <v>315</v>
      </c>
      <c r="B316" s="71">
        <v>2022</v>
      </c>
      <c r="C316" s="179">
        <v>44607</v>
      </c>
      <c r="D316" s="71" t="s">
        <v>22</v>
      </c>
      <c r="E316" s="183" t="s">
        <v>8</v>
      </c>
      <c r="F316" s="71"/>
      <c r="G316" s="180">
        <v>120.99999999994179</v>
      </c>
      <c r="H316" s="71" t="s">
        <v>72</v>
      </c>
      <c r="I316" s="112" t="s">
        <v>74</v>
      </c>
      <c r="J316" s="71">
        <v>4814218</v>
      </c>
      <c r="K316" s="112" t="s">
        <v>3126</v>
      </c>
      <c r="L316" s="8" t="s">
        <v>3150</v>
      </c>
      <c r="M316" s="10" t="s">
        <v>3151</v>
      </c>
      <c r="N316" s="71"/>
    </row>
    <row r="317" spans="1:15" x14ac:dyDescent="0.25">
      <c r="A317" s="1">
        <v>316</v>
      </c>
      <c r="B317" s="71">
        <v>2022</v>
      </c>
      <c r="C317" s="179">
        <v>44609</v>
      </c>
      <c r="D317" s="112" t="s">
        <v>2606</v>
      </c>
      <c r="E317" s="183" t="s">
        <v>2942</v>
      </c>
      <c r="F317" s="71"/>
      <c r="G317" s="5">
        <v>26.616666666639503</v>
      </c>
      <c r="H317" s="4" t="s">
        <v>119</v>
      </c>
      <c r="I317" s="8" t="s">
        <v>102</v>
      </c>
      <c r="J317" s="8" t="s">
        <v>23</v>
      </c>
      <c r="K317" s="8" t="s">
        <v>3127</v>
      </c>
      <c r="L317" s="8" t="s">
        <v>288</v>
      </c>
      <c r="M317" s="197" t="s">
        <v>272</v>
      </c>
      <c r="N317" s="71"/>
    </row>
    <row r="318" spans="1:15" x14ac:dyDescent="0.25">
      <c r="A318" s="1">
        <v>317</v>
      </c>
      <c r="B318" s="71">
        <v>2022</v>
      </c>
      <c r="C318" s="179">
        <v>44610</v>
      </c>
      <c r="D318" s="112" t="s">
        <v>18</v>
      </c>
      <c r="E318" s="183" t="s">
        <v>8</v>
      </c>
      <c r="F318" s="71"/>
      <c r="G318" s="5">
        <v>163.18305555568077</v>
      </c>
      <c r="H318" s="4" t="s">
        <v>3128</v>
      </c>
      <c r="I318" s="8" t="s">
        <v>230</v>
      </c>
      <c r="J318" s="8" t="s">
        <v>23</v>
      </c>
      <c r="K318" s="8" t="s">
        <v>3129</v>
      </c>
      <c r="L318" s="8" t="s">
        <v>288</v>
      </c>
      <c r="M318" s="197" t="s">
        <v>272</v>
      </c>
      <c r="N318" s="71"/>
    </row>
    <row r="319" spans="1:15" ht="90" x14ac:dyDescent="0.25">
      <c r="A319" s="1">
        <v>318</v>
      </c>
      <c r="B319" s="71">
        <v>2022</v>
      </c>
      <c r="C319" s="179">
        <v>44613</v>
      </c>
      <c r="D319" s="112" t="s">
        <v>2606</v>
      </c>
      <c r="E319" s="183" t="s">
        <v>2942</v>
      </c>
      <c r="F319" s="71"/>
      <c r="G319" s="5">
        <v>35.533055555541068</v>
      </c>
      <c r="H319" s="4" t="s">
        <v>121</v>
      </c>
      <c r="I319" s="8" t="s">
        <v>575</v>
      </c>
      <c r="J319" s="8">
        <v>4814402</v>
      </c>
      <c r="K319" s="8" t="s">
        <v>3154</v>
      </c>
      <c r="L319" s="8" t="s">
        <v>3156</v>
      </c>
      <c r="M319" s="10" t="s">
        <v>3157</v>
      </c>
      <c r="N319" s="71"/>
    </row>
    <row r="320" spans="1:15" ht="30" x14ac:dyDescent="0.25">
      <c r="A320" s="1">
        <v>319</v>
      </c>
      <c r="B320" s="71">
        <v>2022</v>
      </c>
      <c r="C320" s="179">
        <v>44616</v>
      </c>
      <c r="D320" s="112" t="s">
        <v>9</v>
      </c>
      <c r="E320" s="183" t="s">
        <v>6</v>
      </c>
      <c r="F320" s="71"/>
      <c r="G320" s="5">
        <v>139.69694444455672</v>
      </c>
      <c r="H320" s="4" t="s">
        <v>121</v>
      </c>
      <c r="I320" s="8" t="s">
        <v>575</v>
      </c>
      <c r="J320" s="8" t="s">
        <v>3130</v>
      </c>
      <c r="K320" s="8" t="s">
        <v>3131</v>
      </c>
      <c r="L320" s="8" t="s">
        <v>3152</v>
      </c>
      <c r="M320" s="10" t="s">
        <v>3153</v>
      </c>
      <c r="N320" s="71"/>
    </row>
    <row r="321" spans="1:14" ht="45" x14ac:dyDescent="0.25">
      <c r="A321" s="1">
        <v>320</v>
      </c>
      <c r="B321" s="71">
        <v>2022</v>
      </c>
      <c r="C321" s="179">
        <v>44619</v>
      </c>
      <c r="D321" s="112">
        <v>55</v>
      </c>
      <c r="E321" s="183" t="s">
        <v>7</v>
      </c>
      <c r="F321" s="71"/>
      <c r="G321" s="5">
        <v>36.226111111056525</v>
      </c>
      <c r="H321" s="4" t="s">
        <v>110</v>
      </c>
      <c r="I321" s="8" t="s">
        <v>78</v>
      </c>
      <c r="J321" s="8">
        <v>4814843</v>
      </c>
      <c r="K321" s="8" t="s">
        <v>23</v>
      </c>
      <c r="L321" s="8" t="s">
        <v>3158</v>
      </c>
      <c r="M321" s="10" t="s">
        <v>3159</v>
      </c>
      <c r="N321" s="71"/>
    </row>
    <row r="322" spans="1:14" ht="45" x14ac:dyDescent="0.25">
      <c r="A322" s="1">
        <v>321</v>
      </c>
      <c r="B322" s="71">
        <v>2022</v>
      </c>
      <c r="C322" s="179">
        <v>44630</v>
      </c>
      <c r="D322" s="112">
        <v>55</v>
      </c>
      <c r="E322" s="183" t="s">
        <v>7</v>
      </c>
      <c r="F322" s="71"/>
      <c r="G322" s="5">
        <v>53.649166666727979</v>
      </c>
      <c r="H322" s="4" t="s">
        <v>110</v>
      </c>
      <c r="I322" s="8" t="s">
        <v>78</v>
      </c>
      <c r="J322" s="8">
        <v>4814744</v>
      </c>
      <c r="K322" s="8" t="s">
        <v>3155</v>
      </c>
      <c r="L322" s="8" t="s">
        <v>3160</v>
      </c>
      <c r="M322" s="10" t="s">
        <v>3161</v>
      </c>
      <c r="N322" s="71"/>
    </row>
    <row r="323" spans="1:14" s="204" customFormat="1" ht="60" x14ac:dyDescent="0.25">
      <c r="A323" s="204">
        <v>322</v>
      </c>
      <c r="B323" s="210">
        <v>2022</v>
      </c>
      <c r="C323" s="211">
        <v>44635</v>
      </c>
      <c r="D323" s="212" t="s">
        <v>3</v>
      </c>
      <c r="E323" s="183" t="s">
        <v>6</v>
      </c>
      <c r="F323" s="210"/>
      <c r="G323" s="206">
        <v>76.390555555466563</v>
      </c>
      <c r="H323" s="207" t="s">
        <v>643</v>
      </c>
      <c r="I323" s="208" t="s">
        <v>2843</v>
      </c>
      <c r="J323" s="208">
        <v>4814743</v>
      </c>
      <c r="K323" s="208" t="s">
        <v>23</v>
      </c>
      <c r="L323" s="208" t="s">
        <v>3162</v>
      </c>
      <c r="M323" s="213" t="s">
        <v>3163</v>
      </c>
      <c r="N323" s="210"/>
    </row>
    <row r="324" spans="1:14" s="204" customFormat="1" ht="210" x14ac:dyDescent="0.25">
      <c r="A324" s="204">
        <v>323</v>
      </c>
      <c r="B324" s="204">
        <v>2022</v>
      </c>
      <c r="C324" s="205">
        <v>44653</v>
      </c>
      <c r="D324" s="203" t="s">
        <v>17</v>
      </c>
      <c r="E324" s="204" t="s">
        <v>8</v>
      </c>
      <c r="G324" s="206">
        <v>37.099444444407709</v>
      </c>
      <c r="H324" s="207" t="s">
        <v>108</v>
      </c>
      <c r="I324" s="208" t="s">
        <v>72</v>
      </c>
      <c r="J324" s="208">
        <v>4071941</v>
      </c>
      <c r="K324" s="208" t="s">
        <v>23</v>
      </c>
      <c r="L324" s="208" t="s">
        <v>3182</v>
      </c>
      <c r="M324" s="213" t="s">
        <v>3195</v>
      </c>
      <c r="N324" s="210"/>
    </row>
    <row r="325" spans="1:14" s="204" customFormat="1" ht="150" x14ac:dyDescent="0.25">
      <c r="A325" s="204">
        <v>324</v>
      </c>
      <c r="B325" s="204">
        <v>2022</v>
      </c>
      <c r="C325" s="205">
        <v>44658</v>
      </c>
      <c r="D325" s="203">
        <v>55</v>
      </c>
      <c r="E325" s="204" t="s">
        <v>7</v>
      </c>
      <c r="F325" s="214"/>
      <c r="G325" s="209">
        <v>36.183055555564351</v>
      </c>
      <c r="H325" s="99" t="s">
        <v>110</v>
      </c>
      <c r="I325" s="100" t="s">
        <v>78</v>
      </c>
      <c r="J325" s="100">
        <v>4815483</v>
      </c>
      <c r="K325" s="100" t="s">
        <v>3175</v>
      </c>
      <c r="L325" s="208" t="s">
        <v>3183</v>
      </c>
      <c r="M325" s="213" t="s">
        <v>3194</v>
      </c>
      <c r="N325" s="210"/>
    </row>
    <row r="326" spans="1:14" s="204" customFormat="1" ht="30" x14ac:dyDescent="0.25">
      <c r="A326" s="204">
        <v>325</v>
      </c>
      <c r="B326" s="204">
        <v>2022</v>
      </c>
      <c r="C326" s="205">
        <v>44664</v>
      </c>
      <c r="D326" s="203" t="s">
        <v>3</v>
      </c>
      <c r="E326" s="210" t="s">
        <v>6</v>
      </c>
      <c r="F326" s="214"/>
      <c r="G326" s="209">
        <v>89.807222222210839</v>
      </c>
      <c r="H326" s="99" t="s">
        <v>117</v>
      </c>
      <c r="I326" s="100" t="s">
        <v>153</v>
      </c>
      <c r="J326" s="100">
        <v>792995</v>
      </c>
      <c r="K326" s="100" t="s">
        <v>3176</v>
      </c>
      <c r="L326" s="208" t="s">
        <v>3184</v>
      </c>
      <c r="M326" s="213" t="s">
        <v>3193</v>
      </c>
      <c r="N326" s="210"/>
    </row>
    <row r="327" spans="1:14" s="204" customFormat="1" ht="45" x14ac:dyDescent="0.25">
      <c r="A327" s="204">
        <v>326</v>
      </c>
      <c r="B327" s="204">
        <v>2022</v>
      </c>
      <c r="C327" s="205">
        <v>44671</v>
      </c>
      <c r="D327" s="202">
        <v>53</v>
      </c>
      <c r="E327" s="210" t="s">
        <v>7</v>
      </c>
      <c r="F327" s="214"/>
      <c r="G327" s="209">
        <v>28.719444444403052</v>
      </c>
      <c r="H327" s="99" t="s">
        <v>129</v>
      </c>
      <c r="I327" s="100" t="s">
        <v>2759</v>
      </c>
      <c r="J327" s="100">
        <v>4815650</v>
      </c>
      <c r="K327" s="100" t="s">
        <v>23</v>
      </c>
      <c r="L327" s="208" t="s">
        <v>3191</v>
      </c>
      <c r="M327" s="213" t="s">
        <v>3192</v>
      </c>
      <c r="N327" s="210"/>
    </row>
    <row r="328" spans="1:14" s="204" customFormat="1" ht="45" x14ac:dyDescent="0.25">
      <c r="A328" s="204">
        <v>327</v>
      </c>
      <c r="B328" s="204">
        <v>2022</v>
      </c>
      <c r="C328" s="205">
        <v>44676</v>
      </c>
      <c r="D328" s="203" t="s">
        <v>20</v>
      </c>
      <c r="E328" s="204" t="s">
        <v>8</v>
      </c>
      <c r="F328" s="214"/>
      <c r="G328" s="209">
        <v>135.99944444443099</v>
      </c>
      <c r="H328" s="99" t="s">
        <v>176</v>
      </c>
      <c r="I328" s="100" t="s">
        <v>3177</v>
      </c>
      <c r="J328" s="100">
        <v>4815725</v>
      </c>
      <c r="K328" s="100" t="s">
        <v>3178</v>
      </c>
      <c r="L328" s="208" t="s">
        <v>3185</v>
      </c>
      <c r="M328" s="213" t="s">
        <v>3190</v>
      </c>
      <c r="N328" s="210"/>
    </row>
    <row r="329" spans="1:14" s="204" customFormat="1" ht="30" x14ac:dyDescent="0.25">
      <c r="A329" s="204">
        <v>328</v>
      </c>
      <c r="B329" s="204">
        <v>2022</v>
      </c>
      <c r="C329" s="205">
        <v>44677</v>
      </c>
      <c r="D329" s="203" t="s">
        <v>3</v>
      </c>
      <c r="E329" s="204" t="s">
        <v>6</v>
      </c>
      <c r="F329" s="214"/>
      <c r="G329" s="209">
        <v>24.466666666790843</v>
      </c>
      <c r="H329" s="99" t="s">
        <v>643</v>
      </c>
      <c r="I329" s="100" t="s">
        <v>158</v>
      </c>
      <c r="J329" s="100">
        <v>4815889</v>
      </c>
      <c r="K329" s="100" t="s">
        <v>3179</v>
      </c>
      <c r="L329" s="208" t="s">
        <v>3186</v>
      </c>
      <c r="M329" s="213" t="s">
        <v>3189</v>
      </c>
    </row>
    <row r="330" spans="1:14" s="204" customFormat="1" ht="30" x14ac:dyDescent="0.25">
      <c r="A330" s="204">
        <v>329</v>
      </c>
      <c r="B330" s="204">
        <v>2022</v>
      </c>
      <c r="C330" s="205">
        <v>44678</v>
      </c>
      <c r="D330" s="203">
        <v>54</v>
      </c>
      <c r="E330" s="204" t="s">
        <v>7</v>
      </c>
      <c r="F330" s="214"/>
      <c r="G330" s="209">
        <v>332.83305555547122</v>
      </c>
      <c r="H330" s="99" t="s">
        <v>112</v>
      </c>
      <c r="I330" s="100" t="s">
        <v>81</v>
      </c>
      <c r="J330" s="100">
        <v>4815856</v>
      </c>
      <c r="K330" s="100" t="s">
        <v>3180</v>
      </c>
      <c r="L330" s="100" t="s">
        <v>3213</v>
      </c>
      <c r="M330" s="213" t="s">
        <v>3214</v>
      </c>
    </row>
    <row r="331" spans="1:14" s="204" customFormat="1" ht="195" x14ac:dyDescent="0.25">
      <c r="A331" s="204">
        <v>330</v>
      </c>
      <c r="B331" s="204">
        <v>2022</v>
      </c>
      <c r="C331" s="205">
        <v>44681</v>
      </c>
      <c r="D331" s="203" t="s">
        <v>626</v>
      </c>
      <c r="E331" s="204" t="s">
        <v>7</v>
      </c>
      <c r="F331" s="214"/>
      <c r="G331" s="209">
        <v>64.313333333353512</v>
      </c>
      <c r="H331" s="99" t="s">
        <v>112</v>
      </c>
      <c r="I331" s="100" t="s">
        <v>82</v>
      </c>
      <c r="J331" s="100">
        <v>4815925</v>
      </c>
      <c r="K331" s="100" t="s">
        <v>3181</v>
      </c>
      <c r="L331" s="100" t="s">
        <v>3187</v>
      </c>
      <c r="M331" s="213" t="s">
        <v>3188</v>
      </c>
    </row>
    <row r="332" spans="1:14" ht="30" x14ac:dyDescent="0.25">
      <c r="A332" s="204">
        <v>331</v>
      </c>
      <c r="B332" s="204">
        <v>2022</v>
      </c>
      <c r="C332" s="205">
        <v>44707</v>
      </c>
      <c r="D332" s="203">
        <v>58</v>
      </c>
      <c r="E332" s="204" t="s">
        <v>7</v>
      </c>
      <c r="F332" s="214"/>
      <c r="G332" s="209">
        <v>62.25</v>
      </c>
      <c r="H332" s="99" t="s">
        <v>218</v>
      </c>
      <c r="I332" s="100" t="s">
        <v>3094</v>
      </c>
      <c r="J332" s="100">
        <v>4816345</v>
      </c>
      <c r="K332" s="100" t="s">
        <v>3196</v>
      </c>
      <c r="L332" s="100" t="s">
        <v>3215</v>
      </c>
      <c r="M332" s="213" t="s">
        <v>3216</v>
      </c>
      <c r="N332" s="204"/>
    </row>
    <row r="333" spans="1:14" ht="135" x14ac:dyDescent="0.25">
      <c r="A333" s="204">
        <v>332</v>
      </c>
      <c r="B333" s="204">
        <v>2022</v>
      </c>
      <c r="C333" s="205">
        <v>44712</v>
      </c>
      <c r="D333" s="203" t="s">
        <v>10</v>
      </c>
      <c r="E333" s="204" t="s">
        <v>6</v>
      </c>
      <c r="F333" s="214"/>
      <c r="G333" s="209">
        <v>151.41666666674428</v>
      </c>
      <c r="H333" s="99" t="s">
        <v>117</v>
      </c>
      <c r="I333" s="100" t="s">
        <v>181</v>
      </c>
      <c r="J333" s="100">
        <v>4816439</v>
      </c>
      <c r="K333" s="100" t="s">
        <v>23</v>
      </c>
      <c r="L333" s="100" t="s">
        <v>3248</v>
      </c>
      <c r="M333" s="213" t="s">
        <v>3249</v>
      </c>
      <c r="N333" s="204"/>
    </row>
    <row r="334" spans="1:14" ht="120" x14ac:dyDescent="0.25">
      <c r="A334" s="204">
        <v>333</v>
      </c>
      <c r="B334" s="204">
        <v>2022</v>
      </c>
      <c r="C334" s="205">
        <v>44712</v>
      </c>
      <c r="D334" s="203">
        <v>54</v>
      </c>
      <c r="E334" s="204" t="s">
        <v>7</v>
      </c>
      <c r="F334" s="214"/>
      <c r="G334" s="209">
        <v>108.48333333333721</v>
      </c>
      <c r="H334" s="99" t="s">
        <v>114</v>
      </c>
      <c r="I334" s="100" t="s">
        <v>3240</v>
      </c>
      <c r="J334" s="100">
        <v>4816411</v>
      </c>
      <c r="K334" s="100" t="s">
        <v>3241</v>
      </c>
      <c r="L334" s="100" t="s">
        <v>3250</v>
      </c>
      <c r="M334" s="213" t="s">
        <v>3251</v>
      </c>
      <c r="N334" s="204"/>
    </row>
    <row r="335" spans="1:14" x14ac:dyDescent="0.25">
      <c r="A335" s="204">
        <v>334</v>
      </c>
      <c r="B335" s="204">
        <v>2022</v>
      </c>
      <c r="C335" s="205">
        <v>44717</v>
      </c>
      <c r="D335" s="203">
        <v>53</v>
      </c>
      <c r="E335" s="204" t="s">
        <v>7</v>
      </c>
      <c r="F335" s="214"/>
      <c r="G335" s="209">
        <v>31.566388888866641</v>
      </c>
      <c r="H335" s="99" t="s">
        <v>113</v>
      </c>
      <c r="I335" s="100" t="s">
        <v>593</v>
      </c>
      <c r="J335" s="100">
        <v>1776468</v>
      </c>
      <c r="K335" s="100" t="s">
        <v>3242</v>
      </c>
      <c r="L335" s="100" t="s">
        <v>254</v>
      </c>
      <c r="M335" s="197" t="s">
        <v>254</v>
      </c>
      <c r="N335" s="204"/>
    </row>
    <row r="336" spans="1:14" x14ac:dyDescent="0.25">
      <c r="A336" s="204">
        <v>335</v>
      </c>
      <c r="B336" s="204">
        <v>2022</v>
      </c>
      <c r="C336" s="205">
        <v>44719</v>
      </c>
      <c r="D336" s="203">
        <v>53</v>
      </c>
      <c r="E336" s="204" t="s">
        <v>7</v>
      </c>
      <c r="F336" s="214"/>
      <c r="G336" s="209">
        <v>72.149999999965075</v>
      </c>
      <c r="H336" s="99" t="s">
        <v>129</v>
      </c>
      <c r="I336" s="100" t="s">
        <v>2759</v>
      </c>
      <c r="J336" s="100">
        <v>1776476</v>
      </c>
      <c r="K336" s="100" t="s">
        <v>3243</v>
      </c>
      <c r="L336" s="100" t="s">
        <v>254</v>
      </c>
      <c r="M336" s="197" t="s">
        <v>254</v>
      </c>
      <c r="N336" s="204"/>
    </row>
    <row r="337" spans="1:14" ht="30" x14ac:dyDescent="0.25">
      <c r="A337" s="204">
        <v>336</v>
      </c>
      <c r="B337" s="204">
        <v>2022</v>
      </c>
      <c r="C337" s="205">
        <v>44724</v>
      </c>
      <c r="D337" s="203">
        <v>54</v>
      </c>
      <c r="E337" s="204" t="s">
        <v>7</v>
      </c>
      <c r="F337" s="214"/>
      <c r="G337" s="209">
        <v>82.716666666674428</v>
      </c>
      <c r="H337" s="99" t="s">
        <v>114</v>
      </c>
      <c r="I337" s="100" t="s">
        <v>3244</v>
      </c>
      <c r="J337" s="100">
        <v>4251945</v>
      </c>
      <c r="K337" s="100" t="s">
        <v>3245</v>
      </c>
      <c r="L337" s="100" t="s">
        <v>3252</v>
      </c>
      <c r="M337" s="213" t="s">
        <v>3253</v>
      </c>
      <c r="N337" s="204"/>
    </row>
    <row r="338" spans="1:14" ht="30" x14ac:dyDescent="0.25">
      <c r="A338" s="204">
        <v>337</v>
      </c>
      <c r="B338" s="204">
        <v>2022</v>
      </c>
      <c r="C338" s="205">
        <v>44724</v>
      </c>
      <c r="D338" s="203">
        <v>53</v>
      </c>
      <c r="E338" s="204" t="s">
        <v>7</v>
      </c>
      <c r="F338" s="214"/>
      <c r="G338" s="209">
        <v>45.899999999965075</v>
      </c>
      <c r="H338" s="99" t="s">
        <v>115</v>
      </c>
      <c r="I338" s="100" t="s">
        <v>101</v>
      </c>
      <c r="J338" s="100">
        <v>4816621</v>
      </c>
      <c r="K338" s="100" t="s">
        <v>23</v>
      </c>
      <c r="L338" s="100" t="s">
        <v>3254</v>
      </c>
      <c r="M338" s="213" t="s">
        <v>3255</v>
      </c>
      <c r="N338" s="204"/>
    </row>
    <row r="339" spans="1:14" x14ac:dyDescent="0.25">
      <c r="A339" s="204">
        <v>339</v>
      </c>
      <c r="B339" s="204">
        <v>2022</v>
      </c>
      <c r="C339" s="205">
        <v>44732</v>
      </c>
      <c r="D339" s="203">
        <v>54</v>
      </c>
      <c r="E339" s="204" t="s">
        <v>7</v>
      </c>
      <c r="F339" s="214"/>
      <c r="G339" s="209">
        <v>25.583333333430346</v>
      </c>
      <c r="H339" s="99" t="s">
        <v>113</v>
      </c>
      <c r="I339" s="100" t="s">
        <v>599</v>
      </c>
      <c r="J339" s="100">
        <v>4251951</v>
      </c>
      <c r="K339" s="100" t="s">
        <v>3246</v>
      </c>
      <c r="L339" s="100" t="s">
        <v>3256</v>
      </c>
      <c r="M339" s="213" t="s">
        <v>3257</v>
      </c>
      <c r="N339" s="204"/>
    </row>
    <row r="340" spans="1:14" ht="135" x14ac:dyDescent="0.25">
      <c r="A340" s="204">
        <v>340</v>
      </c>
      <c r="B340" s="204">
        <v>2022</v>
      </c>
      <c r="C340" s="205">
        <v>44737</v>
      </c>
      <c r="D340" s="203" t="s">
        <v>10</v>
      </c>
      <c r="E340" s="204" t="s">
        <v>6</v>
      </c>
      <c r="F340" s="214"/>
      <c r="G340" s="209">
        <v>124.2666666667792</v>
      </c>
      <c r="H340" s="99" t="s">
        <v>117</v>
      </c>
      <c r="I340" s="100" t="s">
        <v>181</v>
      </c>
      <c r="J340" s="100">
        <v>4816439</v>
      </c>
      <c r="K340" s="100" t="s">
        <v>23</v>
      </c>
      <c r="L340" s="100" t="s">
        <v>3248</v>
      </c>
      <c r="M340" s="213" t="s">
        <v>3258</v>
      </c>
      <c r="N340" s="204"/>
    </row>
    <row r="341" spans="1:14" ht="30" x14ac:dyDescent="0.25">
      <c r="A341" s="204">
        <v>341</v>
      </c>
      <c r="B341" s="204">
        <v>2022</v>
      </c>
      <c r="C341" s="205">
        <v>44737</v>
      </c>
      <c r="D341" s="203">
        <v>53</v>
      </c>
      <c r="E341" s="204" t="s">
        <v>7</v>
      </c>
      <c r="F341" s="214"/>
      <c r="G341" s="209">
        <v>62.733333333337214</v>
      </c>
      <c r="H341" s="99" t="s">
        <v>115</v>
      </c>
      <c r="I341" s="100" t="s">
        <v>2692</v>
      </c>
      <c r="J341" s="100">
        <v>4816907</v>
      </c>
      <c r="K341" s="100" t="s">
        <v>3247</v>
      </c>
      <c r="L341" s="100" t="s">
        <v>3259</v>
      </c>
      <c r="M341" s="213" t="s">
        <v>3260</v>
      </c>
      <c r="N341" s="204"/>
    </row>
    <row r="342" spans="1:14" ht="150" x14ac:dyDescent="0.25">
      <c r="A342" s="204">
        <v>342</v>
      </c>
      <c r="B342" s="204">
        <v>2022</v>
      </c>
      <c r="C342" s="205">
        <v>44751</v>
      </c>
      <c r="D342" s="203" t="s">
        <v>10</v>
      </c>
      <c r="E342" s="204" t="s">
        <v>6</v>
      </c>
      <c r="F342" s="214"/>
      <c r="G342" s="209">
        <v>195</v>
      </c>
      <c r="H342" s="99" t="s">
        <v>117</v>
      </c>
      <c r="I342" s="100" t="s">
        <v>153</v>
      </c>
      <c r="J342" s="100">
        <v>4532599</v>
      </c>
      <c r="K342" s="100" t="s">
        <v>23</v>
      </c>
      <c r="L342" s="100" t="s">
        <v>3276</v>
      </c>
      <c r="M342" s="213" t="s">
        <v>3277</v>
      </c>
      <c r="N342" s="204"/>
    </row>
    <row r="343" spans="1:14" ht="15" customHeight="1" x14ac:dyDescent="0.25">
      <c r="A343" s="204">
        <v>343</v>
      </c>
      <c r="B343" s="204">
        <v>2022</v>
      </c>
      <c r="C343" s="205">
        <v>44762</v>
      </c>
      <c r="D343" s="203" t="s">
        <v>17</v>
      </c>
      <c r="E343" s="204" t="s">
        <v>8</v>
      </c>
      <c r="F343" s="214"/>
      <c r="G343" s="209">
        <v>28.5</v>
      </c>
      <c r="H343" s="99" t="s">
        <v>104</v>
      </c>
      <c r="I343" s="100" t="s">
        <v>72</v>
      </c>
      <c r="J343" s="100">
        <v>4072127</v>
      </c>
      <c r="K343" s="100" t="s">
        <v>23</v>
      </c>
      <c r="L343" s="100" t="s">
        <v>3278</v>
      </c>
      <c r="M343" s="213" t="s">
        <v>2676</v>
      </c>
      <c r="N343" s="204"/>
    </row>
    <row r="344" spans="1:14" ht="75" x14ac:dyDescent="0.25">
      <c r="A344" s="204">
        <v>344</v>
      </c>
      <c r="B344" s="204">
        <v>2022</v>
      </c>
      <c r="C344" s="205">
        <v>44768</v>
      </c>
      <c r="D344" s="203">
        <v>54</v>
      </c>
      <c r="E344" s="204" t="s">
        <v>7</v>
      </c>
      <c r="F344" s="214"/>
      <c r="G344" s="209">
        <v>116.20000000001164</v>
      </c>
      <c r="H344" s="99" t="s">
        <v>114</v>
      </c>
      <c r="I344" s="100" t="s">
        <v>85</v>
      </c>
      <c r="J344" s="100">
        <v>4817452</v>
      </c>
      <c r="K344" s="100" t="s">
        <v>3311</v>
      </c>
      <c r="L344" s="100" t="s">
        <v>3317</v>
      </c>
      <c r="M344" s="213" t="s">
        <v>3318</v>
      </c>
      <c r="N344" s="204"/>
    </row>
    <row r="345" spans="1:14" ht="30" x14ac:dyDescent="0.25">
      <c r="A345" s="204">
        <v>345</v>
      </c>
      <c r="B345" s="204">
        <v>2022</v>
      </c>
      <c r="C345" s="205">
        <v>44778</v>
      </c>
      <c r="D345" s="203" t="s">
        <v>10</v>
      </c>
      <c r="E345" s="204" t="s">
        <v>6</v>
      </c>
      <c r="F345" s="214"/>
      <c r="G345" s="209">
        <v>46.816666666651145</v>
      </c>
      <c r="H345" s="99" t="s">
        <v>121</v>
      </c>
      <c r="I345" s="100" t="s">
        <v>2726</v>
      </c>
      <c r="J345" s="100">
        <v>4817827</v>
      </c>
      <c r="K345" s="100" t="s">
        <v>23</v>
      </c>
      <c r="L345" s="100" t="s">
        <v>3319</v>
      </c>
      <c r="M345" s="213" t="s">
        <v>3320</v>
      </c>
      <c r="N345" s="204"/>
    </row>
    <row r="346" spans="1:14" ht="30" x14ac:dyDescent="0.25">
      <c r="A346" s="204">
        <v>346</v>
      </c>
      <c r="B346" s="204">
        <v>2022</v>
      </c>
      <c r="C346" s="205">
        <v>44781</v>
      </c>
      <c r="D346" s="203" t="s">
        <v>2</v>
      </c>
      <c r="E346" s="204" t="s">
        <v>6</v>
      </c>
      <c r="F346" s="214"/>
      <c r="G346" s="209">
        <v>169.88333333318587</v>
      </c>
      <c r="H346" s="99" t="s">
        <v>643</v>
      </c>
      <c r="I346" s="100" t="s">
        <v>2843</v>
      </c>
      <c r="J346" s="100">
        <v>1779011</v>
      </c>
      <c r="K346" s="100" t="s">
        <v>3312</v>
      </c>
      <c r="L346" s="100" t="s">
        <v>254</v>
      </c>
      <c r="M346" s="271" t="s">
        <v>254</v>
      </c>
      <c r="N346" s="204"/>
    </row>
    <row r="347" spans="1:14" ht="30" x14ac:dyDescent="0.25">
      <c r="A347" s="204">
        <v>347</v>
      </c>
      <c r="B347" s="204">
        <v>2022</v>
      </c>
      <c r="C347" s="205">
        <v>44784</v>
      </c>
      <c r="D347" s="203" t="s">
        <v>10</v>
      </c>
      <c r="E347" s="204" t="s">
        <v>6</v>
      </c>
      <c r="F347" s="214"/>
      <c r="G347" s="209">
        <v>78.133333333244082</v>
      </c>
      <c r="H347" s="99" t="s">
        <v>123</v>
      </c>
      <c r="I347" s="100" t="s">
        <v>79</v>
      </c>
      <c r="J347" s="100">
        <v>4817430</v>
      </c>
      <c r="K347" s="100" t="s">
        <v>23</v>
      </c>
      <c r="L347" s="100" t="s">
        <v>3321</v>
      </c>
      <c r="M347" s="213" t="s">
        <v>3322</v>
      </c>
      <c r="N347" s="204"/>
    </row>
    <row r="348" spans="1:14" ht="45" x14ac:dyDescent="0.25">
      <c r="A348" s="204">
        <v>348</v>
      </c>
      <c r="B348" s="204">
        <v>2022</v>
      </c>
      <c r="C348" s="205">
        <v>44786</v>
      </c>
      <c r="D348" s="203" t="s">
        <v>19</v>
      </c>
      <c r="E348" s="204" t="s">
        <v>8</v>
      </c>
      <c r="F348" s="214"/>
      <c r="G348" s="209">
        <v>44.150000000023283</v>
      </c>
      <c r="H348" s="99" t="s">
        <v>2900</v>
      </c>
      <c r="I348" s="100" t="s">
        <v>72</v>
      </c>
      <c r="J348" s="100">
        <v>851900</v>
      </c>
      <c r="K348" s="100" t="s">
        <v>3313</v>
      </c>
      <c r="L348" s="100" t="s">
        <v>3323</v>
      </c>
      <c r="M348" s="213" t="s">
        <v>3324</v>
      </c>
      <c r="N348" s="204"/>
    </row>
    <row r="349" spans="1:14" ht="30" x14ac:dyDescent="0.25">
      <c r="A349" s="204">
        <v>349</v>
      </c>
      <c r="B349" s="204">
        <v>2022</v>
      </c>
      <c r="C349" s="205">
        <v>44790</v>
      </c>
      <c r="D349" s="203" t="s">
        <v>19</v>
      </c>
      <c r="E349" s="204" t="s">
        <v>8</v>
      </c>
      <c r="F349" s="214"/>
      <c r="G349" s="209">
        <v>34.266666666604578</v>
      </c>
      <c r="H349" s="99" t="s">
        <v>106</v>
      </c>
      <c r="I349" s="100" t="s">
        <v>72</v>
      </c>
      <c r="J349" s="100">
        <v>851907</v>
      </c>
      <c r="K349" s="100" t="s">
        <v>3314</v>
      </c>
      <c r="L349" s="100" t="s">
        <v>3325</v>
      </c>
      <c r="M349" s="213" t="s">
        <v>2750</v>
      </c>
      <c r="N349" s="204"/>
    </row>
    <row r="350" spans="1:14" ht="60" x14ac:dyDescent="0.25">
      <c r="A350" s="204">
        <v>350</v>
      </c>
      <c r="B350" s="204">
        <v>2022</v>
      </c>
      <c r="C350" s="205">
        <v>44800</v>
      </c>
      <c r="D350" s="203" t="s">
        <v>10</v>
      </c>
      <c r="E350" s="204" t="s">
        <v>6</v>
      </c>
      <c r="F350" s="214"/>
      <c r="G350" s="209">
        <v>35.566666666651145</v>
      </c>
      <c r="H350" s="99" t="s">
        <v>2853</v>
      </c>
      <c r="I350" s="100" t="s">
        <v>3315</v>
      </c>
      <c r="J350" s="100">
        <v>4818043</v>
      </c>
      <c r="K350" s="100" t="s">
        <v>23</v>
      </c>
      <c r="L350" s="100" t="s">
        <v>3326</v>
      </c>
      <c r="M350" s="213" t="s">
        <v>3327</v>
      </c>
      <c r="N350" s="204"/>
    </row>
    <row r="351" spans="1:14" ht="30" x14ac:dyDescent="0.25">
      <c r="A351" s="204">
        <v>351</v>
      </c>
      <c r="B351" s="204">
        <v>2022</v>
      </c>
      <c r="C351" s="205">
        <v>44801</v>
      </c>
      <c r="D351" s="203" t="s">
        <v>2</v>
      </c>
      <c r="E351" s="204" t="s">
        <v>6</v>
      </c>
      <c r="F351" s="214"/>
      <c r="G351" s="209">
        <v>25.050000000104774</v>
      </c>
      <c r="H351" s="99" t="s">
        <v>123</v>
      </c>
      <c r="I351" s="100" t="s">
        <v>79</v>
      </c>
      <c r="J351" s="100">
        <v>1729214</v>
      </c>
      <c r="K351" s="100" t="s">
        <v>3316</v>
      </c>
      <c r="L351" s="100" t="s">
        <v>3328</v>
      </c>
      <c r="M351" s="213" t="s">
        <v>3329</v>
      </c>
      <c r="N351" s="204"/>
    </row>
    <row r="352" spans="1:14" x14ac:dyDescent="0.25">
      <c r="A352" s="204">
        <v>352</v>
      </c>
      <c r="B352" s="204">
        <v>2022</v>
      </c>
      <c r="C352" s="205">
        <v>44809</v>
      </c>
      <c r="D352" s="203" t="s">
        <v>10</v>
      </c>
      <c r="E352" s="204" t="s">
        <v>6</v>
      </c>
      <c r="F352" s="214"/>
      <c r="G352" s="209">
        <v>24.316666666651145</v>
      </c>
      <c r="H352" s="99" t="s">
        <v>121</v>
      </c>
      <c r="I352" s="100" t="s">
        <v>575</v>
      </c>
      <c r="J352" s="100">
        <v>4174225</v>
      </c>
      <c r="K352" s="100" t="s">
        <v>3357</v>
      </c>
      <c r="L352" s="100"/>
      <c r="M352" s="213"/>
      <c r="N352" s="204"/>
    </row>
    <row r="353" spans="1:14" x14ac:dyDescent="0.25">
      <c r="A353" s="204">
        <v>353</v>
      </c>
      <c r="B353" s="204">
        <v>2022</v>
      </c>
      <c r="C353" s="205">
        <v>44811</v>
      </c>
      <c r="D353" s="203" t="s">
        <v>2605</v>
      </c>
      <c r="E353" s="204" t="s">
        <v>2942</v>
      </c>
      <c r="F353" s="214"/>
      <c r="G353" s="209">
        <v>70.850000000093132</v>
      </c>
      <c r="H353" s="99" t="s">
        <v>2853</v>
      </c>
      <c r="I353" s="100" t="s">
        <v>2854</v>
      </c>
      <c r="J353" s="100" t="s">
        <v>23</v>
      </c>
      <c r="K353" s="100" t="s">
        <v>3358</v>
      </c>
      <c r="L353" s="100"/>
      <c r="M353" s="213"/>
      <c r="N353" s="204"/>
    </row>
    <row r="354" spans="1:14" ht="30" x14ac:dyDescent="0.25">
      <c r="A354" s="204">
        <v>354</v>
      </c>
      <c r="B354" s="204">
        <v>2022</v>
      </c>
      <c r="C354" s="205">
        <v>44817</v>
      </c>
      <c r="D354" s="203">
        <v>54</v>
      </c>
      <c r="E354" s="204" t="s">
        <v>7</v>
      </c>
      <c r="F354" s="214"/>
      <c r="G354" s="209">
        <v>26.71666666661622</v>
      </c>
      <c r="H354" s="99" t="s">
        <v>110</v>
      </c>
      <c r="I354" s="100" t="s">
        <v>78</v>
      </c>
      <c r="J354" s="100">
        <v>4251964</v>
      </c>
      <c r="K354" s="100" t="s">
        <v>3359</v>
      </c>
      <c r="L354" s="100"/>
      <c r="M354" s="213"/>
      <c r="N354" s="204"/>
    </row>
    <row r="355" spans="1:14" x14ac:dyDescent="0.25">
      <c r="A355" s="204">
        <v>355</v>
      </c>
      <c r="B355" s="204">
        <v>2022</v>
      </c>
      <c r="C355" s="205">
        <v>44820</v>
      </c>
      <c r="D355" s="203" t="s">
        <v>4</v>
      </c>
      <c r="E355" s="204" t="s">
        <v>6</v>
      </c>
      <c r="F355" s="214"/>
      <c r="G355" s="209">
        <v>120.96666666667443</v>
      </c>
      <c r="H355" s="99" t="s">
        <v>3360</v>
      </c>
      <c r="I355" s="100" t="s">
        <v>3361</v>
      </c>
      <c r="J355" s="100" t="s">
        <v>23</v>
      </c>
      <c r="K355" s="100" t="s">
        <v>23</v>
      </c>
      <c r="L355" s="100"/>
      <c r="M355" s="213"/>
      <c r="N355" s="204"/>
    </row>
    <row r="356" spans="1:14" x14ac:dyDescent="0.25">
      <c r="A356" s="204">
        <v>356</v>
      </c>
      <c r="B356" s="204">
        <v>2022</v>
      </c>
      <c r="C356" s="205">
        <v>44833</v>
      </c>
      <c r="D356" s="203" t="s">
        <v>10</v>
      </c>
      <c r="E356" s="204" t="s">
        <v>6</v>
      </c>
      <c r="F356" s="214"/>
      <c r="G356" s="209">
        <v>35.033333333325572</v>
      </c>
      <c r="H356" s="99" t="s">
        <v>117</v>
      </c>
      <c r="I356" s="100" t="s">
        <v>558</v>
      </c>
      <c r="J356" s="100">
        <v>4818797</v>
      </c>
      <c r="K356" s="100" t="s">
        <v>23</v>
      </c>
      <c r="L356" s="100"/>
      <c r="M356" s="213"/>
      <c r="N356" s="204"/>
    </row>
    <row r="357" spans="1:14" x14ac:dyDescent="0.25">
      <c r="A357" s="204"/>
      <c r="B357" s="204"/>
      <c r="C357" s="205"/>
      <c r="D357" s="203"/>
      <c r="E357" s="204"/>
      <c r="F357" s="214"/>
      <c r="G357" s="209"/>
      <c r="H357" s="99"/>
      <c r="I357" s="100"/>
      <c r="J357" s="100"/>
      <c r="K357" s="100"/>
      <c r="L357" s="100"/>
      <c r="M357" s="213"/>
      <c r="N357" s="204"/>
    </row>
    <row r="358" spans="1:14" x14ac:dyDescent="0.25">
      <c r="A358" s="204"/>
      <c r="B358" s="204"/>
      <c r="C358" s="205"/>
      <c r="D358" s="203"/>
      <c r="E358" s="204"/>
      <c r="F358" s="214"/>
      <c r="G358" s="209"/>
      <c r="H358" s="99"/>
      <c r="I358" s="100"/>
      <c r="J358" s="100"/>
      <c r="K358" s="100"/>
      <c r="L358" s="100"/>
      <c r="M358" s="213"/>
      <c r="N358" s="204"/>
    </row>
    <row r="359" spans="1:14" x14ac:dyDescent="0.25">
      <c r="A359" s="204"/>
      <c r="B359" s="204"/>
      <c r="C359" s="205"/>
      <c r="D359" s="203"/>
      <c r="E359" s="204"/>
      <c r="F359" s="214"/>
      <c r="G359" s="209"/>
      <c r="H359" s="99"/>
      <c r="I359" s="100"/>
      <c r="J359" s="100"/>
      <c r="K359" s="100"/>
      <c r="L359" s="100"/>
      <c r="M359" s="213"/>
      <c r="N359" s="204"/>
    </row>
    <row r="360" spans="1:14" x14ac:dyDescent="0.25">
      <c r="A360" s="204"/>
      <c r="B360" s="204"/>
      <c r="C360" s="205"/>
      <c r="D360" s="203"/>
      <c r="E360" s="204"/>
      <c r="F360" s="214"/>
      <c r="G360" s="209"/>
      <c r="H360" s="99"/>
      <c r="I360" s="100"/>
      <c r="J360" s="100"/>
      <c r="K360" s="100"/>
      <c r="L360" s="100"/>
      <c r="M360" s="213"/>
      <c r="N360" s="204"/>
    </row>
    <row r="361" spans="1:14" x14ac:dyDescent="0.25">
      <c r="A361" s="204"/>
      <c r="B361" s="204"/>
      <c r="C361" s="205"/>
      <c r="D361" s="203"/>
      <c r="E361" s="204"/>
      <c r="F361" s="214"/>
      <c r="G361" s="209"/>
      <c r="H361" s="99"/>
      <c r="I361" s="100"/>
      <c r="J361" s="100"/>
      <c r="K361" s="100"/>
      <c r="L361" s="100"/>
      <c r="M361" s="213"/>
      <c r="N361" s="204"/>
    </row>
    <row r="362" spans="1:14" x14ac:dyDescent="0.25">
      <c r="A362" s="204"/>
      <c r="B362" s="204"/>
      <c r="C362" s="205"/>
      <c r="D362" s="203"/>
      <c r="E362" s="204"/>
      <c r="F362" s="214"/>
      <c r="G362" s="209"/>
      <c r="H362" s="99"/>
      <c r="I362" s="100"/>
      <c r="J362" s="100"/>
      <c r="K362" s="100"/>
      <c r="L362" s="100"/>
      <c r="M362" s="213"/>
      <c r="N362" s="204"/>
    </row>
    <row r="363" spans="1:14" x14ac:dyDescent="0.25">
      <c r="A363" s="204"/>
      <c r="B363" s="204"/>
      <c r="C363" s="205"/>
      <c r="D363" s="203"/>
      <c r="E363" s="204"/>
      <c r="F363" s="214"/>
      <c r="G363" s="209"/>
      <c r="H363" s="99"/>
      <c r="I363" s="100"/>
      <c r="J363" s="100"/>
      <c r="K363" s="100"/>
      <c r="L363" s="100"/>
      <c r="M363" s="213"/>
      <c r="N363" s="204"/>
    </row>
    <row r="364" spans="1:14" x14ac:dyDescent="0.25">
      <c r="A364" s="204"/>
      <c r="B364" s="204"/>
      <c r="C364" s="205"/>
      <c r="D364" s="203"/>
      <c r="E364" s="204"/>
      <c r="F364" s="214"/>
      <c r="G364" s="209"/>
      <c r="H364" s="99"/>
      <c r="I364" s="100"/>
      <c r="J364" s="100"/>
      <c r="K364" s="100"/>
      <c r="L364" s="100"/>
      <c r="M364" s="213"/>
      <c r="N364" s="204"/>
    </row>
    <row r="365" spans="1:14" x14ac:dyDescent="0.25">
      <c r="A365" s="204"/>
      <c r="B365" s="204"/>
      <c r="C365" s="205"/>
      <c r="D365" s="203"/>
      <c r="E365" s="204"/>
      <c r="F365" s="214"/>
      <c r="G365" s="209"/>
      <c r="H365" s="99"/>
      <c r="I365" s="100"/>
      <c r="J365" s="100"/>
      <c r="K365" s="100"/>
      <c r="L365" s="100"/>
      <c r="M365" s="213"/>
      <c r="N365" s="204"/>
    </row>
    <row r="366" spans="1:14" x14ac:dyDescent="0.25">
      <c r="A366" s="204"/>
      <c r="B366" s="204"/>
      <c r="C366" s="205"/>
      <c r="D366" s="203"/>
      <c r="E366" s="204"/>
      <c r="F366" s="214"/>
      <c r="G366" s="209"/>
      <c r="H366" s="99"/>
      <c r="I366" s="100"/>
      <c r="J366" s="100"/>
      <c r="K366" s="100"/>
      <c r="L366" s="100"/>
      <c r="M366" s="213"/>
      <c r="N366" s="204"/>
    </row>
    <row r="367" spans="1:14" x14ac:dyDescent="0.25">
      <c r="F367" s="173"/>
      <c r="G367" s="97"/>
      <c r="H367" s="45"/>
      <c r="I367" s="101"/>
      <c r="J367" s="101"/>
      <c r="K367" s="101"/>
      <c r="L367" s="101"/>
      <c r="M367" s="10"/>
    </row>
    <row r="368" spans="1:14" x14ac:dyDescent="0.25">
      <c r="F368" s="173"/>
      <c r="G368" s="97"/>
      <c r="H368" s="45"/>
      <c r="I368" s="78"/>
      <c r="J368" s="78"/>
      <c r="K368" s="78"/>
      <c r="L368" s="78"/>
      <c r="M368" s="10"/>
    </row>
    <row r="369" spans="6:13" x14ac:dyDescent="0.25">
      <c r="F369" s="173"/>
      <c r="G369" s="97"/>
      <c r="H369" s="45"/>
      <c r="I369" s="78"/>
      <c r="J369" s="78"/>
      <c r="K369" s="78"/>
      <c r="L369" s="78"/>
      <c r="M369" s="10"/>
    </row>
    <row r="370" spans="6:13" x14ac:dyDescent="0.25">
      <c r="F370" s="173"/>
      <c r="G370" s="97"/>
      <c r="H370" s="45"/>
      <c r="I370" s="78"/>
      <c r="J370" s="102"/>
      <c r="K370" s="102"/>
      <c r="L370" s="102"/>
      <c r="M370" s="10"/>
    </row>
    <row r="371" spans="6:13" x14ac:dyDescent="0.25">
      <c r="F371" s="173"/>
      <c r="G371" s="97"/>
      <c r="H371" s="45"/>
      <c r="I371" s="215"/>
      <c r="J371" s="102"/>
      <c r="K371" s="102"/>
      <c r="L371" s="102"/>
      <c r="M371" s="10"/>
    </row>
    <row r="372" spans="6:13" x14ac:dyDescent="0.25">
      <c r="F372" s="274"/>
      <c r="G372" s="274"/>
      <c r="H372" s="45"/>
      <c r="I372" s="215"/>
      <c r="J372" s="103"/>
      <c r="K372" s="103"/>
      <c r="L372" s="103"/>
      <c r="M372" s="10"/>
    </row>
    <row r="373" spans="6:13" x14ac:dyDescent="0.25">
      <c r="F373" s="173"/>
      <c r="G373" s="97"/>
      <c r="H373" s="173"/>
      <c r="I373" s="78"/>
      <c r="J373" s="78"/>
      <c r="K373" s="78"/>
      <c r="L373" s="78"/>
      <c r="M373" s="10"/>
    </row>
    <row r="374" spans="6:13" x14ac:dyDescent="0.25">
      <c r="F374" s="173"/>
      <c r="G374" s="97"/>
      <c r="H374" s="173"/>
      <c r="I374" s="98"/>
      <c r="J374" s="98"/>
      <c r="K374" s="98"/>
      <c r="L374" s="98"/>
      <c r="M374" s="10"/>
    </row>
    <row r="375" spans="6:13" x14ac:dyDescent="0.25">
      <c r="F375" s="173"/>
      <c r="G375" s="97"/>
      <c r="H375" s="45"/>
      <c r="I375" s="98"/>
      <c r="J375" s="102"/>
      <c r="K375" s="102"/>
      <c r="L375" s="102"/>
      <c r="M375" s="10"/>
    </row>
    <row r="376" spans="6:13" x14ac:dyDescent="0.25">
      <c r="F376" s="274"/>
      <c r="G376" s="274"/>
      <c r="H376" s="45"/>
      <c r="I376" s="98"/>
      <c r="J376" s="103"/>
      <c r="K376" s="103"/>
      <c r="L376" s="103"/>
      <c r="M376" s="10"/>
    </row>
    <row r="377" spans="6:13" x14ac:dyDescent="0.25">
      <c r="F377" s="173"/>
      <c r="G377" s="97"/>
      <c r="H377" s="173"/>
      <c r="I377" s="78"/>
      <c r="J377" s="78"/>
      <c r="K377" s="78"/>
      <c r="L377" s="78"/>
      <c r="M377" s="10"/>
    </row>
    <row r="378" spans="6:13" x14ac:dyDescent="0.25">
      <c r="F378" s="173"/>
      <c r="G378" s="97"/>
      <c r="H378" s="173"/>
      <c r="I378" s="98"/>
      <c r="J378" s="98"/>
      <c r="K378" s="98"/>
      <c r="L378" s="98"/>
      <c r="M378" s="10"/>
    </row>
    <row r="379" spans="6:13" x14ac:dyDescent="0.25">
      <c r="F379" s="173"/>
      <c r="G379" s="97"/>
      <c r="H379" s="45"/>
      <c r="I379" s="98"/>
      <c r="J379" s="102"/>
      <c r="K379" s="102"/>
      <c r="L379" s="102"/>
      <c r="M379" s="10"/>
    </row>
    <row r="380" spans="6:13" x14ac:dyDescent="0.25">
      <c r="F380" s="274"/>
      <c r="G380" s="274"/>
      <c r="H380" s="45"/>
      <c r="I380" s="98"/>
      <c r="J380" s="103"/>
      <c r="K380" s="103"/>
      <c r="L380" s="103"/>
      <c r="M380" s="10"/>
    </row>
    <row r="381" spans="6:13" x14ac:dyDescent="0.25">
      <c r="F381" s="173"/>
      <c r="G381" s="97"/>
      <c r="H381" s="173"/>
      <c r="I381" s="78"/>
      <c r="J381" s="78"/>
      <c r="K381" s="78"/>
      <c r="L381" s="78"/>
      <c r="M381" s="13"/>
    </row>
    <row r="382" spans="6:13" x14ac:dyDescent="0.25">
      <c r="F382" s="173"/>
      <c r="G382" s="97"/>
      <c r="H382" s="173"/>
      <c r="I382" s="98"/>
      <c r="J382" s="98"/>
      <c r="K382" s="98"/>
      <c r="L382" s="98"/>
      <c r="M382" s="13"/>
    </row>
    <row r="383" spans="6:13" x14ac:dyDescent="0.25">
      <c r="F383" s="173"/>
      <c r="G383" s="97"/>
      <c r="H383" s="45"/>
      <c r="I383" s="102"/>
      <c r="J383" s="102"/>
      <c r="K383" s="102"/>
      <c r="L383" s="102"/>
      <c r="M383" s="13"/>
    </row>
    <row r="384" spans="6:13" x14ac:dyDescent="0.25">
      <c r="F384" s="274"/>
      <c r="G384" s="274"/>
      <c r="H384" s="45"/>
      <c r="I384" s="103"/>
      <c r="J384" s="103"/>
      <c r="K384" s="103"/>
      <c r="L384" s="103"/>
      <c r="M384" s="13"/>
    </row>
    <row r="385" spans="6:13" x14ac:dyDescent="0.25">
      <c r="F385" s="173"/>
      <c r="G385" s="97"/>
      <c r="H385" s="45"/>
      <c r="I385" s="78"/>
      <c r="J385" s="78"/>
      <c r="K385" s="78"/>
      <c r="L385" s="78"/>
      <c r="M385" s="13"/>
    </row>
    <row r="386" spans="6:13" x14ac:dyDescent="0.25">
      <c r="H386" s="2"/>
      <c r="I386" s="9"/>
      <c r="J386" s="9"/>
      <c r="K386" s="9"/>
      <c r="L386" s="9"/>
      <c r="M386" s="13"/>
    </row>
    <row r="387" spans="6:13" x14ac:dyDescent="0.25">
      <c r="H387" s="2"/>
      <c r="I387" s="9"/>
      <c r="J387" s="9"/>
      <c r="K387" s="9"/>
      <c r="L387" s="9"/>
      <c r="M387" s="13"/>
    </row>
    <row r="388" spans="6:13" x14ac:dyDescent="0.25">
      <c r="H388" s="2"/>
      <c r="I388" s="9"/>
      <c r="J388" s="9"/>
      <c r="K388" s="9"/>
      <c r="L388" s="9"/>
      <c r="M388" s="13"/>
    </row>
    <row r="389" spans="6:13" x14ac:dyDescent="0.25">
      <c r="H389" s="2"/>
      <c r="I389" s="9"/>
      <c r="J389" s="9"/>
      <c r="K389" s="9"/>
      <c r="L389" s="9"/>
      <c r="M389" s="13"/>
    </row>
    <row r="390" spans="6:13" x14ac:dyDescent="0.25">
      <c r="H390" s="2"/>
      <c r="I390" s="9"/>
      <c r="J390" s="9"/>
      <c r="K390" s="9"/>
      <c r="L390" s="9"/>
      <c r="M390" s="13"/>
    </row>
    <row r="391" spans="6:13" x14ac:dyDescent="0.25">
      <c r="H391" s="2"/>
      <c r="I391" s="9"/>
      <c r="J391" s="9"/>
      <c r="K391" s="9"/>
      <c r="L391" s="9"/>
      <c r="M391" s="13"/>
    </row>
    <row r="392" spans="6:13" x14ac:dyDescent="0.25">
      <c r="H392" s="2"/>
      <c r="I392" s="9"/>
      <c r="J392" s="9"/>
      <c r="K392" s="9"/>
      <c r="L392" s="9"/>
      <c r="M392" s="13"/>
    </row>
    <row r="393" spans="6:13" x14ac:dyDescent="0.25">
      <c r="H393" s="2"/>
      <c r="I393" s="9"/>
      <c r="J393" s="9"/>
      <c r="K393" s="9"/>
      <c r="L393" s="9"/>
      <c r="M393" s="13"/>
    </row>
    <row r="394" spans="6:13" x14ac:dyDescent="0.25">
      <c r="H394" s="2"/>
      <c r="I394" s="9"/>
      <c r="J394" s="9"/>
      <c r="K394" s="9"/>
      <c r="L394" s="9"/>
      <c r="M394" s="13"/>
    </row>
    <row r="395" spans="6:13" x14ac:dyDescent="0.25">
      <c r="H395" s="2"/>
      <c r="I395" s="9"/>
      <c r="J395" s="9"/>
      <c r="K395" s="9"/>
      <c r="L395" s="9"/>
      <c r="M395" s="13"/>
    </row>
    <row r="396" spans="6:13" x14ac:dyDescent="0.25">
      <c r="H396" s="2"/>
      <c r="I396" s="9"/>
      <c r="J396" s="9"/>
      <c r="K396" s="9"/>
      <c r="L396" s="9"/>
      <c r="M396" s="13"/>
    </row>
    <row r="397" spans="6:13" x14ac:dyDescent="0.25">
      <c r="H397" s="2"/>
      <c r="I397" s="9"/>
      <c r="J397" s="9"/>
      <c r="K397" s="9"/>
      <c r="L397" s="9"/>
      <c r="M397" s="13"/>
    </row>
    <row r="398" spans="6:13" x14ac:dyDescent="0.25">
      <c r="H398" s="2"/>
      <c r="I398" s="9"/>
      <c r="J398" s="9"/>
      <c r="K398" s="9"/>
      <c r="L398" s="9"/>
      <c r="M398" s="13"/>
    </row>
    <row r="399" spans="6:13" x14ac:dyDescent="0.25">
      <c r="H399" s="2"/>
      <c r="I399" s="9"/>
      <c r="J399" s="9"/>
      <c r="K399" s="9"/>
      <c r="L399" s="9"/>
      <c r="M399" s="13"/>
    </row>
    <row r="400" spans="6:13" x14ac:dyDescent="0.25">
      <c r="H400" s="2"/>
      <c r="I400" s="9"/>
      <c r="J400" s="9"/>
      <c r="K400" s="9"/>
      <c r="L400" s="9"/>
      <c r="M400" s="13"/>
    </row>
    <row r="401" spans="8:13" x14ac:dyDescent="0.25">
      <c r="H401" s="2"/>
      <c r="I401" s="9"/>
      <c r="J401" s="9"/>
      <c r="K401" s="9"/>
      <c r="L401" s="9"/>
      <c r="M401" s="13"/>
    </row>
    <row r="402" spans="8:13" x14ac:dyDescent="0.25">
      <c r="H402" s="2"/>
      <c r="I402" s="9"/>
      <c r="J402" s="9"/>
      <c r="K402" s="9"/>
      <c r="L402" s="9"/>
      <c r="M402" s="13"/>
    </row>
    <row r="403" spans="8:13" x14ac:dyDescent="0.25">
      <c r="H403" s="2"/>
      <c r="I403" s="9"/>
      <c r="J403" s="9"/>
      <c r="K403" s="9"/>
      <c r="L403" s="9"/>
      <c r="M403" s="13"/>
    </row>
  </sheetData>
  <mergeCells count="4">
    <mergeCell ref="F372:G372"/>
    <mergeCell ref="F376:G376"/>
    <mergeCell ref="F380:G380"/>
    <mergeCell ref="F384:G384"/>
  </mergeCells>
  <conditionalFormatting sqref="J1:J1048576">
    <cfRule type="containsText" dxfId="69" priority="4" operator="containsText" text="None">
      <formula>NOT(ISERROR(SEARCH("None",J1)))</formula>
    </cfRule>
  </conditionalFormatting>
  <conditionalFormatting sqref="M1:M1048576">
    <cfRule type="containsText" dxfId="68" priority="2" operator="containsText" text="No Work Order entered into Delay Log">
      <formula>NOT(ISERROR(SEARCH("No Work Order entered into Delay Log",M1)))</formula>
    </cfRule>
    <cfRule type="containsText" dxfId="67" priority="3" operator="containsText" text="No Findings entered">
      <formula>NOT(ISERROR(SEARCH("No Findings entered",M1)))</formula>
    </cfRule>
  </conditionalFormatting>
  <conditionalFormatting sqref="L1:L1048576">
    <cfRule type="containsBlanks" dxfId="66" priority="1">
      <formula>LEN(TRIM(L1))=0</formula>
    </cfRule>
  </conditionalFormatting>
  <pageMargins left="0.7" right="0.7" top="0.75" bottom="0.75" header="0.3" footer="0.3"/>
  <pageSetup orientation="landscape"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39997558519241921"/>
  </sheetPr>
  <dimension ref="A1:AJ134"/>
  <sheetViews>
    <sheetView topLeftCell="B1" zoomScaleNormal="100" workbookViewId="0">
      <pane ySplit="2" topLeftCell="A69" activePane="bottomLeft" state="frozen"/>
      <selection activeCell="E57" sqref="E57"/>
      <selection pane="bottomLeft" activeCell="E114" sqref="E114"/>
    </sheetView>
  </sheetViews>
  <sheetFormatPr defaultColWidth="9.140625" defaultRowHeight="15" x14ac:dyDescent="0.25"/>
  <cols>
    <col min="1" max="1" width="17.7109375" style="7" hidden="1" customWidth="1"/>
    <col min="2" max="2" width="12.7109375" style="109" bestFit="1" customWidth="1"/>
    <col min="3" max="3" width="16.5703125" style="143" customWidth="1"/>
    <col min="4" max="4" width="6.85546875" style="110" hidden="1" customWidth="1"/>
    <col min="5" max="5" width="40.42578125" style="7" customWidth="1"/>
    <col min="6" max="6" width="37.5703125" style="7" hidden="1" customWidth="1"/>
    <col min="7" max="7" width="8.5703125" style="109" hidden="1" customWidth="1"/>
    <col min="8" max="8" width="26.7109375" style="7" customWidth="1"/>
    <col min="9" max="9" width="13.85546875" style="7" customWidth="1"/>
    <col min="10" max="10" width="22.140625" style="7" customWidth="1"/>
    <col min="11" max="11" width="37.85546875" style="7" customWidth="1"/>
    <col min="12" max="12" width="17.140625" style="7" customWidth="1"/>
    <col min="13" max="13" width="18.7109375" style="7" customWidth="1"/>
    <col min="14" max="14" width="23" style="1" customWidth="1"/>
    <col min="15" max="15" width="32" style="1" customWidth="1"/>
    <col min="16" max="16" width="11.85546875" style="7" hidden="1" customWidth="1"/>
    <col min="17" max="17" width="34.140625" style="7" customWidth="1"/>
    <col min="18" max="18" width="69" style="7" customWidth="1"/>
    <col min="19" max="19" width="9" style="7" customWidth="1"/>
    <col min="20" max="23" width="9.140625" style="176"/>
    <col min="24" max="16384" width="9.140625" style="1"/>
  </cols>
  <sheetData>
    <row r="1" spans="1:23" x14ac:dyDescent="0.25">
      <c r="E1" s="111" t="s">
        <v>636</v>
      </c>
    </row>
    <row r="2" spans="1:23" ht="45" x14ac:dyDescent="0.25">
      <c r="A2" s="190" t="s">
        <v>2723</v>
      </c>
      <c r="B2" s="191" t="s">
        <v>588</v>
      </c>
      <c r="C2" s="192" t="s">
        <v>656</v>
      </c>
      <c r="D2" s="193" t="s">
        <v>590</v>
      </c>
      <c r="E2" s="190" t="s">
        <v>591</v>
      </c>
      <c r="F2" s="190" t="s">
        <v>605</v>
      </c>
      <c r="G2" s="191" t="s">
        <v>592</v>
      </c>
      <c r="H2" s="190" t="s">
        <v>274</v>
      </c>
      <c r="I2" s="194" t="s">
        <v>652</v>
      </c>
      <c r="J2" s="194" t="s">
        <v>1276</v>
      </c>
      <c r="K2" s="194" t="s">
        <v>1277</v>
      </c>
      <c r="L2" s="194" t="s">
        <v>657</v>
      </c>
      <c r="M2" s="194" t="s">
        <v>655</v>
      </c>
      <c r="N2" s="194" t="s">
        <v>653</v>
      </c>
      <c r="O2" s="194" t="s">
        <v>654</v>
      </c>
      <c r="P2" s="194" t="s">
        <v>2273</v>
      </c>
      <c r="Q2" s="194" t="s">
        <v>660</v>
      </c>
      <c r="R2" s="195" t="s">
        <v>2884</v>
      </c>
      <c r="S2" s="174"/>
      <c r="T2" s="152" t="s">
        <v>2789</v>
      </c>
      <c r="U2" s="152" t="s">
        <v>2790</v>
      </c>
      <c r="V2" s="152" t="s">
        <v>2791</v>
      </c>
      <c r="W2" s="152" t="s">
        <v>2792</v>
      </c>
    </row>
    <row r="3" spans="1:23" ht="75" hidden="1" x14ac:dyDescent="0.25">
      <c r="A3" s="7">
        <v>225</v>
      </c>
      <c r="B3" s="109">
        <f>VLOOKUP($A3,Table1[['#]:[Vessel]],4,FALSE)</f>
        <v>53</v>
      </c>
      <c r="C3" s="143">
        <f>VLOOKUP($A3,Table1[['#]:[Date]],3,FALSE)</f>
        <v>44199</v>
      </c>
      <c r="D3" s="110">
        <f>VLOOKUP($A3,Table1[['#]:[Hours]],7,FALSE)</f>
        <v>24.064166666823439</v>
      </c>
      <c r="E3" s="110" t="str">
        <f>VLOOKUP($A3,Table1[['#]:[System]],8,FALSE)&amp;" / "&amp;VLOOKUP($A3,Table1[['#]:[Subsystem]],9,FALSE)</f>
        <v>Main / Aux. Generators / Main Generator</v>
      </c>
      <c r="F3" s="110" t="str">
        <f>VLOOKUP($A3,Table1[['#]:[Delay Log Notes]],11,FALSE)</f>
        <v># 2 generator shutdown. Reverse power/electrical trip. Inspected resistor bank on top of crane. One bank is cooler than the other 2. also found one wire chaffed and tapped up/secured wires</v>
      </c>
      <c r="G3" s="109">
        <f>VLOOKUP($A3,Table1[['#]:[Work Order '#]],10,FALSE)</f>
        <v>1750884</v>
      </c>
      <c r="H3" s="110" t="str">
        <f>IF(G3="None"," ",VLOOKUP($A3,Table1[['#]:[Work Order Title]],12,FALSE))</f>
        <v>Work Order not found</v>
      </c>
      <c r="I3" s="7" t="str">
        <f>_xlfn.IFNA(VLOOKUP(J3,'MCIA Cases'!$A$2:$R$1091,10,FALSE)," ")</f>
        <v xml:space="preserve"> </v>
      </c>
      <c r="J3" s="7" t="s">
        <v>611</v>
      </c>
      <c r="K3" s="7" t="str">
        <f>_xlfn.IFNA(VLOOKUP(J3,'MCIA Cases'!$A$2:$AG$1091,2,FALSE)," ")</f>
        <v xml:space="preserve"> </v>
      </c>
      <c r="L3" s="1" t="str">
        <f>_xlfn.IFNA(VLOOKUP(J3,'MCIA Cases'!$A$2:$R$1091,17,FALSE)," ")</f>
        <v xml:space="preserve"> </v>
      </c>
      <c r="M3" s="7" t="str">
        <f>_xlfn.IFNA(VLOOKUP(J3,'MCIA Cases'!$A$2:$R$1091,3,FALSE)," ")</f>
        <v xml:space="preserve"> </v>
      </c>
      <c r="N3" s="1" t="str">
        <f>IF(COUNTIF('MCIA Corrective Actions'!$A:$A,J3)=0," ",COUNTIF('MCIA Corrective Actions'!$A:$A,J3))</f>
        <v xml:space="preserve"> </v>
      </c>
      <c r="O3" s="1" t="str">
        <f>IF(COUNTIF('MCIA Corrective Actions'!$A:$A,J3)=0," ",COUNTIFS('MCIA Corrective Actions'!$A:$A,J3,'MCIA Corrective Actions'!N:N,"Yes"))</f>
        <v xml:space="preserve"> </v>
      </c>
      <c r="P3" s="7" t="str">
        <f>_xlfn.IFNA(VLOOKUP(J3,'MCIA Corrective Actions'!$A$2:$R$1092,6,FALSE)," ")</f>
        <v xml:space="preserve"> </v>
      </c>
      <c r="T3" s="176" t="str">
        <f>IF(N3=" "," ",N3-O3)</f>
        <v xml:space="preserve"> </v>
      </c>
      <c r="U3" s="176">
        <f>IF(D3&gt;0, 1, 0)</f>
        <v>1</v>
      </c>
      <c r="V3" s="176">
        <f t="shared" ref="V3:V103" si="0">IF(L3=" ", 0, 1)</f>
        <v>0</v>
      </c>
      <c r="W3" s="176">
        <f>IF(U3+V3=2,1,0)</f>
        <v>0</v>
      </c>
    </row>
    <row r="4" spans="1:23" hidden="1" x14ac:dyDescent="0.25">
      <c r="A4" s="7">
        <v>226</v>
      </c>
      <c r="B4" s="109">
        <f>VLOOKUP($A4,Table1[['#]:[Vessel]],4,FALSE)</f>
        <v>54</v>
      </c>
      <c r="C4" s="143">
        <f>VLOOKUP($A4,Table1[['#]:[Date]],3,FALSE)</f>
        <v>44213</v>
      </c>
      <c r="D4" s="110">
        <f>VLOOKUP($A4,Table1[['#]:[Hours]],7,FALSE)</f>
        <v>33.933333333407063</v>
      </c>
      <c r="E4" s="110" t="str">
        <f>VLOOKUP($A4,Table1[['#]:[System]],8,FALSE)&amp;" / "&amp;VLOOKUP($A4,Table1[['#]:[Subsystem]],9,FALSE)</f>
        <v>Main Hoist / Holder</v>
      </c>
      <c r="F4" s="110" t="str">
        <f>VLOOKUP($A4,Table1[['#]:[Delay Log Notes]],11,FALSE)</f>
        <v>None</v>
      </c>
      <c r="G4" s="109" t="str">
        <f>VLOOKUP($A4,Table1[['#]:[Work Order '#]],10,FALSE)</f>
        <v>None</v>
      </c>
      <c r="H4" s="110" t="str">
        <f>IF(G4="None"," ",VLOOKUP($A4,Table1[['#]:[Work Order Title]],12,FALSE))</f>
        <v xml:space="preserve"> </v>
      </c>
      <c r="I4" s="112" t="str">
        <f>_xlfn.IFNA(VLOOKUP(J4,'MCIA Cases'!$A$2:$R$1091,12,FALSE)," ")</f>
        <v xml:space="preserve"> </v>
      </c>
      <c r="J4" s="112">
        <v>385</v>
      </c>
      <c r="K4" s="7" t="str">
        <f>_xlfn.IFNA(VLOOKUP(J4,'MCIA Cases'!$A$2:$AG$1091,2,FALSE)," ")</f>
        <v xml:space="preserve"> </v>
      </c>
      <c r="L4" s="1" t="str">
        <f>_xlfn.IFNA(VLOOKUP(J4,'MCIA Cases'!$A$2:$R$1091,17,FALSE)," ")</f>
        <v xml:space="preserve"> </v>
      </c>
      <c r="M4" s="7" t="str">
        <f>_xlfn.IFNA(VLOOKUP(J4,'MCIA Cases'!$A$2:$R$1091,3,FALSE)," ")</f>
        <v xml:space="preserve"> </v>
      </c>
      <c r="N4" s="1" t="str">
        <f>IF(COUNTIF('MCIA Corrective Actions'!$A:$A,J4)=0," ",COUNTIF('MCIA Corrective Actions'!$A:$A,J4))</f>
        <v xml:space="preserve"> </v>
      </c>
      <c r="O4" s="1" t="str">
        <f>IF(COUNTIF('MCIA Corrective Actions'!$A:$A,J4)=0," ",COUNTIFS('MCIA Corrective Actions'!$A:$A,J4,'MCIA Corrective Actions'!N:N,"Yes"))</f>
        <v xml:space="preserve"> </v>
      </c>
      <c r="P4" s="7" t="str">
        <f>_xlfn.IFNA(VLOOKUP(J4,'MCIA Corrective Actions'!$A$2:$R$1092,6,FALSE)," ")</f>
        <v xml:space="preserve"> </v>
      </c>
      <c r="Q4" s="7" t="s">
        <v>2779</v>
      </c>
      <c r="T4" s="176" t="str">
        <f t="shared" ref="T4:T103" si="1">IF(N4=" "," ",N4-O4)</f>
        <v xml:space="preserve"> </v>
      </c>
      <c r="U4" s="176">
        <f t="shared" ref="U4:U103" si="2">IF(D4&gt;0, 1, 0)</f>
        <v>1</v>
      </c>
      <c r="V4" s="176">
        <f t="shared" si="0"/>
        <v>0</v>
      </c>
      <c r="W4" s="176">
        <f t="shared" ref="W4:W103" si="3">IF(U4+V4=2,1,0)</f>
        <v>0</v>
      </c>
    </row>
    <row r="5" spans="1:23" hidden="1" x14ac:dyDescent="0.25">
      <c r="A5" s="7">
        <v>227</v>
      </c>
      <c r="B5" s="109" t="str">
        <f>VLOOKUP($A5,Table1[['#]:[Vessel]],4,FALSE)</f>
        <v>Texas</v>
      </c>
      <c r="C5" s="143">
        <f>VLOOKUP($A5,Table1[['#]:[Date]],3,FALSE)</f>
        <v>44226</v>
      </c>
      <c r="D5" s="110">
        <f>VLOOKUP($A5,Table1[['#]:[Hours]],7,FALSE)</f>
        <v>27.261111111205537</v>
      </c>
      <c r="E5" s="110" t="str">
        <f>VLOOKUP($A5,Table1[['#]:[System]],8,FALSE)&amp;" / "&amp;VLOOKUP($A5,Table1[['#]:[Subsystem]],9,FALSE)</f>
        <v>Cutter / Motor</v>
      </c>
      <c r="F5" s="110" t="str">
        <f>VLOOKUP($A5,Table1[['#]:[Delay Log Notes]],11,FALSE)</f>
        <v>cooler leaking on cutter motor</v>
      </c>
      <c r="G5" s="109" t="str">
        <f>VLOOKUP($A5,Table1[['#]:[Work Order '#]],10,FALSE)</f>
        <v>None</v>
      </c>
      <c r="H5" s="110" t="str">
        <f>IF(G5="None"," ",VLOOKUP($A5,Table1[['#]:[Work Order Title]],12,FALSE))</f>
        <v xml:space="preserve"> </v>
      </c>
      <c r="I5" s="112" t="str">
        <f>_xlfn.IFNA(VLOOKUP(J5,'MCIA Cases'!$A$2:$R$1091,12,FALSE)," ")</f>
        <v xml:space="preserve"> </v>
      </c>
      <c r="J5" s="112" t="s">
        <v>611</v>
      </c>
      <c r="K5" s="7" t="str">
        <f>_xlfn.IFNA(VLOOKUP(J5,'MCIA Cases'!$A$2:$AG$1091,2,FALSE)," ")</f>
        <v xml:space="preserve"> </v>
      </c>
      <c r="L5" s="1" t="str">
        <f>_xlfn.IFNA(VLOOKUP(J5,'MCIA Cases'!$A$2:$R$1091,17,FALSE)," ")</f>
        <v xml:space="preserve"> </v>
      </c>
      <c r="M5" s="7" t="str">
        <f>_xlfn.IFNA(VLOOKUP(J5,'MCIA Cases'!$A$2:$R$1091,3,FALSE)," ")</f>
        <v xml:space="preserve"> </v>
      </c>
      <c r="N5" s="1" t="str">
        <f>IF(COUNTIF('MCIA Corrective Actions'!$A:$A,J5)=0," ",COUNTIF('MCIA Corrective Actions'!$A:$A,J5))</f>
        <v xml:space="preserve"> </v>
      </c>
      <c r="O5" s="1" t="str">
        <f>IF(COUNTIF('MCIA Corrective Actions'!$A:$A,J5)=0," ",COUNTIFS('MCIA Corrective Actions'!$A:$A,J5,'MCIA Corrective Actions'!N:N,"Yes"))</f>
        <v xml:space="preserve"> </v>
      </c>
      <c r="P5" s="7" t="str">
        <f>_xlfn.IFNA(VLOOKUP(J5,'MCIA Corrective Actions'!$A$2:$R$1092,6,FALSE)," ")</f>
        <v xml:space="preserve"> </v>
      </c>
      <c r="T5" s="176" t="str">
        <f t="shared" si="1"/>
        <v xml:space="preserve"> </v>
      </c>
      <c r="U5" s="176">
        <f t="shared" si="2"/>
        <v>1</v>
      </c>
      <c r="V5" s="176">
        <f t="shared" si="0"/>
        <v>0</v>
      </c>
      <c r="W5" s="176">
        <f t="shared" si="3"/>
        <v>0</v>
      </c>
    </row>
    <row r="6" spans="1:23" ht="30" hidden="1" x14ac:dyDescent="0.25">
      <c r="A6" s="7">
        <v>228</v>
      </c>
      <c r="B6" s="109" t="str">
        <f>VLOOKUP($A6,Table1[['#]:[Vessel]],4,FALSE)</f>
        <v>Ellis Island</v>
      </c>
      <c r="C6" s="143">
        <f>VLOOKUP($A6,Table1[['#]:[Date]],3,FALSE)</f>
        <v>44232</v>
      </c>
      <c r="D6" s="110">
        <f>VLOOKUP($A6,Table1[['#]:[Hours]],7,FALSE)</f>
        <v>50.22</v>
      </c>
      <c r="E6" s="110" t="str">
        <f>VLOOKUP($A6,Table1[['#]:[System]],8,FALSE)&amp;" / "&amp;VLOOKUP($A6,Table1[['#]:[Subsystem]],9,FALSE)</f>
        <v>Other / Other Mechanical</v>
      </c>
      <c r="F6" s="110" t="str">
        <f>VLOOKUP($A6,Table1[['#]:[Delay Log Notes]],11,FALSE)</f>
        <v>to dock for plate cooler repair and other maintenance</v>
      </c>
      <c r="G6" s="109" t="str">
        <f>VLOOKUP($A6,Table1[['#]:[Work Order '#]],10,FALSE)</f>
        <v>None</v>
      </c>
      <c r="H6" s="110" t="str">
        <f>IF(G6="None"," ",VLOOKUP($A6,Table1[['#]:[Work Order Title]],12,FALSE))</f>
        <v xml:space="preserve"> </v>
      </c>
      <c r="I6" s="112" t="str">
        <f>_xlfn.IFNA(VLOOKUP(J6,'MCIA Cases'!$A$2:$R$1091,12,FALSE)," ")</f>
        <v xml:space="preserve"> </v>
      </c>
      <c r="J6" s="112" t="s">
        <v>611</v>
      </c>
      <c r="K6" s="7" t="str">
        <f>_xlfn.IFNA(VLOOKUP(J6,'MCIA Cases'!$A$2:$AG$1091,2,FALSE)," ")</f>
        <v xml:space="preserve"> </v>
      </c>
      <c r="L6" s="1" t="str">
        <f>_xlfn.IFNA(VLOOKUP(J6,'MCIA Cases'!$A$2:$R$1091,17,FALSE)," ")</f>
        <v xml:space="preserve"> </v>
      </c>
      <c r="M6" s="7" t="str">
        <f>_xlfn.IFNA(VLOOKUP(J6,'MCIA Cases'!$A$2:$R$1091,3,FALSE)," ")</f>
        <v xml:space="preserve"> </v>
      </c>
      <c r="N6" s="1" t="str">
        <f>IF(COUNTIF('MCIA Corrective Actions'!$A:$A,J6)=0," ",COUNTIF('MCIA Corrective Actions'!$A:$A,J6))</f>
        <v xml:space="preserve"> </v>
      </c>
      <c r="O6" s="1" t="str">
        <f>IF(COUNTIF('MCIA Corrective Actions'!$A:$A,J6)=0," ",COUNTIFS('MCIA Corrective Actions'!$A:$A,J6,'MCIA Corrective Actions'!N:N,"Yes"))</f>
        <v xml:space="preserve"> </v>
      </c>
      <c r="P6" s="7" t="str">
        <f>_xlfn.IFNA(VLOOKUP(J6,'MCIA Corrective Actions'!$A$2:$R$1092,6,FALSE)," ")</f>
        <v xml:space="preserve"> </v>
      </c>
      <c r="T6" s="176" t="str">
        <f t="shared" si="1"/>
        <v xml:space="preserve"> </v>
      </c>
      <c r="U6" s="176">
        <f t="shared" si="2"/>
        <v>1</v>
      </c>
      <c r="V6" s="176">
        <f t="shared" si="0"/>
        <v>0</v>
      </c>
      <c r="W6" s="176">
        <f t="shared" si="3"/>
        <v>0</v>
      </c>
    </row>
    <row r="7" spans="1:23" hidden="1" x14ac:dyDescent="0.25">
      <c r="A7" s="7">
        <v>229</v>
      </c>
      <c r="B7" s="109">
        <f>VLOOKUP($A7,Table1[['#]:[Vessel]],4,FALSE)</f>
        <v>58</v>
      </c>
      <c r="C7" s="143">
        <f>VLOOKUP($A7,Table1[['#]:[Date]],3,FALSE)</f>
        <v>44233</v>
      </c>
      <c r="D7" s="110">
        <f>VLOOKUP($A7,Table1[['#]:[Hours]],7,FALSE)</f>
        <v>32.374999999883585</v>
      </c>
      <c r="E7" s="110" t="str">
        <f>VLOOKUP($A7,Table1[['#]:[System]],8,FALSE)&amp;" / "&amp;VLOOKUP($A7,Table1[['#]:[Subsystem]],9,FALSE)</f>
        <v>Main Hoist / Holder</v>
      </c>
      <c r="F7" s="110" t="str">
        <f>VLOOKUP($A7,Table1[['#]:[Delay Log Notes]],11,FALSE)</f>
        <v>HOLDER WIRE BROKE</v>
      </c>
      <c r="G7" s="109">
        <f>VLOOKUP($A7,Table1[['#]:[Work Order '#]],10,FALSE)</f>
        <v>4420100</v>
      </c>
      <c r="H7" s="110" t="str">
        <f>IF(G7="None"," ",VLOOKUP($A7,Table1[['#]:[Work Order Title]],12,FALSE))</f>
        <v>Broken Holder wire</v>
      </c>
      <c r="I7" s="112" t="str">
        <f>_xlfn.IFNA(VLOOKUP(J7,'MCIA Cases'!$A$2:$R$1091,12,FALSE)," ")</f>
        <v xml:space="preserve"> </v>
      </c>
      <c r="J7" s="112" t="s">
        <v>611</v>
      </c>
      <c r="K7" s="7" t="str">
        <f>_xlfn.IFNA(VLOOKUP(J7,'MCIA Cases'!$A$2:$AG$1091,2,FALSE)," ")</f>
        <v xml:space="preserve"> </v>
      </c>
      <c r="L7" s="1" t="str">
        <f>_xlfn.IFNA(VLOOKUP(J7,'MCIA Cases'!$A$2:$R$1091,17,FALSE)," ")</f>
        <v xml:space="preserve"> </v>
      </c>
      <c r="M7" s="7" t="str">
        <f>_xlfn.IFNA(VLOOKUP(J7,'MCIA Cases'!$A$2:$R$1091,3,FALSE)," ")</f>
        <v xml:space="preserve"> </v>
      </c>
      <c r="N7" s="1" t="str">
        <f>IF(COUNTIF('MCIA Corrective Actions'!$A:$A,J7)=0," ",COUNTIF('MCIA Corrective Actions'!$A:$A,J7))</f>
        <v xml:space="preserve"> </v>
      </c>
      <c r="O7" s="1" t="str">
        <f>IF(COUNTIF('MCIA Corrective Actions'!$A:$A,J7)=0," ",COUNTIFS('MCIA Corrective Actions'!$A:$A,J7,'MCIA Corrective Actions'!N:N,"Yes"))</f>
        <v xml:space="preserve"> </v>
      </c>
      <c r="P7" s="7" t="str">
        <f>_xlfn.IFNA(VLOOKUP(J7,'MCIA Corrective Actions'!$A$2:$R$1092,6,FALSE)," ")</f>
        <v xml:space="preserve"> </v>
      </c>
      <c r="T7" s="176" t="str">
        <f t="shared" si="1"/>
        <v xml:space="preserve"> </v>
      </c>
      <c r="U7" s="176">
        <f t="shared" si="2"/>
        <v>1</v>
      </c>
      <c r="V7" s="176">
        <f t="shared" si="0"/>
        <v>0</v>
      </c>
      <c r="W7" s="176">
        <f t="shared" si="3"/>
        <v>0</v>
      </c>
    </row>
    <row r="8" spans="1:23" ht="30" hidden="1" x14ac:dyDescent="0.25">
      <c r="A8" s="7">
        <v>230</v>
      </c>
      <c r="B8" s="109">
        <f>VLOOKUP($A8,Table1[['#]:[Vessel]],4,FALSE)</f>
        <v>53</v>
      </c>
      <c r="C8" s="143">
        <f>VLOOKUP($A8,Table1[['#]:[Date]],3,FALSE)</f>
        <v>44235</v>
      </c>
      <c r="D8" s="110">
        <f>VLOOKUP($A8,Table1[['#]:[Hours]],7,FALSE)</f>
        <v>26.002500000118744</v>
      </c>
      <c r="E8" s="110" t="str">
        <f>VLOOKUP($A8,Table1[['#]:[System]],8,FALSE)&amp;" / "&amp;VLOOKUP($A8,Table1[['#]:[Subsystem]],9,FALSE)</f>
        <v>Auxiliary Systems / Heating, Ventilation, A/C</v>
      </c>
      <c r="F8" s="110" t="str">
        <f>VLOOKUP($A8,Table1[['#]:[Delay Log Notes]],11,FALSE)</f>
        <v>None</v>
      </c>
      <c r="G8" s="109" t="str">
        <f>VLOOKUP($A8,Table1[['#]:[Work Order '#]],10,FALSE)</f>
        <v>None</v>
      </c>
      <c r="H8" s="110" t="str">
        <f>IF(G8="None"," ",VLOOKUP($A8,Table1[['#]:[Work Order Title]],12,FALSE))</f>
        <v xml:space="preserve"> </v>
      </c>
      <c r="I8" s="112" t="str">
        <f>_xlfn.IFNA(VLOOKUP(J8,'MCIA Cases'!$A$2:$R$1091,12,FALSE)," ")</f>
        <v xml:space="preserve"> </v>
      </c>
      <c r="J8" s="112" t="s">
        <v>611</v>
      </c>
      <c r="K8" s="7" t="str">
        <f>_xlfn.IFNA(VLOOKUP(J8,'MCIA Cases'!$A$2:$AG$1091,2,FALSE)," ")</f>
        <v xml:space="preserve"> </v>
      </c>
      <c r="L8" s="1" t="str">
        <f>_xlfn.IFNA(VLOOKUP(J8,'MCIA Cases'!$A$2:$R$1091,17,FALSE)," ")</f>
        <v xml:space="preserve"> </v>
      </c>
      <c r="M8" s="7" t="str">
        <f>_xlfn.IFNA(VLOOKUP(J8,'MCIA Cases'!$A$2:$R$1091,3,FALSE)," ")</f>
        <v xml:space="preserve"> </v>
      </c>
      <c r="N8" s="1" t="str">
        <f>IF(COUNTIF('MCIA Corrective Actions'!$A:$A,J8)=0," ",COUNTIF('MCIA Corrective Actions'!$A:$A,J8))</f>
        <v xml:space="preserve"> </v>
      </c>
      <c r="O8" s="1" t="str">
        <f>IF(COUNTIF('MCIA Corrective Actions'!$A:$A,J8)=0," ",COUNTIFS('MCIA Corrective Actions'!$A:$A,J8,'MCIA Corrective Actions'!N:N,"Yes"))</f>
        <v xml:space="preserve"> </v>
      </c>
      <c r="P8" s="7" t="str">
        <f>_xlfn.IFNA(VLOOKUP(J8,'MCIA Corrective Actions'!$A$2:$R$1092,6,FALSE)," ")</f>
        <v xml:space="preserve"> </v>
      </c>
      <c r="T8" s="176" t="str">
        <f t="shared" si="1"/>
        <v xml:space="preserve"> </v>
      </c>
      <c r="U8" s="176">
        <f t="shared" si="2"/>
        <v>1</v>
      </c>
      <c r="V8" s="176">
        <f t="shared" si="0"/>
        <v>0</v>
      </c>
      <c r="W8" s="176">
        <f t="shared" si="3"/>
        <v>0</v>
      </c>
    </row>
    <row r="9" spans="1:23" ht="45" hidden="1" x14ac:dyDescent="0.25">
      <c r="A9" s="7">
        <v>231</v>
      </c>
      <c r="B9" s="109" t="str">
        <f>VLOOKUP($A9,Table1[['#]:[Vessel]],4,FALSE)</f>
        <v>Texas</v>
      </c>
      <c r="C9" s="143">
        <f>VLOOKUP($A9,Table1[['#]:[Date]],3,FALSE)</f>
        <v>44235</v>
      </c>
      <c r="D9" s="110">
        <f>VLOOKUP($A9,Table1[['#]:[Hours]],7,FALSE)</f>
        <v>40.789166666509118</v>
      </c>
      <c r="E9" s="110" t="str">
        <f>VLOOKUP($A9,Table1[['#]:[System]],8,FALSE)&amp;" / "&amp;VLOOKUP($A9,Table1[['#]:[Subsystem]],9,FALSE)</f>
        <v>Spuds / Xmass Tree / Wires</v>
      </c>
      <c r="F9" s="110" t="str">
        <f>VLOOKUP($A9,Table1[['#]:[Delay Log Notes]],11,FALSE)</f>
        <v>stb breast wire broke an lost stb bottom sheve on x-mas tree take dredge in to repair</v>
      </c>
      <c r="G9" s="109" t="str">
        <f>VLOOKUP($A9,Table1[['#]:[Work Order '#]],10,FALSE)</f>
        <v>None</v>
      </c>
      <c r="H9" s="110" t="str">
        <f>IF(G9="None"," ",VLOOKUP($A9,Table1[['#]:[Work Order Title]],12,FALSE))</f>
        <v xml:space="preserve"> </v>
      </c>
      <c r="I9" s="112" t="str">
        <f>_xlfn.IFNA(VLOOKUP(J9,'MCIA Cases'!$A$2:$R$1091,12,FALSE)," ")</f>
        <v xml:space="preserve"> </v>
      </c>
      <c r="J9" s="112" t="s">
        <v>611</v>
      </c>
      <c r="K9" s="7" t="str">
        <f>_xlfn.IFNA(VLOOKUP(J9,'MCIA Cases'!$A$2:$AG$1091,2,FALSE)," ")</f>
        <v xml:space="preserve"> </v>
      </c>
      <c r="L9" s="1" t="str">
        <f>_xlfn.IFNA(VLOOKUP(J9,'MCIA Cases'!$A$2:$R$1091,17,FALSE)," ")</f>
        <v xml:space="preserve"> </v>
      </c>
      <c r="M9" s="7" t="str">
        <f>_xlfn.IFNA(VLOOKUP(J9,'MCIA Cases'!$A$2:$R$1091,3,FALSE)," ")</f>
        <v xml:space="preserve"> </v>
      </c>
      <c r="N9" s="1" t="str">
        <f>IF(COUNTIF('MCIA Corrective Actions'!$A:$A,J9)=0," ",COUNTIF('MCIA Corrective Actions'!$A:$A,J9))</f>
        <v xml:space="preserve"> </v>
      </c>
      <c r="O9" s="1" t="str">
        <f>IF(COUNTIF('MCIA Corrective Actions'!$A:$A,J9)=0," ",COUNTIFS('MCIA Corrective Actions'!$A:$A,J9,'MCIA Corrective Actions'!N:N,"Yes"))</f>
        <v xml:space="preserve"> </v>
      </c>
      <c r="P9" s="7" t="str">
        <f>_xlfn.IFNA(VLOOKUP(J9,'MCIA Corrective Actions'!$A$2:$R$1092,6,FALSE)," ")</f>
        <v xml:space="preserve"> </v>
      </c>
      <c r="T9" s="176" t="str">
        <f t="shared" si="1"/>
        <v xml:space="preserve"> </v>
      </c>
      <c r="U9" s="176">
        <f t="shared" si="2"/>
        <v>1</v>
      </c>
      <c r="V9" s="176">
        <f t="shared" si="0"/>
        <v>0</v>
      </c>
      <c r="W9" s="176">
        <f t="shared" si="3"/>
        <v>0</v>
      </c>
    </row>
    <row r="10" spans="1:23" ht="60" hidden="1" x14ac:dyDescent="0.25">
      <c r="A10" s="7">
        <v>232</v>
      </c>
      <c r="B10" s="109" t="str">
        <f>VLOOKUP($A10,Table1[['#]:[Vessel]],4,FALSE)</f>
        <v>Illinois</v>
      </c>
      <c r="C10" s="143">
        <f>VLOOKUP($A10,Table1[['#]:[Date]],3,FALSE)</f>
        <v>44251</v>
      </c>
      <c r="D10" s="110">
        <f>VLOOKUP($A10,Table1[['#]:[Hours]],7,FALSE)</f>
        <v>149.6619444443495</v>
      </c>
      <c r="E10" s="110" t="str">
        <f>VLOOKUP($A10,Table1[['#]:[System]],8,FALSE)&amp;" / "&amp;VLOOKUP($A10,Table1[['#]:[Subsystem]],9,FALSE)</f>
        <v>Cutter / Gear Box</v>
      </c>
      <c r="F10" s="110" t="str">
        <f>VLOOKUP($A10,Table1[['#]:[Delay Log Notes]],11,FALSE)</f>
        <v>None</v>
      </c>
      <c r="G10" s="109">
        <f>VLOOKUP($A10,Table1[['#]:[Work Order '#]],10,FALSE)</f>
        <v>4806414</v>
      </c>
      <c r="H10" s="110" t="str">
        <f>IF(G10="None"," ",VLOOKUP($A10,Table1[['#]:[Work Order Title]],12,FALSE))</f>
        <v>Replacement of Cutter gearbox HS input shaft bearings &amp; HS Intermediate shaft bearings.</v>
      </c>
      <c r="I10" s="112" t="str">
        <f>_xlfn.IFNA(VLOOKUP(J10,'MCIA Cases'!$A$2:$R$1091,12,FALSE)," ")</f>
        <v>Complete</v>
      </c>
      <c r="J10" s="112">
        <v>391</v>
      </c>
      <c r="K10" s="7" t="str">
        <f>_xlfn.IFNA(VLOOKUP(J10,'MCIA Cases'!$A$2:$AG$1091,2,FALSE)," ")</f>
        <v>Cutter Gear Box Input Shaft Bearing Failure</v>
      </c>
      <c r="L10" s="1" t="str">
        <f>_xlfn.IFNA(VLOOKUP(J10,'MCIA Cases'!$A$2:$R$1091,17,FALSE)," ")</f>
        <v>02/24/2021</v>
      </c>
      <c r="M10" s="7" t="str">
        <f>_xlfn.IFNA(VLOOKUP(J10,'MCIA Cases'!$A$2:$R$1091,3,FALSE)," ")</f>
        <v>Terry Wright</v>
      </c>
      <c r="N10" s="1">
        <f>IF(COUNTIF('MCIA Corrective Actions'!$A:$A,J10)=0," ",COUNTIF('MCIA Corrective Actions'!$A:$A,J10))</f>
        <v>1</v>
      </c>
      <c r="O10" s="1">
        <f>IF(COUNTIF('MCIA Corrective Actions'!$A:$A,J10)=0," ",COUNTIFS('MCIA Corrective Actions'!$A:$A,J10,'MCIA Corrective Actions'!N:N,"Yes"))</f>
        <v>0</v>
      </c>
      <c r="P10" s="7" t="str">
        <f>_xlfn.IFNA(VLOOKUP(J10,'MCIA Corrective Actions'!$A$2:$R$1092,6,FALSE)," ")</f>
        <v>Dave Allen</v>
      </c>
      <c r="Q10" s="7" t="s">
        <v>2780</v>
      </c>
      <c r="T10" s="176">
        <f t="shared" si="1"/>
        <v>1</v>
      </c>
      <c r="U10" s="176">
        <f t="shared" si="2"/>
        <v>1</v>
      </c>
      <c r="V10" s="176">
        <f t="shared" si="0"/>
        <v>1</v>
      </c>
      <c r="W10" s="176">
        <f t="shared" si="3"/>
        <v>1</v>
      </c>
    </row>
    <row r="11" spans="1:23" ht="45" hidden="1" x14ac:dyDescent="0.25">
      <c r="A11" s="7">
        <v>233</v>
      </c>
      <c r="B11" s="109" t="str">
        <f>VLOOKUP($A11,Table1[['#]:[Vessel]],4,FALSE)</f>
        <v>Dodge Island</v>
      </c>
      <c r="C11" s="143">
        <f>VLOOKUP($A11,Table1[['#]:[Date]],3,FALSE)</f>
        <v>44252</v>
      </c>
      <c r="D11" s="110">
        <f>VLOOKUP($A11,Table1[['#]:[Hours]],7,FALSE)</f>
        <v>25.273333333432674</v>
      </c>
      <c r="E11" s="110" t="str">
        <f>VLOOKUP($A11,Table1[['#]:[System]],8,FALSE)&amp;" / "&amp;VLOOKUP($A11,Table1[['#]:[Subsystem]],9,FALSE)</f>
        <v>Generator Engine / Other</v>
      </c>
      <c r="F11" s="110" t="str">
        <f>VLOOKUP($A11,Table1[['#]:[Delay Log Notes]],11,FALSE)</f>
        <v>port generator change head</v>
      </c>
      <c r="G11" s="109">
        <f>VLOOKUP($A11,Table1[['#]:[Work Order '#]],10,FALSE)</f>
        <v>4071215</v>
      </c>
      <c r="H11" s="110" t="str">
        <f>IF(G11="None"," ",VLOOKUP($A11,Table1[['#]:[Work Order Title]],12,FALSE))</f>
        <v>Port Generator - Troubleshoot high exhaust temps</v>
      </c>
      <c r="I11" s="112" t="str">
        <f>_xlfn.IFNA(VLOOKUP(J11,'MCIA Cases'!$A$2:$R$1091,12,FALSE)," ")</f>
        <v xml:space="preserve"> </v>
      </c>
      <c r="J11" s="112" t="s">
        <v>611</v>
      </c>
      <c r="K11" s="7" t="str">
        <f>_xlfn.IFNA(VLOOKUP(J11,'MCIA Cases'!$A$2:$AG$1091,2,FALSE)," ")</f>
        <v xml:space="preserve"> </v>
      </c>
      <c r="L11" s="1" t="str">
        <f>_xlfn.IFNA(VLOOKUP(J11,'MCIA Cases'!$A$2:$R$1091,17,FALSE)," ")</f>
        <v xml:space="preserve"> </v>
      </c>
      <c r="M11" s="7" t="str">
        <f>_xlfn.IFNA(VLOOKUP(J11,'MCIA Cases'!$A$2:$R$1091,3,FALSE)," ")</f>
        <v xml:space="preserve"> </v>
      </c>
      <c r="N11" s="1" t="str">
        <f>IF(COUNTIF('MCIA Corrective Actions'!$A:$A,J11)=0," ",COUNTIF('MCIA Corrective Actions'!$A:$A,J11))</f>
        <v xml:space="preserve"> </v>
      </c>
      <c r="O11" s="1" t="str">
        <f>IF(COUNTIF('MCIA Corrective Actions'!$A:$A,J11)=0," ",COUNTIFS('MCIA Corrective Actions'!$A:$A,J11,'MCIA Corrective Actions'!N:N,"Yes"))</f>
        <v xml:space="preserve"> </v>
      </c>
      <c r="P11" s="7" t="str">
        <f>_xlfn.IFNA(VLOOKUP(J11,'MCIA Corrective Actions'!$A$2:$R$1092,6,FALSE)," ")</f>
        <v xml:space="preserve"> </v>
      </c>
      <c r="T11" s="176" t="str">
        <f t="shared" si="1"/>
        <v xml:space="preserve"> </v>
      </c>
      <c r="U11" s="176">
        <f t="shared" si="2"/>
        <v>1</v>
      </c>
      <c r="V11" s="176">
        <f t="shared" si="0"/>
        <v>0</v>
      </c>
      <c r="W11" s="176">
        <f t="shared" si="3"/>
        <v>0</v>
      </c>
    </row>
    <row r="12" spans="1:23" ht="30" hidden="1" x14ac:dyDescent="0.25">
      <c r="A12" s="7">
        <v>234</v>
      </c>
      <c r="B12" s="109" t="str">
        <f>VLOOKUP($A12,Table1[['#]:[Vessel]],4,FALSE)</f>
        <v>Terrapin Island</v>
      </c>
      <c r="C12" s="143">
        <f>VLOOKUP($A12,Table1[['#]:[Date]],3,FALSE)</f>
        <v>44255</v>
      </c>
      <c r="D12" s="110">
        <f>VLOOKUP($A12,Table1[['#]:[Hours]],7,FALSE)</f>
        <v>29.591111111221835</v>
      </c>
      <c r="E12" s="110" t="str">
        <f>VLOOKUP($A12,Table1[['#]:[System]],8,FALSE)&amp;" / "&amp;VLOOKUP($A12,Table1[['#]:[Subsystem]],9,FALSE)</f>
        <v>Dredge Pump / Gland Seal</v>
      </c>
      <c r="F12" s="110" t="str">
        <f>VLOOKUP($A12,Table1[['#]:[Delay Log Notes]],11,FALSE)</f>
        <v>fuel</v>
      </c>
      <c r="G12" s="109">
        <f>VLOOKUP($A12,Table1[['#]:[Work Order '#]],10,FALSE)</f>
        <v>4182524</v>
      </c>
      <c r="H12" s="110" t="str">
        <f>IF(G12="None"," ",VLOOKUP($A12,Table1[['#]:[Work Order Title]],12,FALSE))</f>
        <v>Rebuild Pump</v>
      </c>
      <c r="I12" s="112" t="str">
        <f>_xlfn.IFNA(VLOOKUP(J12,'MCIA Cases'!$A$2:$R$1091,12,FALSE)," ")</f>
        <v xml:space="preserve"> </v>
      </c>
      <c r="J12" s="112" t="s">
        <v>611</v>
      </c>
      <c r="K12" s="7" t="str">
        <f>_xlfn.IFNA(VLOOKUP(J12,'MCIA Cases'!$A$2:$AG$1091,2,FALSE)," ")</f>
        <v xml:space="preserve"> </v>
      </c>
      <c r="L12" s="1" t="str">
        <f>_xlfn.IFNA(VLOOKUP(J12,'MCIA Cases'!$A$2:$R$1091,17,FALSE)," ")</f>
        <v xml:space="preserve"> </v>
      </c>
      <c r="M12" s="7" t="str">
        <f>_xlfn.IFNA(VLOOKUP(J12,'MCIA Cases'!$A$2:$R$1091,3,FALSE)," ")</f>
        <v xml:space="preserve"> </v>
      </c>
      <c r="N12" s="1" t="str">
        <f>IF(COUNTIF('MCIA Corrective Actions'!$A:$A,J12)=0," ",COUNTIF('MCIA Corrective Actions'!$A:$A,J12))</f>
        <v xml:space="preserve"> </v>
      </c>
      <c r="O12" s="1" t="str">
        <f>IF(COUNTIF('MCIA Corrective Actions'!$A:$A,J12)=0," ",COUNTIFS('MCIA Corrective Actions'!$A:$A,J12,'MCIA Corrective Actions'!N:N,"Yes"))</f>
        <v xml:space="preserve"> </v>
      </c>
      <c r="P12" s="7" t="str">
        <f>_xlfn.IFNA(VLOOKUP(J12,'MCIA Corrective Actions'!$A$2:$R$1092,6,FALSE)," ")</f>
        <v xml:space="preserve"> </v>
      </c>
      <c r="T12" s="176" t="str">
        <f t="shared" si="1"/>
        <v xml:space="preserve"> </v>
      </c>
      <c r="U12" s="176">
        <f t="shared" si="2"/>
        <v>1</v>
      </c>
      <c r="V12" s="176">
        <f t="shared" si="0"/>
        <v>0</v>
      </c>
      <c r="W12" s="176">
        <f t="shared" si="3"/>
        <v>0</v>
      </c>
    </row>
    <row r="13" spans="1:23" ht="45" hidden="1" x14ac:dyDescent="0.25">
      <c r="A13" s="7">
        <v>235</v>
      </c>
      <c r="B13" s="109" t="str">
        <f>VLOOKUP($A13,Table1[['#]:[Vessel]],4,FALSE)</f>
        <v>Liberty Island</v>
      </c>
      <c r="C13" s="143">
        <f>VLOOKUP($A13,Table1[['#]:[Date]],3,FALSE)</f>
        <v>44262</v>
      </c>
      <c r="D13" s="110">
        <f>VLOOKUP($A13,Table1[['#]:[Hours]],7,FALSE)</f>
        <v>47.34</v>
      </c>
      <c r="E13" s="110" t="str">
        <f>VLOOKUP($A13,Table1[['#]:[System]],8,FALSE)&amp;" / "&amp;VLOOKUP($A13,Table1[['#]:[Subsystem]],9,FALSE)</f>
        <v>Jet Pump / Pump Bearing</v>
      </c>
      <c r="F13" s="110" t="str">
        <f>VLOOKUP($A13,Table1[['#]:[Delay Log Notes]],11,FALSE)</f>
        <v xml:space="preserve">Line Shaft Bearing  </v>
      </c>
      <c r="G13" s="109">
        <f>VLOOKUP($A13,Table1[['#]:[Work Order '#]],10,FALSE)</f>
        <v>850890</v>
      </c>
      <c r="H13" s="110" t="str">
        <f>IF(G13="None"," ",VLOOKUP($A13,Table1[['#]:[Work Order Title]],12,FALSE))</f>
        <v>Replace stbd jet pump line shaft bearing and install the spare</v>
      </c>
      <c r="I13" s="112" t="str">
        <f>_xlfn.IFNA(VLOOKUP(J13,'MCIA Cases'!$A$2:$R$1091,12,FALSE)," ")</f>
        <v xml:space="preserve"> </v>
      </c>
      <c r="J13" s="112" t="s">
        <v>611</v>
      </c>
      <c r="K13" s="7" t="str">
        <f>_xlfn.IFNA(VLOOKUP(J13,'MCIA Cases'!$A$2:$AG$1091,2,FALSE)," ")</f>
        <v xml:space="preserve"> </v>
      </c>
      <c r="L13" s="1" t="str">
        <f>_xlfn.IFNA(VLOOKUP(J13,'MCIA Cases'!$A$2:$R$1091,17,FALSE)," ")</f>
        <v xml:space="preserve"> </v>
      </c>
      <c r="M13" s="7" t="str">
        <f>_xlfn.IFNA(VLOOKUP(J13,'MCIA Cases'!$A$2:$R$1091,3,FALSE)," ")</f>
        <v xml:space="preserve"> </v>
      </c>
      <c r="N13" s="1" t="str">
        <f>IF(COUNTIF('MCIA Corrective Actions'!$A:$A,J13)=0," ",COUNTIF('MCIA Corrective Actions'!$A:$A,J13))</f>
        <v xml:space="preserve"> </v>
      </c>
      <c r="O13" s="1" t="str">
        <f>IF(COUNTIF('MCIA Corrective Actions'!$A:$A,J13)=0," ",COUNTIFS('MCIA Corrective Actions'!$A:$A,J13,'MCIA Corrective Actions'!N:N,"Yes"))</f>
        <v xml:space="preserve"> </v>
      </c>
      <c r="P13" s="7" t="str">
        <f>_xlfn.IFNA(VLOOKUP(J13,'MCIA Corrective Actions'!$A$2:$R$1092,6,FALSE)," ")</f>
        <v xml:space="preserve"> </v>
      </c>
      <c r="T13" s="176" t="str">
        <f t="shared" si="1"/>
        <v xml:space="preserve"> </v>
      </c>
      <c r="U13" s="176">
        <f t="shared" si="2"/>
        <v>1</v>
      </c>
      <c r="V13" s="176">
        <f t="shared" si="0"/>
        <v>0</v>
      </c>
      <c r="W13" s="176">
        <f t="shared" si="3"/>
        <v>0</v>
      </c>
    </row>
    <row r="14" spans="1:23" ht="60" hidden="1" x14ac:dyDescent="0.25">
      <c r="A14" s="7">
        <v>236</v>
      </c>
      <c r="B14" s="109">
        <f>VLOOKUP($A14,Table1[['#]:[Vessel]],4,FALSE)</f>
        <v>53</v>
      </c>
      <c r="C14" s="143">
        <f>VLOOKUP($A14,Table1[['#]:[Date]],3,FALSE)</f>
        <v>44269</v>
      </c>
      <c r="D14" s="110">
        <v>145.21</v>
      </c>
      <c r="E14" s="110" t="str">
        <f>VLOOKUP($A14,Table1[['#]:[System]],8,FALSE)&amp;" / "&amp;VLOOKUP($A14,Table1[['#]:[Subsystem]],9,FALSE)</f>
        <v>Crane Swing / Swing Circle (rollers, etc.)</v>
      </c>
      <c r="F14" s="110" t="str">
        <f>VLOOKUP($A14,Table1[['#]:[Delay Log Notes]],11,FALSE)</f>
        <v>the cracks on the bow at the tub base are flexing and opening up. also excessive movement in the rail and popping sounds. Welding</v>
      </c>
      <c r="G14" s="109" t="str">
        <f>VLOOKUP($A14,Table1[['#]:[Work Order '#]],10,FALSE)</f>
        <v>None</v>
      </c>
      <c r="H14" s="110" t="str">
        <f>IF(G14="None"," ",VLOOKUP($A14,Table1[['#]:[Work Order Title]],12,FALSE))</f>
        <v xml:space="preserve"> </v>
      </c>
      <c r="I14" s="112" t="str">
        <f>_xlfn.IFNA(VLOOKUP(J14,'MCIA Cases'!$A$2:$R$1091,12,FALSE)," ")</f>
        <v xml:space="preserve"> </v>
      </c>
      <c r="J14" s="112" t="s">
        <v>611</v>
      </c>
      <c r="K14" s="7" t="str">
        <f>_xlfn.IFNA(VLOOKUP(J14,'MCIA Cases'!$A$2:$AG$1091,2,FALSE)," ")</f>
        <v xml:space="preserve"> </v>
      </c>
      <c r="L14" s="1" t="str">
        <f>_xlfn.IFNA(VLOOKUP(J14,'MCIA Cases'!$A$2:$R$1091,17,FALSE)," ")</f>
        <v xml:space="preserve"> </v>
      </c>
      <c r="M14" s="7" t="str">
        <f>_xlfn.IFNA(VLOOKUP(J14,'MCIA Cases'!$A$2:$R$1091,3,FALSE)," ")</f>
        <v xml:space="preserve"> </v>
      </c>
      <c r="N14" s="1" t="str">
        <f>IF(COUNTIF('MCIA Corrective Actions'!$A:$A,J14)=0," ",COUNTIF('MCIA Corrective Actions'!$A:$A,J14))</f>
        <v xml:space="preserve"> </v>
      </c>
      <c r="O14" s="1" t="str">
        <f>IF(COUNTIF('MCIA Corrective Actions'!$A:$A,J14)=0," ",COUNTIFS('MCIA Corrective Actions'!$A:$A,J14,'MCIA Corrective Actions'!N:N,"Yes"))</f>
        <v xml:space="preserve"> </v>
      </c>
      <c r="P14" s="7" t="str">
        <f>_xlfn.IFNA(VLOOKUP(J14,'MCIA Corrective Actions'!$A$2:$R$1092,6,FALSE)," ")</f>
        <v xml:space="preserve"> </v>
      </c>
      <c r="T14" s="176" t="str">
        <f t="shared" si="1"/>
        <v xml:space="preserve"> </v>
      </c>
      <c r="U14" s="176">
        <f t="shared" si="2"/>
        <v>1</v>
      </c>
      <c r="V14" s="176">
        <f t="shared" si="0"/>
        <v>0</v>
      </c>
      <c r="W14" s="176">
        <f t="shared" si="3"/>
        <v>0</v>
      </c>
    </row>
    <row r="15" spans="1:23" ht="45" hidden="1" x14ac:dyDescent="0.25">
      <c r="A15" s="7">
        <v>237</v>
      </c>
      <c r="B15" s="109" t="str">
        <f>VLOOKUP($A15,Table1[['#]:[Vessel]],4,FALSE)</f>
        <v>New York</v>
      </c>
      <c r="C15" s="143">
        <f>VLOOKUP($A15,Table1[['#]:[Date]],3,FALSE)</f>
        <v>44270</v>
      </c>
      <c r="D15" s="110">
        <f>VLOOKUP($A15,Table1[['#]:[Hours]],7,FALSE)</f>
        <v>33.833888888941146</v>
      </c>
      <c r="E15" s="110" t="str">
        <f>VLOOKUP($A15,Table1[['#]:[System]],8,FALSE)&amp;" / "&amp;VLOOKUP($A15,Table1[['#]:[Subsystem]],9,FALSE)</f>
        <v>Tagline/Boom Assist / A-Frame (Wires, Winch, etc)</v>
      </c>
      <c r="F15" s="110" t="str">
        <f>VLOOKUP($A15,Table1[['#]:[Delay Log Notes]],11,FALSE)</f>
        <v>Structural damage/cracks on hog wire anchors</v>
      </c>
      <c r="G15" s="109">
        <f>VLOOKUP($A15,Table1[['#]:[Work Order '#]],10,FALSE)</f>
        <v>4806683</v>
      </c>
      <c r="H15" s="110" t="str">
        <f>IF(G15="None"," ",VLOOKUP($A15,Table1[['#]:[Work Order Title]],12,FALSE))</f>
        <v>Quotes to remove and install new back stay dead end deck</v>
      </c>
      <c r="I15" s="112" t="str">
        <f>_xlfn.IFNA(VLOOKUP(J15,'MCIA Cases'!$A$2:$R$1091,12,FALSE)," ")</f>
        <v xml:space="preserve"> </v>
      </c>
      <c r="J15" s="112" t="s">
        <v>611</v>
      </c>
      <c r="K15" s="7" t="str">
        <f>_xlfn.IFNA(VLOOKUP(J15,'MCIA Cases'!$A$2:$AG$1091,2,FALSE)," ")</f>
        <v xml:space="preserve"> </v>
      </c>
      <c r="L15" s="1" t="str">
        <f>_xlfn.IFNA(VLOOKUP(J15,'MCIA Cases'!$A$2:$R$1091,17,FALSE)," ")</f>
        <v xml:space="preserve"> </v>
      </c>
      <c r="M15" s="7" t="str">
        <f>_xlfn.IFNA(VLOOKUP(J15,'MCIA Cases'!$A$2:$R$1091,3,FALSE)," ")</f>
        <v xml:space="preserve"> </v>
      </c>
      <c r="N15" s="1" t="str">
        <f>IF(COUNTIF('MCIA Corrective Actions'!$A:$A,J15)=0," ",COUNTIF('MCIA Corrective Actions'!$A:$A,J15))</f>
        <v xml:space="preserve"> </v>
      </c>
      <c r="O15" s="1" t="str">
        <f>IF(COUNTIF('MCIA Corrective Actions'!$A:$A,J15)=0," ",COUNTIFS('MCIA Corrective Actions'!$A:$A,J15,'MCIA Corrective Actions'!N:N,"Yes"))</f>
        <v xml:space="preserve"> </v>
      </c>
      <c r="P15" s="7" t="str">
        <f>_xlfn.IFNA(VLOOKUP(J15,'MCIA Corrective Actions'!$A$2:$R$1092,6,FALSE)," ")</f>
        <v xml:space="preserve"> </v>
      </c>
      <c r="T15" s="176" t="str">
        <f t="shared" si="1"/>
        <v xml:space="preserve"> </v>
      </c>
      <c r="U15" s="176">
        <f t="shared" si="2"/>
        <v>1</v>
      </c>
      <c r="V15" s="176">
        <f t="shared" si="0"/>
        <v>0</v>
      </c>
      <c r="W15" s="176">
        <f t="shared" si="3"/>
        <v>0</v>
      </c>
    </row>
    <row r="16" spans="1:23" ht="30" hidden="1" x14ac:dyDescent="0.25">
      <c r="A16" s="7">
        <v>238</v>
      </c>
      <c r="B16" s="109">
        <f>VLOOKUP($A16,Table1[['#]:[Vessel]],4,FALSE)</f>
        <v>54</v>
      </c>
      <c r="C16" s="143">
        <f>VLOOKUP($A16,Table1[['#]:[Date]],3,FALSE)</f>
        <v>44273</v>
      </c>
      <c r="D16" s="110">
        <f>VLOOKUP($A16,Table1[['#]:[Hours]],7,FALSE)</f>
        <v>27.345833333325572</v>
      </c>
      <c r="E16" s="110" t="str">
        <f>VLOOKUP($A16,Table1[['#]:[System]],8,FALSE)&amp;" / "&amp;VLOOKUP($A16,Table1[['#]:[Subsystem]],9,FALSE)</f>
        <v>Main Hoist / Holder</v>
      </c>
      <c r="F16" s="110" t="str">
        <f>VLOOKUP($A16,Table1[['#]:[Delay Log Notes]],11,FALSE)</f>
        <v>brake pins damaged</v>
      </c>
      <c r="G16" s="109">
        <f>VLOOKUP($A16,Table1[['#]:[Work Order '#]],10,FALSE)</f>
        <v>4806741</v>
      </c>
      <c r="H16" s="110" t="str">
        <f>IF(G16="None"," ",VLOOKUP($A16,Table1[['#]:[Work Order Title]],12,FALSE))</f>
        <v>change inboard brake band ( working brake band)</v>
      </c>
      <c r="I16" s="112" t="str">
        <f>_xlfn.IFNA(VLOOKUP(J16,'MCIA Cases'!$A$2:$R$1091,12,FALSE)," ")</f>
        <v xml:space="preserve"> </v>
      </c>
      <c r="J16" s="112" t="s">
        <v>611</v>
      </c>
      <c r="K16" s="7" t="str">
        <f>_xlfn.IFNA(VLOOKUP(J16,'MCIA Cases'!$A$2:$AG$1091,2,FALSE)," ")</f>
        <v xml:space="preserve"> </v>
      </c>
      <c r="L16" s="1" t="str">
        <f>_xlfn.IFNA(VLOOKUP(J16,'MCIA Cases'!$A$2:$R$1091,17,FALSE)," ")</f>
        <v xml:space="preserve"> </v>
      </c>
      <c r="M16" s="7" t="str">
        <f>_xlfn.IFNA(VLOOKUP(J16,'MCIA Cases'!$A$2:$R$1091,3,FALSE)," ")</f>
        <v xml:space="preserve"> </v>
      </c>
      <c r="N16" s="1" t="str">
        <f>IF(COUNTIF('MCIA Corrective Actions'!$A:$A,J16)=0," ",COUNTIF('MCIA Corrective Actions'!$A:$A,J16))</f>
        <v xml:space="preserve"> </v>
      </c>
      <c r="O16" s="1" t="str">
        <f>IF(COUNTIF('MCIA Corrective Actions'!$A:$A,J16)=0," ",COUNTIFS('MCIA Corrective Actions'!$A:$A,J16,'MCIA Corrective Actions'!N:N,"Yes"))</f>
        <v xml:space="preserve"> </v>
      </c>
      <c r="P16" s="7" t="str">
        <f>_xlfn.IFNA(VLOOKUP(J16,'MCIA Corrective Actions'!$A$2:$R$1092,6,FALSE)," ")</f>
        <v xml:space="preserve"> </v>
      </c>
      <c r="T16" s="176" t="str">
        <f t="shared" si="1"/>
        <v xml:space="preserve"> </v>
      </c>
      <c r="U16" s="176">
        <f t="shared" si="2"/>
        <v>1</v>
      </c>
      <c r="V16" s="176">
        <f t="shared" si="0"/>
        <v>0</v>
      </c>
      <c r="W16" s="176">
        <f t="shared" si="3"/>
        <v>0</v>
      </c>
    </row>
    <row r="17" spans="1:23" ht="30" hidden="1" x14ac:dyDescent="0.25">
      <c r="A17" s="7">
        <v>239</v>
      </c>
      <c r="B17" s="109">
        <f>VLOOKUP($A17,Table1[['#]:[Vessel]],4,FALSE)</f>
        <v>54</v>
      </c>
      <c r="C17" s="143">
        <f>VLOOKUP($A17,Table1[['#]:[Date]],3,FALSE)</f>
        <v>44284</v>
      </c>
      <c r="D17" s="110">
        <f>VLOOKUP($A17,Table1[['#]:[Hours]],7,FALSE)</f>
        <v>27.75</v>
      </c>
      <c r="E17" s="110" t="str">
        <f>VLOOKUP($A17,Table1[['#]:[System]],8,FALSE)&amp;" / "&amp;VLOOKUP($A17,Table1[['#]:[Subsystem]],9,FALSE)</f>
        <v>Crane Boom / Boom Winch</v>
      </c>
      <c r="F17" s="110" t="str">
        <f>VLOOKUP($A17,Table1[['#]:[Delay Log Notes]],11,FALSE)</f>
        <v>None</v>
      </c>
      <c r="G17" s="109">
        <f>VLOOKUP($A17,Table1[['#]:[Work Order '#]],10,FALSE)</f>
        <v>4807069</v>
      </c>
      <c r="H17" s="110" t="str">
        <f>IF(G17="None"," ",VLOOKUP($A17,Table1[['#]:[Work Order Title]],12,FALSE))</f>
        <v>Trouble-shoot boom motor getting hot / smoking</v>
      </c>
      <c r="I17" s="112" t="str">
        <f>_xlfn.IFNA(VLOOKUP(J17,'MCIA Cases'!$A$2:$R$1091,12,FALSE)," ")</f>
        <v xml:space="preserve"> </v>
      </c>
      <c r="J17" s="112" t="s">
        <v>611</v>
      </c>
      <c r="K17" s="7" t="str">
        <f>_xlfn.IFNA(VLOOKUP(J17,'MCIA Cases'!$A$2:$AG$1091,2,FALSE)," ")</f>
        <v xml:space="preserve"> </v>
      </c>
      <c r="L17" s="1" t="str">
        <f>_xlfn.IFNA(VLOOKUP(J17,'MCIA Cases'!$A$2:$R$1091,17,FALSE)," ")</f>
        <v xml:space="preserve"> </v>
      </c>
      <c r="M17" s="7" t="str">
        <f>_xlfn.IFNA(VLOOKUP(J17,'MCIA Cases'!$A$2:$R$1091,3,FALSE)," ")</f>
        <v xml:space="preserve"> </v>
      </c>
      <c r="N17" s="1" t="str">
        <f>IF(COUNTIF('MCIA Corrective Actions'!$A:$A,J17)=0," ",COUNTIF('MCIA Corrective Actions'!$A:$A,J17))</f>
        <v xml:space="preserve"> </v>
      </c>
      <c r="O17" s="1" t="str">
        <f>IF(COUNTIF('MCIA Corrective Actions'!$A:$A,J17)=0," ",COUNTIFS('MCIA Corrective Actions'!$A:$A,J17,'MCIA Corrective Actions'!N:N,"Yes"))</f>
        <v xml:space="preserve"> </v>
      </c>
      <c r="P17" s="7" t="str">
        <f>_xlfn.IFNA(VLOOKUP(J17,'MCIA Corrective Actions'!$A$2:$R$1092,6,FALSE)," ")</f>
        <v xml:space="preserve"> </v>
      </c>
      <c r="T17" s="176" t="str">
        <f t="shared" si="1"/>
        <v xml:space="preserve"> </v>
      </c>
      <c r="U17" s="176">
        <f t="shared" si="2"/>
        <v>1</v>
      </c>
      <c r="V17" s="176">
        <f t="shared" si="0"/>
        <v>0</v>
      </c>
      <c r="W17" s="176">
        <f t="shared" si="3"/>
        <v>0</v>
      </c>
    </row>
    <row r="18" spans="1:23" ht="60" hidden="1" x14ac:dyDescent="0.25">
      <c r="A18" s="7">
        <v>240</v>
      </c>
      <c r="B18" s="109" t="str">
        <f>VLOOKUP($A18,Table1[['#]:[Vessel]],4,FALSE)</f>
        <v>Illinois</v>
      </c>
      <c r="C18" s="143">
        <f>VLOOKUP($A18,Table1[['#]:[Date]],3,FALSE)</f>
        <v>44291</v>
      </c>
      <c r="D18" s="110">
        <f>VLOOKUP($A18,Table1[['#]:[Hours]],7,FALSE)</f>
        <v>42.078333333309274</v>
      </c>
      <c r="E18" s="110" t="str">
        <f>VLOOKUP($A18,Table1[['#]:[System]],8,FALSE)&amp;" / "&amp;VLOOKUP($A18,Table1[['#]:[Subsystem]],9,FALSE)</f>
        <v>Cutter / Gear Box</v>
      </c>
      <c r="F18" s="110" t="str">
        <f>VLOOKUP($A18,Table1[['#]:[Delay Log Notes]],11,FALSE)</f>
        <v>None</v>
      </c>
      <c r="G18" s="109">
        <f>VLOOKUP($A18,Table1[['#]:[Work Order '#]],10,FALSE)</f>
        <v>4806414</v>
      </c>
      <c r="H18" s="110" t="str">
        <f>IF(G18="None"," ",VLOOKUP($A18,Table1[['#]:[Work Order Title]],12,FALSE))</f>
        <v>Replacement of Cutter gearbox HS input shaft bearings &amp; HS Intermediate shaft bearings.</v>
      </c>
      <c r="I18" s="112" t="str">
        <f>_xlfn.IFNA(VLOOKUP(J18,'MCIA Cases'!$A$2:$R$1091,12,FALSE)," ")</f>
        <v xml:space="preserve"> </v>
      </c>
      <c r="J18" s="112" t="s">
        <v>611</v>
      </c>
      <c r="K18" s="7" t="str">
        <f>_xlfn.IFNA(VLOOKUP(J18,'MCIA Cases'!$A$2:$AG$1091,2,FALSE)," ")</f>
        <v xml:space="preserve"> </v>
      </c>
      <c r="L18" s="1" t="str">
        <f>_xlfn.IFNA(VLOOKUP(J18,'MCIA Cases'!$A$2:$R$1091,17,FALSE)," ")</f>
        <v xml:space="preserve"> </v>
      </c>
      <c r="M18" s="7" t="str">
        <f>_xlfn.IFNA(VLOOKUP(J18,'MCIA Cases'!$A$2:$R$1091,3,FALSE)," ")</f>
        <v xml:space="preserve"> </v>
      </c>
      <c r="N18" s="1" t="str">
        <f>IF(COUNTIF('MCIA Corrective Actions'!$A:$A,J18)=0," ",COUNTIF('MCIA Corrective Actions'!$A:$A,J18))</f>
        <v xml:space="preserve"> </v>
      </c>
      <c r="O18" s="1" t="str">
        <f>IF(COUNTIF('MCIA Corrective Actions'!$A:$A,J18)=0," ",COUNTIFS('MCIA Corrective Actions'!$A:$A,J18,'MCIA Corrective Actions'!N:N,"Yes"))</f>
        <v xml:space="preserve"> </v>
      </c>
      <c r="P18" s="7" t="str">
        <f>_xlfn.IFNA(VLOOKUP(J18,'MCIA Corrective Actions'!$A$2:$R$1092,6,FALSE)," ")</f>
        <v xml:space="preserve"> </v>
      </c>
      <c r="Q18" s="7" t="s">
        <v>2780</v>
      </c>
      <c r="R18" s="7" t="s">
        <v>2896</v>
      </c>
      <c r="T18" s="176" t="str">
        <f t="shared" si="1"/>
        <v xml:space="preserve"> </v>
      </c>
      <c r="U18" s="176">
        <f t="shared" si="2"/>
        <v>1</v>
      </c>
      <c r="V18" s="176">
        <f t="shared" si="0"/>
        <v>0</v>
      </c>
      <c r="W18" s="176">
        <f t="shared" si="3"/>
        <v>0</v>
      </c>
    </row>
    <row r="19" spans="1:23" ht="75" x14ac:dyDescent="0.25">
      <c r="A19" s="7">
        <v>241</v>
      </c>
      <c r="B19" s="109">
        <f>VLOOKUP($A19,Table1[['#]:[Vessel]],4,FALSE)</f>
        <v>53</v>
      </c>
      <c r="C19" s="143">
        <f>VLOOKUP($A19,Table1[['#]:[Date]],3,FALSE)</f>
        <v>44292</v>
      </c>
      <c r="D19" s="110">
        <f>VLOOKUP($A19,Table1[['#]:[Hours]],7,FALSE)</f>
        <v>40.082777777686715</v>
      </c>
      <c r="E19" s="110" t="str">
        <f>VLOOKUP($A19,Table1[['#]:[System]],8,FALSE)&amp;" / "&amp;VLOOKUP($A19,Table1[['#]:[Subsystem]],9,FALSE)</f>
        <v>Electrical/Electronics / MCC / Switch Gear</v>
      </c>
      <c r="F19" s="110" t="str">
        <f>VLOOKUP($A19,Table1[['#]:[Delay Log Notes]],11,FALSE)</f>
        <v>bucket fell in scow (full load) drives tripped. troubleshooting. changed 2 blown fuses on closer, test. issue with holder drum not turning/inspected and found broken shaft on holder gearbox</v>
      </c>
      <c r="G19" s="109" t="str">
        <f>VLOOKUP($A19,Table1[['#]:[Work Order '#]],10,FALSE)</f>
        <v>None</v>
      </c>
      <c r="H19" s="110" t="str">
        <f>IF(G19="None"," ",VLOOKUP($A19,Table1[['#]:[Work Order Title]],12,FALSE))</f>
        <v xml:space="preserve"> </v>
      </c>
      <c r="I19" s="112" t="str">
        <f>_xlfn.IFNA(VLOOKUP(J19,'MCIA Cases'!$A$2:$R$1091,12,FALSE)," ")</f>
        <v xml:space="preserve"> </v>
      </c>
      <c r="J19" s="177" t="s">
        <v>2682</v>
      </c>
      <c r="K19" s="7" t="str">
        <f>_xlfn.IFNA(VLOOKUP(J19,'MCIA Cases'!$A$2:$AG$1091,2,FALSE)," ")</f>
        <v xml:space="preserve"> </v>
      </c>
      <c r="L19" s="1" t="str">
        <f>_xlfn.IFNA(VLOOKUP(J19,'MCIA Cases'!$A$2:$R$1091,17,FALSE)," ")</f>
        <v xml:space="preserve"> </v>
      </c>
      <c r="M19" s="7" t="str">
        <f>_xlfn.IFNA(VLOOKUP(J19,'MCIA Cases'!$A$2:$R$1091,3,FALSE)," ")</f>
        <v xml:space="preserve"> </v>
      </c>
      <c r="N19" s="1" t="str">
        <f>IF(COUNTIF('MCIA Corrective Actions'!$A:$A,J19)=0," ",COUNTIF('MCIA Corrective Actions'!$A:$A,J19))</f>
        <v xml:space="preserve"> </v>
      </c>
      <c r="O19" s="1" t="str">
        <f>IF(COUNTIF('MCIA Corrective Actions'!$A:$A,J19)=0," ",COUNTIFS('MCIA Corrective Actions'!$A:$A,J19,'MCIA Corrective Actions'!N:N,"Yes"))</f>
        <v xml:space="preserve"> </v>
      </c>
      <c r="P19" s="7" t="str">
        <f>_xlfn.IFNA(VLOOKUP(J19,'MCIA Corrective Actions'!$A$2:$R$1092,6,FALSE)," ")</f>
        <v xml:space="preserve"> </v>
      </c>
      <c r="Q19" s="7" t="s">
        <v>2779</v>
      </c>
      <c r="R19" s="7" t="s">
        <v>2889</v>
      </c>
      <c r="T19" s="176" t="str">
        <f t="shared" si="1"/>
        <v xml:space="preserve"> </v>
      </c>
      <c r="U19" s="176">
        <f t="shared" si="2"/>
        <v>1</v>
      </c>
      <c r="V19" s="176">
        <f t="shared" si="0"/>
        <v>0</v>
      </c>
      <c r="W19" s="176">
        <f t="shared" si="3"/>
        <v>0</v>
      </c>
    </row>
    <row r="20" spans="1:23" ht="30" hidden="1" x14ac:dyDescent="0.25">
      <c r="A20" s="7">
        <v>242</v>
      </c>
      <c r="B20" s="109">
        <f>VLOOKUP($A20,Table1[['#]:[Vessel]],4,FALSE)</f>
        <v>54</v>
      </c>
      <c r="C20" s="143">
        <f>VLOOKUP($A20,Table1[['#]:[Date]],3,FALSE)</f>
        <v>44307</v>
      </c>
      <c r="D20" s="110">
        <f>VLOOKUP($A20,Table1[['#]:[Hours]],7,FALSE)</f>
        <v>67.983055555494502</v>
      </c>
      <c r="E20" s="110" t="str">
        <f>VLOOKUP($A20,Table1[['#]:[System]],8,FALSE)&amp;" / "&amp;VLOOKUP($A20,Table1[['#]:[Subsystem]],9,FALSE)</f>
        <v>Spud System / Spud Wires</v>
      </c>
      <c r="F20" s="110" t="str">
        <f>VLOOKUP($A20,Table1[['#]:[Delay Log Notes]],11,FALSE)</f>
        <v>Stern spud wire broke</v>
      </c>
      <c r="G20" s="109">
        <f>VLOOKUP($A20,Table1[['#]:[Work Order '#]],10,FALSE)</f>
        <v>4807689</v>
      </c>
      <c r="H20" s="110" t="str">
        <f>IF(G20="None"," ",VLOOKUP($A20,Table1[['#]:[Work Order Title]],12,FALSE))</f>
        <v>Spud (Stern) Bottom Wire Change</v>
      </c>
      <c r="I20" s="112" t="str">
        <f>_xlfn.IFNA(VLOOKUP(J20,'MCIA Cases'!$A$2:$R$1091,12,FALSE)," ")</f>
        <v xml:space="preserve"> </v>
      </c>
      <c r="J20" s="112" t="s">
        <v>611</v>
      </c>
      <c r="K20" s="7" t="str">
        <f>_xlfn.IFNA(VLOOKUP(J20,'MCIA Cases'!$A$2:$AG$1091,2,FALSE)," ")</f>
        <v xml:space="preserve"> </v>
      </c>
      <c r="L20" s="1" t="str">
        <f>_xlfn.IFNA(VLOOKUP(J20,'MCIA Cases'!$A$2:$R$1091,17,FALSE)," ")</f>
        <v xml:space="preserve"> </v>
      </c>
      <c r="M20" s="7" t="str">
        <f>_xlfn.IFNA(VLOOKUP(J20,'MCIA Cases'!$A$2:$R$1091,3,FALSE)," ")</f>
        <v xml:space="preserve"> </v>
      </c>
      <c r="N20" s="1" t="str">
        <f>IF(COUNTIF('MCIA Corrective Actions'!$A:$A,J20)=0," ",COUNTIF('MCIA Corrective Actions'!$A:$A,J20))</f>
        <v xml:space="preserve"> </v>
      </c>
      <c r="O20" s="1" t="str">
        <f>IF(COUNTIF('MCIA Corrective Actions'!$A:$A,J20)=0," ",COUNTIFS('MCIA Corrective Actions'!$A:$A,J20,'MCIA Corrective Actions'!N:N,"Yes"))</f>
        <v xml:space="preserve"> </v>
      </c>
      <c r="P20" s="7" t="str">
        <f>_xlfn.IFNA(VLOOKUP(J20,'MCIA Corrective Actions'!$A$2:$R$1092,6,FALSE)," ")</f>
        <v xml:space="preserve"> </v>
      </c>
      <c r="T20" s="176" t="str">
        <f t="shared" si="1"/>
        <v xml:space="preserve"> </v>
      </c>
      <c r="U20" s="176">
        <f t="shared" si="2"/>
        <v>1</v>
      </c>
      <c r="V20" s="176">
        <f t="shared" si="0"/>
        <v>0</v>
      </c>
      <c r="W20" s="176">
        <f t="shared" si="3"/>
        <v>0</v>
      </c>
    </row>
    <row r="21" spans="1:23" ht="30" x14ac:dyDescent="0.25">
      <c r="A21" s="7">
        <v>243</v>
      </c>
      <c r="B21" s="109" t="str">
        <f>VLOOKUP($A21,Table1[['#]:[Vessel]],4,FALSE)</f>
        <v>Ohio</v>
      </c>
      <c r="C21" s="143">
        <f>VLOOKUP($A21,Table1[['#]:[Date]],3,FALSE)</f>
        <v>44309</v>
      </c>
      <c r="D21" s="110">
        <f>VLOOKUP($A21,Table1[['#]:[Hours]],7,FALSE)</f>
        <v>27.903888888889924</v>
      </c>
      <c r="E21" s="110" t="str">
        <f>VLOOKUP($A21,Table1[['#]:[System]],8,FALSE)&amp;" / "&amp;VLOOKUP($A21,Table1[['#]:[Subsystem]],9,FALSE)</f>
        <v>Main Pump / Pump Rebuild</v>
      </c>
      <c r="F21" s="110" t="str">
        <f>VLOOKUP($A21,Table1[['#]:[Delay Log Notes]],11,FALSE)</f>
        <v>pump liner wore out</v>
      </c>
      <c r="G21" s="109">
        <f>VLOOKUP($A21,Table1[['#]:[Work Order '#]],10,FALSE)</f>
        <v>4807705</v>
      </c>
      <c r="H21" s="110" t="str">
        <f>IF(G21="None"," ",VLOOKUP($A21,Table1[['#]:[Work Order Title]],12,FALSE))</f>
        <v>Install new liner in #2 pump / Oak Island N.C.</v>
      </c>
      <c r="I21" s="112" t="str">
        <f>_xlfn.IFNA(VLOOKUP(J21,'MCIA Cases'!$A$2:$R$1091,12,FALSE)," ")</f>
        <v xml:space="preserve"> </v>
      </c>
      <c r="J21" s="112" t="s">
        <v>2682</v>
      </c>
      <c r="K21" s="7" t="str">
        <f>_xlfn.IFNA(VLOOKUP(J21,'MCIA Cases'!$A$2:$AG$1091,2,FALSE)," ")</f>
        <v xml:space="preserve"> </v>
      </c>
      <c r="L21" s="1" t="str">
        <f>_xlfn.IFNA(VLOOKUP(J21,'MCIA Cases'!$A$2:$R$1091,17,FALSE)," ")</f>
        <v xml:space="preserve"> </v>
      </c>
      <c r="M21" s="7" t="str">
        <f>_xlfn.IFNA(VLOOKUP(J21,'MCIA Cases'!$A$2:$R$1091,3,FALSE)," ")</f>
        <v xml:space="preserve"> </v>
      </c>
      <c r="N21" s="1" t="str">
        <f>IF(COUNTIF('MCIA Corrective Actions'!$A:$A,J21)=0," ",COUNTIF('MCIA Corrective Actions'!$A:$A,J21))</f>
        <v xml:space="preserve"> </v>
      </c>
      <c r="O21" s="1" t="str">
        <f>IF(COUNTIF('MCIA Corrective Actions'!$A:$A,J21)=0," ",COUNTIFS('MCIA Corrective Actions'!$A:$A,J21,'MCIA Corrective Actions'!N:N,"Yes"))</f>
        <v xml:space="preserve"> </v>
      </c>
      <c r="P21" s="7" t="str">
        <f>_xlfn.IFNA(VLOOKUP(J21,'MCIA Corrective Actions'!$A$2:$R$1092,6,FALSE)," ")</f>
        <v xml:space="preserve"> </v>
      </c>
      <c r="Q21" s="7" t="s">
        <v>2780</v>
      </c>
      <c r="R21" s="7" t="s">
        <v>2889</v>
      </c>
      <c r="T21" s="176" t="str">
        <f t="shared" si="1"/>
        <v xml:space="preserve"> </v>
      </c>
      <c r="U21" s="176">
        <f t="shared" si="2"/>
        <v>1</v>
      </c>
      <c r="V21" s="176">
        <f t="shared" si="0"/>
        <v>0</v>
      </c>
      <c r="W21" s="176">
        <f t="shared" si="3"/>
        <v>0</v>
      </c>
    </row>
    <row r="22" spans="1:23" ht="30" hidden="1" x14ac:dyDescent="0.25">
      <c r="A22" s="7">
        <v>244</v>
      </c>
      <c r="B22" s="109" t="str">
        <f>VLOOKUP($A22,Table1[['#]:[Vessel]],4,FALSE)</f>
        <v>Carolina</v>
      </c>
      <c r="C22" s="143">
        <f>VLOOKUP($A22,Table1[['#]:[Date]],3,FALSE)</f>
        <v>44312</v>
      </c>
      <c r="D22" s="110">
        <f>VLOOKUP($A22,Table1[['#]:[Hours]],7,FALSE)</f>
        <v>50.718888889008667</v>
      </c>
      <c r="E22" s="110" t="str">
        <f>VLOOKUP($A22,Table1[['#]:[System]],8,FALSE)&amp;" / "&amp;VLOOKUP($A22,Table1[['#]:[Subsystem]],9,FALSE)</f>
        <v>Ladder Pump / Gearbox</v>
      </c>
      <c r="F22" s="110" t="str">
        <f>VLOOKUP($A22,Table1[['#]:[Delay Log Notes]],11,FALSE)</f>
        <v>None</v>
      </c>
      <c r="G22" s="109">
        <f>VLOOKUP($A22,Table1[['#]:[Work Order '#]],10,FALSE)</f>
        <v>4038883</v>
      </c>
      <c r="H22" s="110" t="str">
        <f>IF(G22="None"," ",VLOOKUP($A22,Table1[['#]:[Work Order Title]],12,FALSE))</f>
        <v>Remove and reinstall UWP gear case top cover</v>
      </c>
      <c r="I22" s="112" t="str">
        <f>_xlfn.IFNA(VLOOKUP(J22,'MCIA Cases'!$A$2:$R$1091,12,FALSE)," ")</f>
        <v>In Progress</v>
      </c>
      <c r="J22" s="112">
        <v>408</v>
      </c>
      <c r="K22" s="7" t="str">
        <f>_xlfn.IFNA(VLOOKUP(J22,'MCIA Cases'!$A$2:$AG$1091,2,FALSE)," ")</f>
        <v>Ladder Pump / Gear Box</v>
      </c>
      <c r="L22" s="1" t="str">
        <f>_xlfn.IFNA(VLOOKUP(J22,'MCIA Cases'!$A$2:$R$1091,17,FALSE)," ")</f>
        <v>04/26/2021</v>
      </c>
      <c r="M22" s="7" t="str">
        <f>_xlfn.IFNA(VLOOKUP(J22,'MCIA Cases'!$A$2:$R$1091,3,FALSE)," ")</f>
        <v>Wade Smith</v>
      </c>
      <c r="N22" s="1">
        <f>IF(COUNTIF('MCIA Corrective Actions'!$A:$A,J22)=0," ",COUNTIF('MCIA Corrective Actions'!$A:$A,J22))</f>
        <v>1</v>
      </c>
      <c r="O22" s="1">
        <f>IF(COUNTIF('MCIA Corrective Actions'!$A:$A,J22)=0," ",COUNTIFS('MCIA Corrective Actions'!$A:$A,J22,'MCIA Corrective Actions'!N:N,"Yes"))</f>
        <v>1</v>
      </c>
      <c r="P22" s="7" t="str">
        <f>_xlfn.IFNA(VLOOKUP(J22,'MCIA Corrective Actions'!$A$2:$R$1092,6,FALSE)," ")</f>
        <v>Tim Riehl</v>
      </c>
      <c r="Q22" s="7" t="s">
        <v>2780</v>
      </c>
      <c r="T22" s="176">
        <f t="shared" si="1"/>
        <v>0</v>
      </c>
      <c r="U22" s="176">
        <f t="shared" si="2"/>
        <v>1</v>
      </c>
      <c r="V22" s="176">
        <f t="shared" si="0"/>
        <v>1</v>
      </c>
      <c r="W22" s="176">
        <f t="shared" si="3"/>
        <v>1</v>
      </c>
    </row>
    <row r="23" spans="1:23" ht="30" hidden="1" x14ac:dyDescent="0.25">
      <c r="A23" s="7">
        <v>245</v>
      </c>
      <c r="B23" s="109" t="str">
        <f>VLOOKUP($A23,Table1[['#]:[Vessel]],4,FALSE)</f>
        <v>Carolina</v>
      </c>
      <c r="C23" s="143">
        <f>VLOOKUP($A23,Table1[['#]:[Date]],3,FALSE)</f>
        <v>44321</v>
      </c>
      <c r="D23" s="110">
        <f>VLOOKUP($A23,Table1[['#]:[Hours]],7,FALSE)</f>
        <v>117.15805555548286</v>
      </c>
      <c r="E23" s="110" t="str">
        <f>VLOOKUP($A23,Table1[['#]:[System]],8,FALSE)&amp;" / "&amp;VLOOKUP($A23,Table1[['#]:[Subsystem]],9,FALSE)</f>
        <v>Idler / Spud Barge / GL10</v>
      </c>
      <c r="F23" s="110" t="str">
        <f>VLOOKUP($A23,Table1[['#]:[Delay Log Notes]],11,FALSE)</f>
        <v>winch issues</v>
      </c>
      <c r="G23" s="109" t="str">
        <f>VLOOKUP($A23,Table1[['#]:[Work Order '#]],10,FALSE)</f>
        <v>None</v>
      </c>
      <c r="H23" s="110" t="str">
        <f>IF(G23="None"," ",VLOOKUP($A23,Table1[['#]:[Work Order Title]],12,FALSE))</f>
        <v xml:space="preserve"> </v>
      </c>
      <c r="I23" s="112" t="str">
        <f>_xlfn.IFNA(VLOOKUP(J23,'MCIA Cases'!$A$2:$R$1091,12,FALSE)," ")</f>
        <v>Ready for Review</v>
      </c>
      <c r="J23" s="112">
        <v>398</v>
      </c>
      <c r="K23" s="7" t="str">
        <f>_xlfn.IFNA(VLOOKUP(J23,'MCIA Cases'!$A$2:$AG$1091,2,FALSE)," ")</f>
        <v>GL10 Idler Barge</v>
      </c>
      <c r="L23" s="1" t="str">
        <f>_xlfn.IFNA(VLOOKUP(J23,'MCIA Cases'!$A$2:$R$1091,17,FALSE)," ")</f>
        <v>05/05/2021</v>
      </c>
      <c r="M23" s="7" t="str">
        <f>_xlfn.IFNA(VLOOKUP(J23,'MCIA Cases'!$A$2:$R$1091,3,FALSE)," ")</f>
        <v xml:space="preserve">Shawn Boynton </v>
      </c>
      <c r="N23" s="1">
        <f>IF(COUNTIF('MCIA Corrective Actions'!$A:$A,J23)=0," ",COUNTIF('MCIA Corrective Actions'!$A:$A,J23))</f>
        <v>2</v>
      </c>
      <c r="O23" s="1">
        <f>IF(COUNTIF('MCIA Corrective Actions'!$A:$A,J23)=0," ",COUNTIFS('MCIA Corrective Actions'!$A:$A,J23,'MCIA Corrective Actions'!N:N,"Yes"))</f>
        <v>0</v>
      </c>
      <c r="P23" s="7" t="str">
        <f>_xlfn.IFNA(VLOOKUP(J23,'MCIA Corrective Actions'!$A$2:$R$1092,6,FALSE)," ")</f>
        <v>Scott Baumann</v>
      </c>
      <c r="Q23" s="7" t="s">
        <v>2780</v>
      </c>
      <c r="T23" s="176">
        <f t="shared" si="1"/>
        <v>2</v>
      </c>
      <c r="U23" s="176">
        <f t="shared" si="2"/>
        <v>1</v>
      </c>
      <c r="V23" s="176">
        <f t="shared" si="0"/>
        <v>1</v>
      </c>
      <c r="W23" s="176">
        <f t="shared" si="3"/>
        <v>1</v>
      </c>
    </row>
    <row r="24" spans="1:23" hidden="1" x14ac:dyDescent="0.25">
      <c r="A24" s="7">
        <v>246</v>
      </c>
      <c r="B24" s="109" t="str">
        <f>VLOOKUP($A24,Table1[['#]:[Vessel]],4,FALSE)</f>
        <v>Carolina</v>
      </c>
      <c r="C24" s="143">
        <f>VLOOKUP($A24,Table1[['#]:[Date]],3,FALSE)</f>
        <v>44335</v>
      </c>
      <c r="D24" s="110">
        <f>VLOOKUP($A24,Table1[['#]:[Hours]],7,FALSE)</f>
        <v>156.39611111098202</v>
      </c>
      <c r="E24" s="110" t="str">
        <f>VLOOKUP($A24,Table1[['#]:[System]],8,FALSE)&amp;" / "&amp;VLOOKUP($A24,Table1[['#]:[Subsystem]],9,FALSE)</f>
        <v>Ladder Pump / Gearbox</v>
      </c>
      <c r="F24" s="110" t="str">
        <f>VLOOKUP($A24,Table1[['#]:[Delay Log Notes]],11,FALSE)</f>
        <v>Gearbox repair.</v>
      </c>
      <c r="G24" s="109" t="str">
        <f>VLOOKUP($A24,Table1[['#]:[Work Order '#]],10,FALSE)</f>
        <v>None</v>
      </c>
      <c r="H24" s="110" t="str">
        <f>IF(G24="None"," ",VLOOKUP($A24,Table1[['#]:[Work Order Title]],12,FALSE))</f>
        <v xml:space="preserve"> </v>
      </c>
      <c r="I24" s="112" t="str">
        <f>_xlfn.IFNA(VLOOKUP(J24,'MCIA Cases'!$A$2:$R$1091,12,FALSE)," ")</f>
        <v xml:space="preserve"> </v>
      </c>
      <c r="J24" s="112" t="s">
        <v>611</v>
      </c>
      <c r="K24" s="7" t="str">
        <f>_xlfn.IFNA(VLOOKUP(J24,'MCIA Cases'!$A$2:$AG$1091,2,FALSE)," ")</f>
        <v xml:space="preserve"> </v>
      </c>
      <c r="L24" s="1" t="str">
        <f>_xlfn.IFNA(VLOOKUP(J24,'MCIA Cases'!$A$2:$R$1091,17,FALSE)," ")</f>
        <v xml:space="preserve"> </v>
      </c>
      <c r="M24" s="7" t="str">
        <f>_xlfn.IFNA(VLOOKUP(J24,'MCIA Cases'!$A$2:$R$1091,3,FALSE)," ")</f>
        <v xml:space="preserve"> </v>
      </c>
      <c r="N24" s="1" t="str">
        <f>IF(COUNTIF('MCIA Corrective Actions'!$A:$A,J24)=0," ",COUNTIF('MCIA Corrective Actions'!$A:$A,J24))</f>
        <v xml:space="preserve"> </v>
      </c>
      <c r="O24" s="1" t="str">
        <f>IF(COUNTIF('MCIA Corrective Actions'!$A:$A,J24)=0," ",COUNTIFS('MCIA Corrective Actions'!$A:$A,J24,'MCIA Corrective Actions'!N:N,"Yes"))</f>
        <v xml:space="preserve"> </v>
      </c>
      <c r="P24" s="7" t="str">
        <f>_xlfn.IFNA(VLOOKUP(J24,'MCIA Corrective Actions'!$A$2:$R$1092,6,FALSE)," ")</f>
        <v xml:space="preserve"> </v>
      </c>
      <c r="Q24" s="7" t="s">
        <v>2780</v>
      </c>
      <c r="R24" s="7" t="s">
        <v>2882</v>
      </c>
      <c r="T24" s="176" t="str">
        <f t="shared" si="1"/>
        <v xml:space="preserve"> </v>
      </c>
      <c r="U24" s="176">
        <f t="shared" si="2"/>
        <v>1</v>
      </c>
      <c r="V24" s="176">
        <f t="shared" si="0"/>
        <v>0</v>
      </c>
      <c r="W24" s="176">
        <f t="shared" si="3"/>
        <v>0</v>
      </c>
    </row>
    <row r="25" spans="1:23" ht="30" hidden="1" x14ac:dyDescent="0.25">
      <c r="A25" s="7">
        <v>247</v>
      </c>
      <c r="B25" s="109" t="str">
        <f>VLOOKUP($A25,Table1[['#]:[Vessel]],4,FALSE)</f>
        <v>Carolina</v>
      </c>
      <c r="C25" s="143">
        <f>VLOOKUP($A25,Table1[['#]:[Date]],3,FALSE)</f>
        <v>44344</v>
      </c>
      <c r="D25" s="110">
        <f>VLOOKUP($A25,Table1[['#]:[Hours]],7,FALSE)</f>
        <v>88.841666666732635</v>
      </c>
      <c r="E25" s="110" t="str">
        <f>VLOOKUP($A25,Table1[['#]:[System]],8,FALSE)&amp;" / "&amp;VLOOKUP($A25,Table1[['#]:[Subsystem]],9,FALSE)</f>
        <v>Main Pump / Bearings / Shafts</v>
      </c>
      <c r="F25" s="110" t="str">
        <f>VLOOKUP($A25,Table1[['#]:[Delay Log Notes]],11,FALSE)</f>
        <v>None</v>
      </c>
      <c r="G25" s="109" t="str">
        <f>VLOOKUP($A25,Table1[['#]:[Work Order '#]],10,FALSE)</f>
        <v>None</v>
      </c>
      <c r="H25" s="110" t="str">
        <f>IF(G25="None"," ",VLOOKUP($A25,Table1[['#]:[Work Order Title]],12,FALSE))</f>
        <v xml:space="preserve"> </v>
      </c>
      <c r="I25" s="112" t="str">
        <f>_xlfn.IFNA(VLOOKUP(J25,'MCIA Cases'!$A$2:$R$1091,12,FALSE)," ")</f>
        <v>In Progress</v>
      </c>
      <c r="J25" s="112">
        <v>409</v>
      </c>
      <c r="K25" s="7" t="str">
        <f>_xlfn.IFNA(VLOOKUP(J25,'MCIA Cases'!$A$2:$AG$1091,2,FALSE)," ")</f>
        <v>Main Pump Thrust Bearings Port side</v>
      </c>
      <c r="L25" s="1" t="str">
        <f>_xlfn.IFNA(VLOOKUP(J25,'MCIA Cases'!$A$2:$R$1091,17,FALSE)," ")</f>
        <v>05/28/2021</v>
      </c>
      <c r="M25" s="7" t="str">
        <f>_xlfn.IFNA(VLOOKUP(J25,'MCIA Cases'!$A$2:$R$1091,3,FALSE)," ")</f>
        <v>Wade Smith</v>
      </c>
      <c r="N25" s="1">
        <f>IF(COUNTIF('MCIA Corrective Actions'!$A:$A,J25)=0," ",COUNTIF('MCIA Corrective Actions'!$A:$A,J25))</f>
        <v>2</v>
      </c>
      <c r="O25" s="1">
        <f>IF(COUNTIF('MCIA Corrective Actions'!$A:$A,J25)=0," ",COUNTIFS('MCIA Corrective Actions'!$A:$A,J25,'MCIA Corrective Actions'!N:N,"Yes"))</f>
        <v>2</v>
      </c>
      <c r="P25" s="7" t="str">
        <f>_xlfn.IFNA(VLOOKUP(J25,'MCIA Corrective Actions'!$A$2:$R$1092,6,FALSE)," ")</f>
        <v>Scott Baumann</v>
      </c>
      <c r="Q25" s="7" t="s">
        <v>2780</v>
      </c>
      <c r="T25" s="176">
        <f t="shared" si="1"/>
        <v>0</v>
      </c>
      <c r="U25" s="176">
        <f t="shared" si="2"/>
        <v>1</v>
      </c>
      <c r="V25" s="176">
        <f t="shared" si="0"/>
        <v>1</v>
      </c>
      <c r="W25" s="176">
        <f t="shared" si="3"/>
        <v>1</v>
      </c>
    </row>
    <row r="26" spans="1:23" ht="30" hidden="1" x14ac:dyDescent="0.25">
      <c r="A26" s="7">
        <v>248</v>
      </c>
      <c r="B26" s="109" t="str">
        <f>VLOOKUP($A26,Table1[['#]:[Vessel]],4,FALSE)</f>
        <v>Liberty Island</v>
      </c>
      <c r="C26" s="143">
        <f>VLOOKUP($A26,Table1[['#]:[Date]],3,FALSE)</f>
        <v>44351</v>
      </c>
      <c r="D26" s="110">
        <f>VLOOKUP($A26,Table1[['#]:[Hours]],7,FALSE)</f>
        <v>42.96</v>
      </c>
      <c r="E26" s="110" t="str">
        <f>VLOOKUP($A26,Table1[['#]:[System]],8,FALSE)&amp;" / "&amp;VLOOKUP($A26,Table1[['#]:[Subsystem]],9,FALSE)</f>
        <v>Other / Other Mechanical (repairs)</v>
      </c>
      <c r="F26" s="110" t="str">
        <f>VLOOKUP($A26,Table1[['#]:[Delay Log Notes]],11,FALSE)</f>
        <v>None</v>
      </c>
      <c r="G26" s="109" t="str">
        <f>VLOOKUP($A26,Table1[['#]:[Work Order '#]],10,FALSE)</f>
        <v>None</v>
      </c>
      <c r="H26" s="110" t="str">
        <f>IF(G26="None"," ",VLOOKUP($A26,Table1[['#]:[Work Order Title]],12,FALSE))</f>
        <v xml:space="preserve"> </v>
      </c>
      <c r="I26" s="112" t="str">
        <f>_xlfn.IFNA(VLOOKUP(J26,'MCIA Cases'!$A$2:$R$1091,12,FALSE)," ")</f>
        <v xml:space="preserve"> </v>
      </c>
      <c r="J26" s="112" t="s">
        <v>611</v>
      </c>
      <c r="K26" s="7" t="str">
        <f>_xlfn.IFNA(VLOOKUP(J26,'MCIA Cases'!$A$2:$AG$1091,2,FALSE)," ")</f>
        <v xml:space="preserve"> </v>
      </c>
      <c r="L26" s="1" t="str">
        <f>_xlfn.IFNA(VLOOKUP(J26,'MCIA Cases'!$A$2:$R$1091,17,FALSE)," ")</f>
        <v xml:space="preserve"> </v>
      </c>
      <c r="M26" s="7" t="str">
        <f>_xlfn.IFNA(VLOOKUP(J26,'MCIA Cases'!$A$2:$R$1091,3,FALSE)," ")</f>
        <v xml:space="preserve"> </v>
      </c>
      <c r="N26" s="1" t="str">
        <f>IF(COUNTIF('MCIA Corrective Actions'!$A:$A,J26)=0," ",COUNTIF('MCIA Corrective Actions'!$A:$A,J26))</f>
        <v xml:space="preserve"> </v>
      </c>
      <c r="O26" s="1" t="str">
        <f>IF(COUNTIF('MCIA Corrective Actions'!$A:$A,J26)=0," ",COUNTIFS('MCIA Corrective Actions'!$A:$A,J26,'MCIA Corrective Actions'!N:N,"Yes"))</f>
        <v xml:space="preserve"> </v>
      </c>
      <c r="P26" s="7" t="str">
        <f>_xlfn.IFNA(VLOOKUP(J26,'MCIA Corrective Actions'!$A$2:$R$1092,6,FALSE)," ")</f>
        <v xml:space="preserve"> </v>
      </c>
      <c r="T26" s="176" t="str">
        <f t="shared" si="1"/>
        <v xml:space="preserve"> </v>
      </c>
      <c r="U26" s="176">
        <f t="shared" si="2"/>
        <v>1</v>
      </c>
      <c r="V26" s="176">
        <f t="shared" si="0"/>
        <v>0</v>
      </c>
      <c r="W26" s="176">
        <f t="shared" si="3"/>
        <v>0</v>
      </c>
    </row>
    <row r="27" spans="1:23" ht="30" hidden="1" x14ac:dyDescent="0.25">
      <c r="A27" s="7">
        <v>249</v>
      </c>
      <c r="B27" s="109">
        <f>VLOOKUP($A27,Table1[['#]:[Vessel]],4,FALSE)</f>
        <v>54</v>
      </c>
      <c r="C27" s="143">
        <f>VLOOKUP($A27,Table1[['#]:[Date]],3,FALSE)</f>
        <v>44353</v>
      </c>
      <c r="D27" s="110">
        <f>VLOOKUP($A27,Table1[['#]:[Hours]],7,FALSE)</f>
        <v>40.011666666716337</v>
      </c>
      <c r="E27" s="110" t="str">
        <f>VLOOKUP($A27,Table1[['#]:[System]],8,FALSE)&amp;" / "&amp;VLOOKUP($A27,Table1[['#]:[Subsystem]],9,FALSE)</f>
        <v>Spud System / Spud Wires</v>
      </c>
      <c r="F27" s="110" t="str">
        <f>VLOOKUP($A27,Table1[['#]:[Delay Log Notes]],11,FALSE)</f>
        <v>None</v>
      </c>
      <c r="G27" s="109">
        <f>VLOOKUP($A27,Table1[['#]:[Work Order '#]],10,FALSE)</f>
        <v>4251870</v>
      </c>
      <c r="H27" s="110" t="str">
        <f>IF(G27="None"," ",VLOOKUP($A27,Table1[['#]:[Work Order Title]],12,FALSE))</f>
        <v>Change top spud wire</v>
      </c>
      <c r="I27" s="112" t="str">
        <f>_xlfn.IFNA(VLOOKUP(J27,'MCIA Cases'!$A$2:$R$1091,12,FALSE)," ")</f>
        <v xml:space="preserve"> </v>
      </c>
      <c r="J27" s="112" t="s">
        <v>611</v>
      </c>
      <c r="K27" s="7" t="str">
        <f>_xlfn.IFNA(VLOOKUP(J27,'MCIA Cases'!$A$2:$AG$1091,2,FALSE)," ")</f>
        <v xml:space="preserve"> </v>
      </c>
      <c r="L27" s="1" t="str">
        <f>_xlfn.IFNA(VLOOKUP(J27,'MCIA Cases'!$A$2:$R$1091,17,FALSE)," ")</f>
        <v xml:space="preserve"> </v>
      </c>
      <c r="M27" s="7" t="str">
        <f>_xlfn.IFNA(VLOOKUP(J27,'MCIA Cases'!$A$2:$R$1091,3,FALSE)," ")</f>
        <v xml:space="preserve"> </v>
      </c>
      <c r="N27" s="1" t="str">
        <f>IF(COUNTIF('MCIA Corrective Actions'!$A:$A,J27)=0," ",COUNTIF('MCIA Corrective Actions'!$A:$A,J27))</f>
        <v xml:space="preserve"> </v>
      </c>
      <c r="O27" s="1" t="str">
        <f>IF(COUNTIF('MCIA Corrective Actions'!$A:$A,J27)=0," ",COUNTIFS('MCIA Corrective Actions'!$A:$A,J27,'MCIA Corrective Actions'!N:N,"Yes"))</f>
        <v xml:space="preserve"> </v>
      </c>
      <c r="P27" s="7" t="str">
        <f>_xlfn.IFNA(VLOOKUP(J27,'MCIA Corrective Actions'!$A$2:$R$1092,6,FALSE)," ")</f>
        <v xml:space="preserve"> </v>
      </c>
      <c r="Q27" s="7" t="s">
        <v>2779</v>
      </c>
      <c r="R27" s="7" t="s">
        <v>2883</v>
      </c>
      <c r="T27" s="176" t="str">
        <f t="shared" si="1"/>
        <v xml:space="preserve"> </v>
      </c>
      <c r="U27" s="176">
        <f t="shared" si="2"/>
        <v>1</v>
      </c>
      <c r="V27" s="176">
        <f t="shared" si="0"/>
        <v>0</v>
      </c>
      <c r="W27" s="176">
        <f t="shared" si="3"/>
        <v>0</v>
      </c>
    </row>
    <row r="28" spans="1:23" ht="30" hidden="1" x14ac:dyDescent="0.25">
      <c r="A28" s="7">
        <v>250</v>
      </c>
      <c r="B28" s="109" t="str">
        <f>VLOOKUP($A28,Table1[['#]:[Vessel]],4,FALSE)</f>
        <v>Illinois</v>
      </c>
      <c r="C28" s="143">
        <f>VLOOKUP($A28,Table1[['#]:[Date]],3,FALSE)</f>
        <v>44354</v>
      </c>
      <c r="D28" s="110">
        <f>VLOOKUP($A28,Table1[['#]:[Hours]],7,FALSE)</f>
        <v>34.706111111096106</v>
      </c>
      <c r="E28" s="110" t="str">
        <f>VLOOKUP($A28,Table1[['#]:[System]],8,FALSE)&amp;" / "&amp;VLOOKUP($A28,Table1[['#]:[Subsystem]],9,FALSE)</f>
        <v>Main Pump / Engine / Motor</v>
      </c>
      <c r="F28" s="110" t="str">
        <f>VLOOKUP($A28,Table1[['#]:[Delay Log Notes]],11,FALSE)</f>
        <v>spring bearing</v>
      </c>
      <c r="G28" s="109">
        <f>VLOOKUP($A28,Table1[['#]:[Work Order '#]],10,FALSE)</f>
        <v>4808652</v>
      </c>
      <c r="H28" s="110" t="str">
        <f>IF(G28="None"," ",VLOOKUP($A28,Table1[['#]:[Work Order Title]],12,FALSE))</f>
        <v>Install new spring bearing insert</v>
      </c>
      <c r="I28" s="112" t="str">
        <f>_xlfn.IFNA(VLOOKUP(J28,'MCIA Cases'!$A$2:$R$1091,12,FALSE)," ")</f>
        <v xml:space="preserve"> </v>
      </c>
      <c r="J28" s="112" t="s">
        <v>611</v>
      </c>
      <c r="K28" s="7" t="str">
        <f>_xlfn.IFNA(VLOOKUP(J28,'MCIA Cases'!$A$2:$AG$1091,2,FALSE)," ")</f>
        <v xml:space="preserve"> </v>
      </c>
      <c r="L28" s="1" t="str">
        <f>_xlfn.IFNA(VLOOKUP(J28,'MCIA Cases'!$A$2:$R$1091,17,FALSE)," ")</f>
        <v xml:space="preserve"> </v>
      </c>
      <c r="M28" s="7" t="str">
        <f>_xlfn.IFNA(VLOOKUP(J28,'MCIA Cases'!$A$2:$R$1091,3,FALSE)," ")</f>
        <v xml:space="preserve"> </v>
      </c>
      <c r="N28" s="1" t="str">
        <f>IF(COUNTIF('MCIA Corrective Actions'!$A:$A,J28)=0," ",COUNTIF('MCIA Corrective Actions'!$A:$A,J28))</f>
        <v xml:space="preserve"> </v>
      </c>
      <c r="O28" s="1" t="str">
        <f>IF(COUNTIF('MCIA Corrective Actions'!$A:$A,J28)=0," ",COUNTIFS('MCIA Corrective Actions'!$A:$A,J28,'MCIA Corrective Actions'!N:N,"Yes"))</f>
        <v xml:space="preserve"> </v>
      </c>
      <c r="P28" s="7" t="str">
        <f>_xlfn.IFNA(VLOOKUP(J28,'MCIA Corrective Actions'!$A$2:$R$1092,6,FALSE)," ")</f>
        <v xml:space="preserve"> </v>
      </c>
      <c r="T28" s="176" t="str">
        <f t="shared" si="1"/>
        <v xml:space="preserve"> </v>
      </c>
      <c r="U28" s="176">
        <f t="shared" si="2"/>
        <v>1</v>
      </c>
      <c r="V28" s="176">
        <f t="shared" si="0"/>
        <v>0</v>
      </c>
      <c r="W28" s="176">
        <f t="shared" si="3"/>
        <v>0</v>
      </c>
    </row>
    <row r="29" spans="1:23" ht="30" hidden="1" x14ac:dyDescent="0.25">
      <c r="A29" s="7">
        <v>251</v>
      </c>
      <c r="B29" s="109" t="str">
        <f>VLOOKUP($A29,Table1[['#]:[Vessel]],4,FALSE)</f>
        <v>Liberty Island</v>
      </c>
      <c r="C29" s="143">
        <f>VLOOKUP($A29,Table1[['#]:[Date]],3,FALSE)</f>
        <v>44355</v>
      </c>
      <c r="D29" s="110">
        <f>VLOOKUP($A29,Table1[['#]:[Hours]],7,FALSE)</f>
        <v>67.89</v>
      </c>
      <c r="E29" s="110" t="str">
        <f>VLOOKUP($A29,Table1[['#]:[System]],8,FALSE)&amp;" / "&amp;VLOOKUP($A29,Table1[['#]:[Subsystem]],9,FALSE)</f>
        <v>Main Engine / Propulsion / Other (repairs)</v>
      </c>
      <c r="F29" s="110" t="str">
        <f>VLOOKUP($A29,Table1[['#]:[Delay Log Notes]],11,FALSE)</f>
        <v>engine overheated and shut down again. Replace Stbd Turbo</v>
      </c>
      <c r="G29" s="109">
        <f>VLOOKUP($A29,Table1[['#]:[Work Order '#]],10,FALSE)</f>
        <v>851132</v>
      </c>
      <c r="H29" s="110" t="str">
        <f>IF(G29="None"," ",VLOOKUP($A29,Table1[['#]:[Work Order Title]],12,FALSE))</f>
        <v>REPLACE SME INBOARD TURBO CHARGER</v>
      </c>
      <c r="I29" s="112" t="str">
        <f>_xlfn.IFNA(VLOOKUP(J29,'MCIA Cases'!$A$2:$R$1091,12,FALSE)," ")</f>
        <v>Complete</v>
      </c>
      <c r="J29" s="112">
        <v>401</v>
      </c>
      <c r="K29" s="7" t="str">
        <f>_xlfn.IFNA(VLOOKUP(J29,'MCIA Cases'!$A$2:$AG$1091,2,FALSE)," ")</f>
        <v>Liberty Island Main STBD Engine Turbo Failure</v>
      </c>
      <c r="L29" s="1" t="str">
        <f>_xlfn.IFNA(VLOOKUP(J29,'MCIA Cases'!$A$2:$R$1091,17,FALSE)," ")</f>
        <v>06/08/2021</v>
      </c>
      <c r="M29" s="7" t="str">
        <f>_xlfn.IFNA(VLOOKUP(J29,'MCIA Cases'!$A$2:$R$1091,3,FALSE)," ")</f>
        <v>Chris Pomfret</v>
      </c>
      <c r="N29" s="1">
        <f>IF(COUNTIF('MCIA Corrective Actions'!$A:$A,J29)=0," ",COUNTIF('MCIA Corrective Actions'!$A:$A,J29))</f>
        <v>1</v>
      </c>
      <c r="O29" s="1">
        <f>IF(COUNTIF('MCIA Corrective Actions'!$A:$A,J29)=0," ",COUNTIFS('MCIA Corrective Actions'!$A:$A,J29,'MCIA Corrective Actions'!N:N,"Yes"))</f>
        <v>1</v>
      </c>
      <c r="P29" s="7" t="str">
        <f>_xlfn.IFNA(VLOOKUP(J29,'MCIA Corrective Actions'!$A$2:$R$1092,6,FALSE)," ")</f>
        <v>Chris Roberts</v>
      </c>
      <c r="Q29" s="7" t="s">
        <v>2801</v>
      </c>
      <c r="T29" s="176">
        <f t="shared" si="1"/>
        <v>0</v>
      </c>
      <c r="U29" s="176">
        <f t="shared" si="2"/>
        <v>1</v>
      </c>
      <c r="V29" s="176">
        <f t="shared" si="0"/>
        <v>1</v>
      </c>
      <c r="W29" s="176">
        <f t="shared" si="3"/>
        <v>1</v>
      </c>
    </row>
    <row r="30" spans="1:23" ht="30" hidden="1" x14ac:dyDescent="0.25">
      <c r="A30" s="7">
        <v>252</v>
      </c>
      <c r="B30" s="109" t="str">
        <f>VLOOKUP($A30,Table1[['#]:[Vessel]],4,FALSE)</f>
        <v>Carolina</v>
      </c>
      <c r="C30" s="143">
        <f>VLOOKUP($A30,Table1[['#]:[Date]],3,FALSE)</f>
        <v>44362</v>
      </c>
      <c r="D30" s="110">
        <f>VLOOKUP($A30,Table1[['#]:[Hours]],7,FALSE)</f>
        <v>24.890277777740266</v>
      </c>
      <c r="E30" s="110" t="str">
        <f>VLOOKUP($A30,Table1[['#]:[System]],8,FALSE)&amp;" / "&amp;VLOOKUP($A30,Table1[['#]:[Subsystem]],9,FALSE)</f>
        <v>Main Pump / Pump Rebuild</v>
      </c>
      <c r="F30" s="110" t="str">
        <f>VLOOKUP($A30,Table1[['#]:[Delay Log Notes]],11,FALSE)</f>
        <v>None</v>
      </c>
      <c r="G30" s="109">
        <f>VLOOKUP($A30,Table1[['#]:[Work Order '#]],10,FALSE)</f>
        <v>4808746</v>
      </c>
      <c r="H30" s="110" t="str">
        <f>IF(G30="None"," ",VLOOKUP($A30,Table1[['#]:[Work Order Title]],12,FALSE))</f>
        <v>Dredge Pump (Stbd) remove and replace crack shell</v>
      </c>
      <c r="I30" s="112" t="str">
        <f>_xlfn.IFNA(VLOOKUP(J30,'MCIA Cases'!$A$2:$R$1091,12,FALSE)," ")</f>
        <v xml:space="preserve"> </v>
      </c>
      <c r="J30" s="7" t="s">
        <v>611</v>
      </c>
      <c r="K30" s="7" t="str">
        <f>_xlfn.IFNA(VLOOKUP(J30,'MCIA Cases'!$A$2:$AG$1091,2,FALSE)," ")</f>
        <v xml:space="preserve"> </v>
      </c>
      <c r="L30" s="1" t="str">
        <f>_xlfn.IFNA(VLOOKUP(J30,'MCIA Cases'!$A$2:$R$1091,17,FALSE)," ")</f>
        <v xml:space="preserve"> </v>
      </c>
      <c r="M30" s="7" t="str">
        <f>_xlfn.IFNA(VLOOKUP(J30,'MCIA Cases'!$A$2:$R$1091,3,FALSE)," ")</f>
        <v xml:space="preserve"> </v>
      </c>
      <c r="N30" s="1" t="str">
        <f>IF(COUNTIF('MCIA Corrective Actions'!$A:$A,J30)=0," ",COUNTIF('MCIA Corrective Actions'!$A:$A,J30))</f>
        <v xml:space="preserve"> </v>
      </c>
      <c r="O30" s="1" t="str">
        <f>IF(COUNTIF('MCIA Corrective Actions'!$A:$A,J30)=0," ",COUNTIFS('MCIA Corrective Actions'!$A:$A,J30,'MCIA Corrective Actions'!N:N,"Yes"))</f>
        <v xml:space="preserve"> </v>
      </c>
      <c r="P30" s="7" t="str">
        <f>_xlfn.IFNA(VLOOKUP(J30,'MCIA Corrective Actions'!$A$2:$R$1092,6,FALSE)," ")</f>
        <v xml:space="preserve"> </v>
      </c>
      <c r="T30" s="176" t="str">
        <f t="shared" si="1"/>
        <v xml:space="preserve"> </v>
      </c>
      <c r="U30" s="176">
        <f t="shared" si="2"/>
        <v>1</v>
      </c>
      <c r="V30" s="176">
        <f t="shared" si="0"/>
        <v>0</v>
      </c>
      <c r="W30" s="176">
        <f t="shared" si="3"/>
        <v>0</v>
      </c>
    </row>
    <row r="31" spans="1:23" ht="30" hidden="1" x14ac:dyDescent="0.25">
      <c r="A31" s="7">
        <v>253</v>
      </c>
      <c r="B31" s="109" t="str">
        <f>VLOOKUP($A31,Table1[['#]:[Vessel]],4,FALSE)</f>
        <v>Carolina</v>
      </c>
      <c r="C31" s="143">
        <f>VLOOKUP($A31,Table1[['#]:[Date]],3,FALSE)</f>
        <v>44366</v>
      </c>
      <c r="D31" s="110">
        <f>VLOOKUP($A31,Table1[['#]:[Hours]],7,FALSE)</f>
        <v>116.14055555564119</v>
      </c>
      <c r="E31" s="110" t="str">
        <f>VLOOKUP($A31,Table1[['#]:[System]],8,FALSE)&amp;" / "&amp;VLOOKUP($A31,Table1[['#]:[Subsystem]],9,FALSE)</f>
        <v>Main Pump / Pump Leak</v>
      </c>
      <c r="F31" s="110" t="str">
        <f>VLOOKUP($A31,Table1[['#]:[Delay Log Notes]],11,FALSE)</f>
        <v>None</v>
      </c>
      <c r="G31" s="109">
        <f>VLOOKUP($A31,Table1[['#]:[Work Order '#]],10,FALSE)</f>
        <v>4808866</v>
      </c>
      <c r="H31" s="110" t="str">
        <f>IF(G31="None"," ",VLOOKUP($A31,Table1[['#]:[Work Order Title]],12,FALSE))</f>
        <v>Dredge Pump (Stbd) Replace shell</v>
      </c>
      <c r="I31" s="112" t="str">
        <f>_xlfn.IFNA(VLOOKUP(J31,'MCIA Cases'!$A$2:$R$1091,12,FALSE)," ")</f>
        <v xml:space="preserve"> </v>
      </c>
      <c r="J31" s="7" t="s">
        <v>611</v>
      </c>
      <c r="K31" s="7" t="str">
        <f>_xlfn.IFNA(VLOOKUP(J31,'MCIA Cases'!$A$2:$AG$1091,2,FALSE)," ")</f>
        <v xml:space="preserve"> </v>
      </c>
      <c r="L31" s="1" t="str">
        <f>_xlfn.IFNA(VLOOKUP(J31,'MCIA Cases'!$A$2:$R$1091,17,FALSE)," ")</f>
        <v xml:space="preserve"> </v>
      </c>
      <c r="M31" s="7" t="str">
        <f>_xlfn.IFNA(VLOOKUP(J31,'MCIA Cases'!$A$2:$R$1091,3,FALSE)," ")</f>
        <v xml:space="preserve"> </v>
      </c>
      <c r="N31" s="1" t="str">
        <f>IF(COUNTIF('MCIA Corrective Actions'!$A:$A,J31)=0," ",COUNTIF('MCIA Corrective Actions'!$A:$A,J31))</f>
        <v xml:space="preserve"> </v>
      </c>
      <c r="O31" s="1" t="str">
        <f>IF(COUNTIF('MCIA Corrective Actions'!$A:$A,J31)=0," ",COUNTIFS('MCIA Corrective Actions'!$A:$A,J31,'MCIA Corrective Actions'!N:N,"Yes"))</f>
        <v xml:space="preserve"> </v>
      </c>
      <c r="P31" s="7" t="str">
        <f>_xlfn.IFNA(VLOOKUP(J31,'MCIA Corrective Actions'!$A$2:$R$1092,6,FALSE)," ")</f>
        <v xml:space="preserve"> </v>
      </c>
      <c r="T31" s="176" t="str">
        <f t="shared" si="1"/>
        <v xml:space="preserve"> </v>
      </c>
      <c r="U31" s="176">
        <f t="shared" si="2"/>
        <v>1</v>
      </c>
      <c r="V31" s="176">
        <f t="shared" si="0"/>
        <v>0</v>
      </c>
      <c r="W31" s="176">
        <f t="shared" si="3"/>
        <v>0</v>
      </c>
    </row>
    <row r="32" spans="1:23" hidden="1" x14ac:dyDescent="0.25">
      <c r="A32" s="7">
        <v>254</v>
      </c>
      <c r="B32" s="109" t="str">
        <f>VLOOKUP($A32,Table1[['#]:[Vessel]],4,FALSE)</f>
        <v>Illinois</v>
      </c>
      <c r="C32" s="143">
        <f>VLOOKUP($A32,Table1[['#]:[Date]],3,FALSE)</f>
        <v>44370</v>
      </c>
      <c r="D32" s="110">
        <f>VLOOKUP($A32,Table1[['#]:[Hours]],7,FALSE)</f>
        <v>67.980833333276678</v>
      </c>
      <c r="E32" s="110" t="str">
        <f>VLOOKUP($A32,Table1[['#]:[System]],8,FALSE)&amp;" / "&amp;VLOOKUP($A32,Table1[['#]:[Subsystem]],9,FALSE)</f>
        <v>Main Pump / Pump Rebuild</v>
      </c>
      <c r="F32" s="110" t="str">
        <f>VLOOKUP($A32,Table1[['#]:[Delay Log Notes]],11,FALSE)</f>
        <v>None</v>
      </c>
      <c r="G32" s="109" t="str">
        <f>VLOOKUP($A32,Table1[['#]:[Work Order '#]],10,FALSE)</f>
        <v>None</v>
      </c>
      <c r="H32" s="110" t="str">
        <f>IF(G32="None"," ",VLOOKUP($A32,Table1[['#]:[Work Order Title]],12,FALSE))</f>
        <v xml:space="preserve"> </v>
      </c>
      <c r="I32" s="112" t="str">
        <f>_xlfn.IFNA(VLOOKUP(J32,'MCIA Cases'!$A$2:$R$1091,12,FALSE)," ")</f>
        <v xml:space="preserve"> </v>
      </c>
      <c r="J32" s="7" t="s">
        <v>611</v>
      </c>
      <c r="K32" s="7" t="str">
        <f>_xlfn.IFNA(VLOOKUP(J32,'MCIA Cases'!$A$2:$AG$1091,2,FALSE)," ")</f>
        <v xml:space="preserve"> </v>
      </c>
      <c r="L32" s="1" t="str">
        <f>_xlfn.IFNA(VLOOKUP(J32,'MCIA Cases'!$A$2:$R$1091,17,FALSE)," ")</f>
        <v xml:space="preserve"> </v>
      </c>
      <c r="M32" s="7" t="str">
        <f>_xlfn.IFNA(VLOOKUP(J32,'MCIA Cases'!$A$2:$R$1091,3,FALSE)," ")</f>
        <v xml:space="preserve"> </v>
      </c>
      <c r="N32" s="1" t="str">
        <f>IF(COUNTIF('MCIA Corrective Actions'!$A:$A,J32)=0," ",COUNTIF('MCIA Corrective Actions'!$A:$A,J32))</f>
        <v xml:space="preserve"> </v>
      </c>
      <c r="O32" s="1" t="str">
        <f>IF(COUNTIF('MCIA Corrective Actions'!$A:$A,J32)=0," ",COUNTIFS('MCIA Corrective Actions'!$A:$A,J32,'MCIA Corrective Actions'!N:N,"Yes"))</f>
        <v xml:space="preserve"> </v>
      </c>
      <c r="P32" s="7" t="str">
        <f>_xlfn.IFNA(VLOOKUP(J32,'MCIA Corrective Actions'!$A$2:$R$1092,6,FALSE)," ")</f>
        <v xml:space="preserve"> </v>
      </c>
      <c r="T32" s="176" t="str">
        <f t="shared" si="1"/>
        <v xml:space="preserve"> </v>
      </c>
      <c r="U32" s="176">
        <f t="shared" si="2"/>
        <v>1</v>
      </c>
      <c r="V32" s="176">
        <f t="shared" si="0"/>
        <v>0</v>
      </c>
      <c r="W32" s="176">
        <f t="shared" si="3"/>
        <v>0</v>
      </c>
    </row>
    <row r="33" spans="1:23" ht="45" hidden="1" x14ac:dyDescent="0.25">
      <c r="A33" s="7">
        <v>255</v>
      </c>
      <c r="B33" s="109" t="str">
        <f>VLOOKUP($A33,Table1[['#]:[Vessel]],4,FALSE)</f>
        <v>Illinois</v>
      </c>
      <c r="C33" s="143">
        <f>VLOOKUP($A33,Table1[['#]:[Date]],3,FALSE)</f>
        <v>44373</v>
      </c>
      <c r="D33" s="110">
        <f>VLOOKUP($A33,Table1[['#]:[Hours]],7,FALSE)</f>
        <v>42.6</v>
      </c>
      <c r="E33" s="110" t="str">
        <f>VLOOKUP($A33,Table1[['#]:[System]],8,FALSE)&amp;" / "&amp;VLOOKUP($A33,Table1[['#]:[Subsystem]],9,FALSE)</f>
        <v>Main Pump / Bearings / Shafts</v>
      </c>
      <c r="F33" s="110" t="str">
        <f>VLOOKUP($A33,Table1[['#]:[Delay Log Notes]],11,FALSE)</f>
        <v xml:space="preserve">Thrust Bearing  </v>
      </c>
      <c r="G33" s="109">
        <f>VLOOKUP($A33,Table1[['#]:[Work Order '#]],10,FALSE)</f>
        <v>309837</v>
      </c>
      <c r="H33" s="110" t="str">
        <f>IF(G33="None"," ",VLOOKUP($A33,Table1[['#]:[Work Order Title]],12,FALSE))</f>
        <v>Inspect and clean thrust bearing &amp; add 2nd heat exchanger</v>
      </c>
      <c r="I33" s="112" t="str">
        <f>_xlfn.IFNA(VLOOKUP(J33,'MCIA Cases'!$A$2:$R$1091,12,FALSE)," ")</f>
        <v xml:space="preserve"> </v>
      </c>
      <c r="J33" s="112" t="s">
        <v>611</v>
      </c>
      <c r="K33" s="7" t="str">
        <f>_xlfn.IFNA(VLOOKUP(J33,'MCIA Cases'!$A$2:$AG$1091,2,FALSE)," ")</f>
        <v xml:space="preserve"> </v>
      </c>
      <c r="L33" s="1" t="str">
        <f>_xlfn.IFNA(VLOOKUP(J33,'MCIA Cases'!$A$2:$R$1091,17,FALSE)," ")</f>
        <v xml:space="preserve"> </v>
      </c>
      <c r="M33" s="7" t="str">
        <f>_xlfn.IFNA(VLOOKUP(J33,'MCIA Cases'!$A$2:$R$1091,3,FALSE)," ")</f>
        <v xml:space="preserve"> </v>
      </c>
      <c r="N33" s="1" t="str">
        <f>IF(COUNTIF('MCIA Corrective Actions'!$A:$A,J33)=0," ",COUNTIF('MCIA Corrective Actions'!$A:$A,J33))</f>
        <v xml:space="preserve"> </v>
      </c>
      <c r="O33" s="1" t="str">
        <f>IF(COUNTIF('MCIA Corrective Actions'!$A:$A,J33)=0," ",COUNTIFS('MCIA Corrective Actions'!$A:$A,J33,'MCIA Corrective Actions'!N:N,"Yes"))</f>
        <v xml:space="preserve"> </v>
      </c>
      <c r="P33" s="7" t="str">
        <f>_xlfn.IFNA(VLOOKUP(J33,'MCIA Corrective Actions'!$A$2:$R$1092,6,FALSE)," ")</f>
        <v xml:space="preserve"> </v>
      </c>
      <c r="Q33" s="7" t="s">
        <v>2780</v>
      </c>
      <c r="R33" s="7" t="s">
        <v>2885</v>
      </c>
      <c r="T33" s="176" t="str">
        <f t="shared" si="1"/>
        <v xml:space="preserve"> </v>
      </c>
      <c r="U33" s="176">
        <f t="shared" si="2"/>
        <v>1</v>
      </c>
      <c r="V33" s="176">
        <f>IF(L33=" ", 0, 1)</f>
        <v>0</v>
      </c>
      <c r="W33" s="176">
        <f t="shared" si="3"/>
        <v>0</v>
      </c>
    </row>
    <row r="34" spans="1:23" ht="30" hidden="1" x14ac:dyDescent="0.25">
      <c r="A34" s="7">
        <v>256</v>
      </c>
      <c r="B34" s="109">
        <f>VLOOKUP($A34,Table1[['#]:[Vessel]],4,FALSE)</f>
        <v>54</v>
      </c>
      <c r="C34" s="143">
        <f>VLOOKUP($A34,Table1[['#]:[Date]],3,FALSE)</f>
        <v>44376</v>
      </c>
      <c r="D34" s="110">
        <f>VLOOKUP($A34,Table1[['#]:[Hours]],7,FALSE)</f>
        <v>87.112499999930151</v>
      </c>
      <c r="E34" s="110" t="str">
        <f>VLOOKUP($A34,Table1[['#]:[System]],8,FALSE)&amp;" / "&amp;VLOOKUP($A34,Table1[['#]:[Subsystem]],9,FALSE)</f>
        <v>Electrical/Electronics / MCC / Switch Gear</v>
      </c>
      <c r="F34" s="110" t="str">
        <f>VLOOKUP($A34,Table1[['#]:[Delay Log Notes]],11,FALSE)</f>
        <v>None</v>
      </c>
      <c r="G34" s="109">
        <f>VLOOKUP($A34,Table1[['#]:[Work Order '#]],10,FALSE)</f>
        <v>4251884</v>
      </c>
      <c r="H34" s="110" t="str">
        <f>IF(G34="None"," ",VLOOKUP($A34,Table1[['#]:[Work Order Title]],12,FALSE))</f>
        <v>Trouble Shoot Hoist Generator</v>
      </c>
      <c r="I34" s="112" t="str">
        <f>_xlfn.IFNA(VLOOKUP(J34,'MCIA Cases'!$A$2:$R$1091,12,FALSE)," ")</f>
        <v xml:space="preserve"> </v>
      </c>
      <c r="J34" s="112" t="s">
        <v>611</v>
      </c>
      <c r="K34" s="7" t="str">
        <f>_xlfn.IFNA(VLOOKUP(J34,'MCIA Cases'!$A$2:$AG$1091,2,FALSE)," ")</f>
        <v xml:space="preserve"> </v>
      </c>
      <c r="L34" s="1" t="str">
        <f>_xlfn.IFNA(VLOOKUP(J34,'MCIA Cases'!$A$2:$R$1091,17,FALSE)," ")</f>
        <v xml:space="preserve"> </v>
      </c>
      <c r="M34" s="7" t="str">
        <f>_xlfn.IFNA(VLOOKUP(J34,'MCIA Cases'!$A$2:$R$1091,3,FALSE)," ")</f>
        <v xml:space="preserve"> </v>
      </c>
      <c r="N34" s="1" t="str">
        <f>IF(COUNTIF('MCIA Corrective Actions'!$A:$A,J34)=0," ",COUNTIF('MCIA Corrective Actions'!$A:$A,J34))</f>
        <v xml:space="preserve"> </v>
      </c>
      <c r="O34" s="1" t="str">
        <f>IF(COUNTIF('MCIA Corrective Actions'!$A:$A,J34)=0," ",COUNTIFS('MCIA Corrective Actions'!$A:$A,J34,'MCIA Corrective Actions'!N:N,"Yes"))</f>
        <v xml:space="preserve"> </v>
      </c>
      <c r="P34" s="7" t="str">
        <f>_xlfn.IFNA(VLOOKUP(J34,'MCIA Corrective Actions'!$A$2:$R$1092,6,FALSE)," ")</f>
        <v xml:space="preserve"> </v>
      </c>
      <c r="Q34" s="7" t="s">
        <v>2779</v>
      </c>
      <c r="R34" s="7" t="s">
        <v>2887</v>
      </c>
      <c r="T34" s="176" t="str">
        <f t="shared" si="1"/>
        <v xml:space="preserve"> </v>
      </c>
      <c r="U34" s="176">
        <f t="shared" si="2"/>
        <v>1</v>
      </c>
      <c r="V34" s="176">
        <f t="shared" si="0"/>
        <v>0</v>
      </c>
      <c r="W34" s="176">
        <f t="shared" si="3"/>
        <v>0</v>
      </c>
    </row>
    <row r="35" spans="1:23" ht="30" hidden="1" x14ac:dyDescent="0.25">
      <c r="A35" s="7">
        <v>257</v>
      </c>
      <c r="B35" s="109">
        <f>VLOOKUP($A35,Table1[['#]:[Vessel]],4,FALSE)</f>
        <v>54</v>
      </c>
      <c r="C35" s="143">
        <f>VLOOKUP($A35,Table1[['#]:[Date]],3,FALSE)</f>
        <v>44380</v>
      </c>
      <c r="D35" s="110">
        <f>VLOOKUP($A35,Table1[['#]:[Hours]],7,FALSE)</f>
        <v>29.942777777847368</v>
      </c>
      <c r="E35" s="110" t="str">
        <f>VLOOKUP($A35,Table1[['#]:[System]],8,FALSE)&amp;" / "&amp;VLOOKUP($A35,Table1[['#]:[Subsystem]],9,FALSE)</f>
        <v>Electrical/Electronics / PLC</v>
      </c>
      <c r="F35" s="110" t="str">
        <f>VLOOKUP($A35,Table1[['#]:[Delay Log Notes]],11,FALSE)</f>
        <v>None</v>
      </c>
      <c r="G35" s="109">
        <f>VLOOKUP($A35,Table1[['#]:[Work Order '#]],10,FALSE)</f>
        <v>4251884</v>
      </c>
      <c r="H35" s="110" t="str">
        <f>IF(G35="None"," ",VLOOKUP($A35,Table1[['#]:[Work Order Title]],12,FALSE))</f>
        <v>Trouble Shoot Hoist Generator</v>
      </c>
      <c r="I35" s="112" t="str">
        <f>_xlfn.IFNA(VLOOKUP(J35,'MCIA Cases'!$A$2:$R$1091,12,FALSE)," ")</f>
        <v xml:space="preserve"> </v>
      </c>
      <c r="J35" s="112" t="s">
        <v>611</v>
      </c>
      <c r="K35" s="7" t="str">
        <f>_xlfn.IFNA(VLOOKUP(J35,'MCIA Cases'!$A$2:$AG$1091,2,FALSE)," ")</f>
        <v xml:space="preserve"> </v>
      </c>
      <c r="L35" s="1" t="str">
        <f>_xlfn.IFNA(VLOOKUP(J35,'MCIA Cases'!$A$2:$R$1091,17,FALSE)," ")</f>
        <v xml:space="preserve"> </v>
      </c>
      <c r="M35" s="7" t="str">
        <f>_xlfn.IFNA(VLOOKUP(J35,'MCIA Cases'!$A$2:$R$1091,3,FALSE)," ")</f>
        <v xml:space="preserve"> </v>
      </c>
      <c r="N35" s="1" t="str">
        <f>IF(COUNTIF('MCIA Corrective Actions'!$A:$A,J35)=0," ",COUNTIF('MCIA Corrective Actions'!$A:$A,J35))</f>
        <v xml:space="preserve"> </v>
      </c>
      <c r="O35" s="1" t="str">
        <f>IF(COUNTIF('MCIA Corrective Actions'!$A:$A,J35)=0," ",COUNTIFS('MCIA Corrective Actions'!$A:$A,J35,'MCIA Corrective Actions'!N:N,"Yes"))</f>
        <v xml:space="preserve"> </v>
      </c>
      <c r="P35" s="7" t="str">
        <f>_xlfn.IFNA(VLOOKUP(J35,'MCIA Corrective Actions'!$A$2:$R$1092,6,FALSE)," ")</f>
        <v xml:space="preserve"> </v>
      </c>
      <c r="Q35" s="7" t="s">
        <v>2779</v>
      </c>
      <c r="R35" s="7" t="s">
        <v>2886</v>
      </c>
      <c r="T35" s="176" t="str">
        <f t="shared" si="1"/>
        <v xml:space="preserve"> </v>
      </c>
      <c r="U35" s="176">
        <f t="shared" si="2"/>
        <v>1</v>
      </c>
      <c r="V35" s="176">
        <f t="shared" si="0"/>
        <v>0</v>
      </c>
      <c r="W35" s="176">
        <f t="shared" si="3"/>
        <v>0</v>
      </c>
    </row>
    <row r="36" spans="1:23" ht="30" hidden="1" x14ac:dyDescent="0.25">
      <c r="A36" s="7">
        <v>258</v>
      </c>
      <c r="B36" s="109">
        <f>VLOOKUP($A36,Table1[['#]:[Vessel]],4,FALSE)</f>
        <v>55</v>
      </c>
      <c r="C36" s="143">
        <f>VLOOKUP($A36,Table1[['#]:[Date]],3,FALSE)</f>
        <v>44386</v>
      </c>
      <c r="D36" s="110">
        <f>VLOOKUP($A36,Table1[['#]:[Hours]],7,FALSE)</f>
        <v>26.270555555471219</v>
      </c>
      <c r="E36" s="110" t="str">
        <f>VLOOKUP($A36,Table1[['#]:[System]],8,FALSE)&amp;" / "&amp;VLOOKUP($A36,Table1[['#]:[Subsystem]],9,FALSE)</f>
        <v>Main / Aux. Generators / Main Generator Engine</v>
      </c>
      <c r="F36" s="110" t="str">
        <f>VLOOKUP($A36,Table1[['#]:[Delay Log Notes]],11,FALSE)</f>
        <v>governor repair</v>
      </c>
      <c r="G36" s="109">
        <f>VLOOKUP($A36,Table1[['#]:[Work Order '#]],10,FALSE)</f>
        <v>4809140</v>
      </c>
      <c r="H36" s="110" t="str">
        <f>IF(G36="None"," ",VLOOKUP($A36,Table1[['#]:[Work Order Title]],12,FALSE))</f>
        <v>Troubleshoot Governor Issues</v>
      </c>
      <c r="I36" s="112" t="str">
        <f>_xlfn.IFNA(VLOOKUP(J36,'MCIA Cases'!$A$2:$R$1091,12,FALSE)," ")</f>
        <v xml:space="preserve"> </v>
      </c>
      <c r="J36" s="112" t="s">
        <v>611</v>
      </c>
      <c r="K36" s="7" t="str">
        <f>_xlfn.IFNA(VLOOKUP(J36,'MCIA Cases'!$A$2:$AG$1091,2,FALSE)," ")</f>
        <v xml:space="preserve"> </v>
      </c>
      <c r="L36" s="1" t="str">
        <f>_xlfn.IFNA(VLOOKUP(J36,'MCIA Cases'!$A$2:$R$1091,17,FALSE)," ")</f>
        <v xml:space="preserve"> </v>
      </c>
      <c r="M36" s="7" t="str">
        <f>_xlfn.IFNA(VLOOKUP(J36,'MCIA Cases'!$A$2:$R$1091,3,FALSE)," ")</f>
        <v xml:space="preserve"> </v>
      </c>
      <c r="N36" s="1" t="str">
        <f>IF(COUNTIF('MCIA Corrective Actions'!$A:$A,J36)=0," ",COUNTIF('MCIA Corrective Actions'!$A:$A,J36))</f>
        <v xml:space="preserve"> </v>
      </c>
      <c r="O36" s="1" t="str">
        <f>IF(COUNTIF('MCIA Corrective Actions'!$A:$A,J36)=0," ",COUNTIFS('MCIA Corrective Actions'!$A:$A,J36,'MCIA Corrective Actions'!N:N,"Yes"))</f>
        <v xml:space="preserve"> </v>
      </c>
      <c r="P36" s="7" t="str">
        <f>_xlfn.IFNA(VLOOKUP(J36,'MCIA Corrective Actions'!$A$2:$R$1092,6,FALSE)," ")</f>
        <v xml:space="preserve"> </v>
      </c>
      <c r="Q36" s="7" t="s">
        <v>2779</v>
      </c>
      <c r="R36" s="7" t="s">
        <v>2888</v>
      </c>
      <c r="T36" s="176" t="str">
        <f t="shared" si="1"/>
        <v xml:space="preserve"> </v>
      </c>
      <c r="U36" s="176">
        <f t="shared" si="2"/>
        <v>1</v>
      </c>
      <c r="V36" s="176">
        <f t="shared" si="0"/>
        <v>0</v>
      </c>
      <c r="W36" s="176">
        <f t="shared" si="3"/>
        <v>0</v>
      </c>
    </row>
    <row r="37" spans="1:23" ht="60" hidden="1" x14ac:dyDescent="0.25">
      <c r="A37" s="7">
        <v>259</v>
      </c>
      <c r="B37" s="109" t="str">
        <f>VLOOKUP($A37,Table1[['#]:[Vessel]],4,FALSE)</f>
        <v>Liberty Island</v>
      </c>
      <c r="C37" s="143">
        <f>VLOOKUP($A37,Table1[['#]:[Date]],3,FALSE)</f>
        <v>44386</v>
      </c>
      <c r="D37" s="110">
        <f>VLOOKUP($A37,Table1[['#]:[Hours]],7,FALSE)</f>
        <v>52.745277777663432</v>
      </c>
      <c r="E37" s="110" t="str">
        <f>VLOOKUP($A37,Table1[['#]:[System]],8,FALSE)&amp;" / "&amp;VLOOKUP($A37,Table1[['#]:[Subsystem]],9,FALSE)</f>
        <v>Other / Other Mechanical</v>
      </c>
      <c r="F37" s="110" t="str">
        <f>VLOOKUP($A37,Table1[['#]:[Delay Log Notes]],11,FALSE)</f>
        <v>@ DOCK FOR MAINT. &amp; REPAIRS</v>
      </c>
      <c r="G37" s="109" t="str">
        <f>VLOOKUP($A37,Table1[['#]:[Work Order '#]],10,FALSE)</f>
        <v>0851204/0851205</v>
      </c>
      <c r="H37" s="110" t="str">
        <f>IF(G37="None"," ",VLOOKUP($A37,Table1[['#]:[Work Order Title]],12,FALSE))</f>
        <v>Manually open D8 dredge valve. / Troubleshoot why dredge valve D8 isn't opening.</v>
      </c>
      <c r="I37" s="112" t="str">
        <f>_xlfn.IFNA(VLOOKUP(J37,'MCIA Cases'!$A$2:$R$1091,12,FALSE)," ")</f>
        <v xml:space="preserve"> </v>
      </c>
      <c r="J37" s="112" t="s">
        <v>611</v>
      </c>
      <c r="K37" s="7" t="str">
        <f>_xlfn.IFNA(VLOOKUP(J37,'MCIA Cases'!$A$2:$AG$1091,2,FALSE)," ")</f>
        <v xml:space="preserve"> </v>
      </c>
      <c r="L37" s="1" t="str">
        <f>_xlfn.IFNA(VLOOKUP(J37,'MCIA Cases'!$A$2:$R$1091,17,FALSE)," ")</f>
        <v xml:space="preserve"> </v>
      </c>
      <c r="M37" s="7" t="str">
        <f>_xlfn.IFNA(VLOOKUP(J37,'MCIA Cases'!$A$2:$R$1091,3,FALSE)," ")</f>
        <v xml:space="preserve"> </v>
      </c>
      <c r="N37" s="1" t="str">
        <f>IF(COUNTIF('MCIA Corrective Actions'!$A:$A,J37)=0," ",COUNTIF('MCIA Corrective Actions'!$A:$A,J37))</f>
        <v xml:space="preserve"> </v>
      </c>
      <c r="O37" s="1" t="str">
        <f>IF(COUNTIF('MCIA Corrective Actions'!$A:$A,J37)=0," ",COUNTIFS('MCIA Corrective Actions'!$A:$A,J37,'MCIA Corrective Actions'!N:N,"Yes"))</f>
        <v xml:space="preserve"> </v>
      </c>
      <c r="P37" s="7" t="str">
        <f>_xlfn.IFNA(VLOOKUP(J37,'MCIA Corrective Actions'!$A$2:$R$1092,6,FALSE)," ")</f>
        <v xml:space="preserve"> </v>
      </c>
      <c r="Q37" s="7" t="s">
        <v>2801</v>
      </c>
      <c r="R37" s="7" t="s">
        <v>2890</v>
      </c>
      <c r="T37" s="176" t="str">
        <f t="shared" si="1"/>
        <v xml:space="preserve"> </v>
      </c>
      <c r="U37" s="176">
        <f t="shared" si="2"/>
        <v>1</v>
      </c>
      <c r="V37" s="176">
        <f t="shared" si="0"/>
        <v>0</v>
      </c>
      <c r="W37" s="176">
        <f t="shared" si="3"/>
        <v>0</v>
      </c>
    </row>
    <row r="38" spans="1:23" ht="30" x14ac:dyDescent="0.25">
      <c r="A38" s="7">
        <v>260</v>
      </c>
      <c r="B38" s="109" t="str">
        <f>VLOOKUP($A38,Table1[['#]:[Vessel]],4,FALSE)</f>
        <v>Carolina</v>
      </c>
      <c r="C38" s="143">
        <f>VLOOKUP($A38,Table1[['#]:[Date]],3,FALSE)</f>
        <v>44388</v>
      </c>
      <c r="D38" s="110">
        <f>VLOOKUP($A38,Table1[['#]:[Hours]],7,FALSE)</f>
        <v>26.223333333386108</v>
      </c>
      <c r="E38" s="110" t="str">
        <f>VLOOKUP($A38,Table1[['#]:[System]],8,FALSE)&amp;" / "&amp;VLOOKUP($A38,Table1[['#]:[Subsystem]],9,FALSE)</f>
        <v>Main Pump / Pump Rebuild</v>
      </c>
      <c r="F38" s="110" t="str">
        <f>VLOOKUP($A38,Table1[['#]:[Delay Log Notes]],11,FALSE)</f>
        <v>None</v>
      </c>
      <c r="G38" s="109">
        <f>VLOOKUP($A38,Table1[['#]:[Work Order '#]],10,FALSE)</f>
        <v>4809309</v>
      </c>
      <c r="H38" s="110" t="str">
        <f>IF(G38="None"," ",VLOOKUP($A38,Table1[['#]:[Work Order Title]],12,FALSE))</f>
        <v>Dredge Pump (Port) Rebuild</v>
      </c>
      <c r="I38" s="112" t="str">
        <f>_xlfn.IFNA(VLOOKUP(J38,'MCIA Cases'!$A$2:$R$1091,12,FALSE)," ")</f>
        <v xml:space="preserve"> </v>
      </c>
      <c r="J38" s="175"/>
      <c r="K38" s="7" t="str">
        <f>_xlfn.IFNA(VLOOKUP(J38,'MCIA Cases'!$A$2:$AG$1091,2,FALSE)," ")</f>
        <v xml:space="preserve"> </v>
      </c>
      <c r="L38" s="1" t="str">
        <f>_xlfn.IFNA(VLOOKUP(J38,'MCIA Cases'!$A$2:$R$1091,17,FALSE)," ")</f>
        <v xml:space="preserve"> </v>
      </c>
      <c r="M38" s="7" t="str">
        <f>_xlfn.IFNA(VLOOKUP(J38,'MCIA Cases'!$A$2:$R$1091,3,FALSE)," ")</f>
        <v xml:space="preserve"> </v>
      </c>
      <c r="N38" s="1" t="str">
        <f>IF(COUNTIF('MCIA Corrective Actions'!$A:$A,J38)=0," ",COUNTIF('MCIA Corrective Actions'!$A:$A,J38))</f>
        <v xml:space="preserve"> </v>
      </c>
      <c r="O38" s="1" t="str">
        <f>IF(COUNTIF('MCIA Corrective Actions'!$A:$A,J38)=0," ",COUNTIFS('MCIA Corrective Actions'!$A:$A,J38,'MCIA Corrective Actions'!N:N,"Yes"))</f>
        <v xml:space="preserve"> </v>
      </c>
      <c r="P38" s="7" t="str">
        <f>_xlfn.IFNA(VLOOKUP(J38,'MCIA Corrective Actions'!$A$2:$R$1092,6,FALSE)," ")</f>
        <v xml:space="preserve"> </v>
      </c>
      <c r="Q38" s="7" t="s">
        <v>2780</v>
      </c>
      <c r="R38" s="7" t="s">
        <v>2897</v>
      </c>
      <c r="T38" s="176" t="str">
        <f t="shared" si="1"/>
        <v xml:space="preserve"> </v>
      </c>
      <c r="U38" s="176">
        <f t="shared" si="2"/>
        <v>1</v>
      </c>
      <c r="V38" s="176">
        <f t="shared" si="0"/>
        <v>0</v>
      </c>
      <c r="W38" s="176">
        <f t="shared" si="3"/>
        <v>0</v>
      </c>
    </row>
    <row r="39" spans="1:23" ht="30" hidden="1" x14ac:dyDescent="0.25">
      <c r="A39" s="7">
        <v>261</v>
      </c>
      <c r="B39" s="109">
        <f>VLOOKUP($A39,Table1[['#]:[Vessel]],4,FALSE)</f>
        <v>58</v>
      </c>
      <c r="C39" s="143">
        <f>VLOOKUP($A39,Table1[['#]:[Date]],3,FALSE)</f>
        <v>44392</v>
      </c>
      <c r="D39" s="110">
        <f>VLOOKUP($A39,Table1[['#]:[Hours]],7,FALSE)</f>
        <v>51.543055555550382</v>
      </c>
      <c r="E39" s="110" t="str">
        <f>VLOOKUP($A39,Table1[['#]:[System]],8,FALSE)&amp;" / "&amp;VLOOKUP($A39,Table1[['#]:[Subsystem]],9,FALSE)</f>
        <v>Electrical/Electronics / MCC / Switch Gear</v>
      </c>
      <c r="F39" s="110" t="str">
        <f>VLOOKUP($A39,Table1[['#]:[Delay Log Notes]],11,FALSE)</f>
        <v>None</v>
      </c>
      <c r="G39" s="109">
        <f>VLOOKUP($A39,Table1[['#]:[Work Order '#]],10,FALSE)</f>
        <v>4420132</v>
      </c>
      <c r="H39" s="110" t="str">
        <f>IF(G39="None"," ",VLOOKUP($A39,Table1[['#]:[Work Order Title]],12,FALSE))</f>
        <v>Install upgraded Avid Extreme 550 Inverters</v>
      </c>
      <c r="I39" s="112" t="str">
        <f>_xlfn.IFNA(VLOOKUP(J39,'MCIA Cases'!$A$2:$R$1091,12,FALSE)," ")</f>
        <v xml:space="preserve"> </v>
      </c>
      <c r="J39" s="175" t="s">
        <v>611</v>
      </c>
      <c r="K39" s="7" t="str">
        <f>_xlfn.IFNA(VLOOKUP(J39,'MCIA Cases'!$A$2:$AG$1091,2,FALSE)," ")</f>
        <v xml:space="preserve"> </v>
      </c>
      <c r="L39" s="1" t="str">
        <f>_xlfn.IFNA(VLOOKUP(J39,'MCIA Cases'!$A$2:$R$1091,17,FALSE)," ")</f>
        <v xml:space="preserve"> </v>
      </c>
      <c r="M39" s="7" t="str">
        <f>_xlfn.IFNA(VLOOKUP(J39,'MCIA Cases'!$A$2:$R$1091,3,FALSE)," ")</f>
        <v xml:space="preserve"> </v>
      </c>
      <c r="N39" s="1" t="str">
        <f>IF(COUNTIF('MCIA Corrective Actions'!$A:$A,J39)=0," ",COUNTIF('MCIA Corrective Actions'!$A:$A,J39))</f>
        <v xml:space="preserve"> </v>
      </c>
      <c r="O39" s="1" t="str">
        <f>IF(COUNTIF('MCIA Corrective Actions'!$A:$A,J39)=0," ",COUNTIFS('MCIA Corrective Actions'!$A:$A,J39,'MCIA Corrective Actions'!N:N,"Yes"))</f>
        <v xml:space="preserve"> </v>
      </c>
      <c r="P39" s="7" t="str">
        <f>_xlfn.IFNA(VLOOKUP(J39,'MCIA Corrective Actions'!$A$2:$R$1092,6,FALSE)," ")</f>
        <v xml:space="preserve"> </v>
      </c>
      <c r="Q39" s="7" t="s">
        <v>2779</v>
      </c>
      <c r="T39" s="176" t="str">
        <f t="shared" si="1"/>
        <v xml:space="preserve"> </v>
      </c>
      <c r="U39" s="176">
        <f t="shared" si="2"/>
        <v>1</v>
      </c>
      <c r="V39" s="176">
        <f t="shared" si="0"/>
        <v>0</v>
      </c>
      <c r="W39" s="176">
        <f t="shared" si="3"/>
        <v>0</v>
      </c>
    </row>
    <row r="40" spans="1:23" x14ac:dyDescent="0.25">
      <c r="A40" s="7">
        <v>262</v>
      </c>
      <c r="B40" s="109" t="str">
        <f>VLOOKUP($A40,Table1[['#]:[Vessel]],4,FALSE)</f>
        <v>Texas</v>
      </c>
      <c r="C40" s="143">
        <f>VLOOKUP($A40,Table1[['#]:[Date]],3,FALSE)</f>
        <v>44398</v>
      </c>
      <c r="D40" s="110">
        <f>VLOOKUP($A40,Table1[['#]:[Hours]],7,FALSE)</f>
        <v>33.423888888792135</v>
      </c>
      <c r="E40" s="110" t="str">
        <f>VLOOKUP($A40,Table1[['#]:[System]],8,FALSE)&amp;" / "&amp;VLOOKUP($A40,Table1[['#]:[Subsystem]],9,FALSE)</f>
        <v>Ladder Pump / Motor / Engine</v>
      </c>
      <c r="F40" s="110" t="str">
        <f>VLOOKUP($A40,Table1[['#]:[Delay Log Notes]],11,FALSE)</f>
        <v>Replace UWP motor</v>
      </c>
      <c r="G40" s="109">
        <f>VLOOKUP($A40,Table1[['#]:[Work Order '#]],10,FALSE)</f>
        <v>4809535</v>
      </c>
      <c r="H40" s="110" t="str">
        <f>IF(G40="None"," ",VLOOKUP($A40,Table1[['#]:[Work Order Title]],12,FALSE))</f>
        <v>Replace ladder pump motor</v>
      </c>
      <c r="I40" s="112" t="str">
        <f>_xlfn.IFNA(VLOOKUP(J40,'MCIA Cases'!$A$2:$R$1091,12,FALSE)," ")</f>
        <v xml:space="preserve"> </v>
      </c>
      <c r="J40" s="175"/>
      <c r="K40" s="7" t="str">
        <f>_xlfn.IFNA(VLOOKUP(J40,'MCIA Cases'!$A$2:$AG$1091,2,FALSE)," ")</f>
        <v xml:space="preserve"> </v>
      </c>
      <c r="L40" s="1" t="str">
        <f>_xlfn.IFNA(VLOOKUP(J40,'MCIA Cases'!$A$2:$R$1091,17,FALSE)," ")</f>
        <v xml:space="preserve"> </v>
      </c>
      <c r="M40" s="7" t="str">
        <f>_xlfn.IFNA(VLOOKUP(J40,'MCIA Cases'!$A$2:$R$1091,3,FALSE)," ")</f>
        <v xml:space="preserve"> </v>
      </c>
      <c r="N40" s="1" t="str">
        <f>IF(COUNTIF('MCIA Corrective Actions'!$A:$A,J40)=0," ",COUNTIF('MCIA Corrective Actions'!$A:$A,J40))</f>
        <v xml:space="preserve"> </v>
      </c>
      <c r="O40" s="1" t="str">
        <f>IF(COUNTIF('MCIA Corrective Actions'!$A:$A,J40)=0," ",COUNTIFS('MCIA Corrective Actions'!$A:$A,J40,'MCIA Corrective Actions'!N:N,"Yes"))</f>
        <v xml:space="preserve"> </v>
      </c>
      <c r="P40" s="7" t="str">
        <f>_xlfn.IFNA(VLOOKUP(J40,'MCIA Corrective Actions'!$A$2:$R$1092,6,FALSE)," ")</f>
        <v xml:space="preserve"> </v>
      </c>
      <c r="Q40" s="7" t="s">
        <v>2780</v>
      </c>
      <c r="T40" s="176" t="str">
        <f t="shared" si="1"/>
        <v xml:space="preserve"> </v>
      </c>
      <c r="U40" s="176">
        <f t="shared" si="2"/>
        <v>1</v>
      </c>
      <c r="V40" s="176">
        <f t="shared" si="0"/>
        <v>0</v>
      </c>
      <c r="W40" s="176">
        <f t="shared" si="3"/>
        <v>0</v>
      </c>
    </row>
    <row r="41" spans="1:23" hidden="1" x14ac:dyDescent="0.25">
      <c r="A41" s="7">
        <v>263</v>
      </c>
      <c r="B41" s="109">
        <f>VLOOKUP($A41,Table1[['#]:[Vessel]],4,FALSE)</f>
        <v>54</v>
      </c>
      <c r="C41" s="143">
        <f>VLOOKUP($A41,Table1[['#]:[Date]],3,FALSE)</f>
        <v>44405</v>
      </c>
      <c r="D41" s="110">
        <f>VLOOKUP($A41,Table1[['#]:[Hours]],7,FALSE)</f>
        <v>221.0077777779079</v>
      </c>
      <c r="E41" s="110" t="str">
        <f>VLOOKUP($A41,Table1[['#]:[System]],8,FALSE)&amp;" / "&amp;VLOOKUP($A41,Table1[['#]:[Subsystem]],9,FALSE)</f>
        <v>Hull / Hull / House Repair</v>
      </c>
      <c r="F41" s="110" t="str">
        <f>VLOOKUP($A41,Table1[['#]:[Delay Log Notes]],11,FALSE)</f>
        <v>coast guard inspecting the hull</v>
      </c>
      <c r="G41" s="109">
        <f>VLOOKUP($A41,Table1[['#]:[Work Order '#]],10,FALSE)</f>
        <v>1761278</v>
      </c>
      <c r="H41" s="110" t="str">
        <f>IF(G41="None"," ",VLOOKUP($A41,Table1[['#]:[Work Order Title]],12,FALSE))</f>
        <v>Work Order not found</v>
      </c>
      <c r="I41" s="112" t="str">
        <f>_xlfn.IFNA(VLOOKUP(J41,'MCIA Cases'!$A$2:$R$1091,12,FALSE)," ")</f>
        <v xml:space="preserve"> </v>
      </c>
      <c r="J41" s="175" t="s">
        <v>611</v>
      </c>
      <c r="K41" s="7" t="str">
        <f>_xlfn.IFNA(VLOOKUP(J41,'MCIA Cases'!$A$2:$AG$1091,2,FALSE)," ")</f>
        <v xml:space="preserve"> </v>
      </c>
      <c r="L41" s="1" t="str">
        <f>_xlfn.IFNA(VLOOKUP(J41,'MCIA Cases'!$A$2:$R$1091,17,FALSE)," ")</f>
        <v xml:space="preserve"> </v>
      </c>
      <c r="M41" s="7" t="str">
        <f>_xlfn.IFNA(VLOOKUP(J41,'MCIA Cases'!$A$2:$R$1091,3,FALSE)," ")</f>
        <v xml:space="preserve"> </v>
      </c>
      <c r="N41" s="1" t="str">
        <f>IF(COUNTIF('MCIA Corrective Actions'!$A:$A,J41)=0," ",COUNTIF('MCIA Corrective Actions'!$A:$A,J41))</f>
        <v xml:space="preserve"> </v>
      </c>
      <c r="O41" s="1" t="str">
        <f>IF(COUNTIF('MCIA Corrective Actions'!$A:$A,J41)=0," ",COUNTIFS('MCIA Corrective Actions'!$A:$A,J41,'MCIA Corrective Actions'!N:N,"Yes"))</f>
        <v xml:space="preserve"> </v>
      </c>
      <c r="T41" s="176" t="str">
        <f t="shared" ref="T41:T48" si="4">IF(N41=" "," ",N41-O41)</f>
        <v xml:space="preserve"> </v>
      </c>
      <c r="U41" s="176">
        <f t="shared" ref="U41:U48" si="5">IF(D41&gt;0, 1, 0)</f>
        <v>1</v>
      </c>
      <c r="V41" s="176">
        <f t="shared" ref="V41:V48" si="6">IF(L41=" ", 0, 1)</f>
        <v>0</v>
      </c>
      <c r="W41" s="176">
        <f t="shared" ref="W41:W48" si="7">IF(U41+V41=2,1,0)</f>
        <v>0</v>
      </c>
    </row>
    <row r="42" spans="1:23" ht="75" hidden="1" x14ac:dyDescent="0.25">
      <c r="A42" s="7">
        <v>264</v>
      </c>
      <c r="B42" s="109">
        <f>VLOOKUP($A42,Table1[['#]:[Vessel]],4,FALSE)</f>
        <v>58</v>
      </c>
      <c r="C42" s="143">
        <f>VLOOKUP($A42,Table1[['#]:[Date]],3,FALSE)</f>
        <v>44409</v>
      </c>
      <c r="D42" s="110">
        <f>VLOOKUP($A42,Table1[['#]:[Hours]],7,FALSE)</f>
        <v>573.06972222228069</v>
      </c>
      <c r="E42" s="110" t="str">
        <f>VLOOKUP($A42,Table1[['#]:[System]],8,FALSE)&amp;" / "&amp;VLOOKUP($A42,Table1[['#]:[Subsystem]],9,FALSE)</f>
        <v>Crane Boom / Boom Winch</v>
      </c>
      <c r="F42" s="110" t="str">
        <f>VLOOKUP($A42,Table1[['#]:[Delay Log Notes]],11,FALSE)</f>
        <v>After lightning storm , boom up to swing off deck. Come around to start digging. Had to make a move, after making move went to boom down and boom would not stop.</v>
      </c>
      <c r="G42" s="109">
        <f>VLOOKUP($A42,Table1[['#]:[Work Order '#]],10,FALSE)</f>
        <v>4420181</v>
      </c>
      <c r="H42" s="110" t="str">
        <f>IF(G42="None"," ",VLOOKUP($A42,Table1[['#]:[Work Order Title]],12,FALSE))</f>
        <v>Repair Boom Cords</v>
      </c>
      <c r="I42" s="112" t="str">
        <f>_xlfn.IFNA(VLOOKUP(J42,'MCIA Cases'!$A$2:$R$1091,12,FALSE)," ")</f>
        <v xml:space="preserve"> </v>
      </c>
      <c r="J42" s="7" t="s">
        <v>611</v>
      </c>
      <c r="K42" s="7" t="str">
        <f>_xlfn.IFNA(VLOOKUP(J42,'MCIA Cases'!$A$2:$AG$1091,2,FALSE)," ")</f>
        <v xml:space="preserve"> </v>
      </c>
      <c r="L42" s="1" t="str">
        <f>_xlfn.IFNA(VLOOKUP(J42,'MCIA Cases'!$A$2:$R$1091,17,FALSE)," ")</f>
        <v xml:space="preserve"> </v>
      </c>
      <c r="M42" s="7" t="str">
        <f>_xlfn.IFNA(VLOOKUP(J42,'MCIA Cases'!$A$2:$R$1091,3,FALSE)," ")</f>
        <v xml:space="preserve"> </v>
      </c>
      <c r="N42" s="1" t="str">
        <f>IF(COUNTIF('MCIA Corrective Actions'!$A:$A,J42)=0," ",COUNTIF('MCIA Corrective Actions'!$A:$A,J42))</f>
        <v xml:space="preserve"> </v>
      </c>
      <c r="O42" s="1" t="str">
        <f>IF(COUNTIF('MCIA Corrective Actions'!$A:$A,J42)=0," ",COUNTIFS('MCIA Corrective Actions'!$A:$A,J42,'MCIA Corrective Actions'!N:N,"Yes"))</f>
        <v xml:space="preserve"> </v>
      </c>
      <c r="T42" s="176" t="str">
        <f t="shared" si="4"/>
        <v xml:space="preserve"> </v>
      </c>
      <c r="U42" s="176">
        <f t="shared" si="5"/>
        <v>1</v>
      </c>
      <c r="V42" s="176">
        <f t="shared" si="6"/>
        <v>0</v>
      </c>
      <c r="W42" s="176">
        <f t="shared" si="7"/>
        <v>0</v>
      </c>
    </row>
    <row r="43" spans="1:23" ht="45" hidden="1" x14ac:dyDescent="0.25">
      <c r="A43" s="7">
        <v>265</v>
      </c>
      <c r="B43" s="109" t="str">
        <f>VLOOKUP($A43,Table1[['#]:[Vessel]],4,FALSE)</f>
        <v>Ellis Island</v>
      </c>
      <c r="C43" s="143">
        <f>VLOOKUP($A43,Table1[['#]:[Date]],3,FALSE)</f>
        <v>44411</v>
      </c>
      <c r="D43" s="110">
        <f>VLOOKUP($A43,Table1[['#]:[Hours]],7,FALSE)</f>
        <v>44.549722222262062</v>
      </c>
      <c r="E43" s="110" t="str">
        <f>VLOOKUP($A43,Table1[['#]:[System]],8,FALSE)&amp;" / "&amp;VLOOKUP($A43,Table1[['#]:[Subsystem]],9,FALSE)</f>
        <v>Other / Other Mechanical</v>
      </c>
      <c r="F43" s="110" t="str">
        <f>VLOOKUP($A43,Table1[['#]:[Delay Log Notes]],11,FALSE)</f>
        <v>at dock</v>
      </c>
      <c r="G43" s="109" t="str">
        <f>VLOOKUP($A43,Table1[['#]:[Work Order '#]],10,FALSE)</f>
        <v>None</v>
      </c>
      <c r="H43" s="110" t="str">
        <f>IF(G43="None"," ",VLOOKUP($A43,Table1[['#]:[Work Order Title]],12,FALSE))</f>
        <v xml:space="preserve"> </v>
      </c>
      <c r="I43" s="112" t="str">
        <f>_xlfn.IFNA(VLOOKUP(J43,'MCIA Cases'!$A$2:$R$1091,12,FALSE)," ")</f>
        <v xml:space="preserve"> </v>
      </c>
      <c r="J43" s="112" t="s">
        <v>611</v>
      </c>
      <c r="K43" s="7" t="str">
        <f>_xlfn.IFNA(VLOOKUP(J43,'MCIA Cases'!$A$2:$AG$1091,2,FALSE)," ")</f>
        <v xml:space="preserve"> </v>
      </c>
      <c r="L43" s="1" t="str">
        <f>_xlfn.IFNA(VLOOKUP(J43,'MCIA Cases'!$A$2:$R$1091,17,FALSE)," ")</f>
        <v xml:space="preserve"> </v>
      </c>
      <c r="M43" s="7" t="str">
        <f>_xlfn.IFNA(VLOOKUP(J43,'MCIA Cases'!$A$2:$R$1091,3,FALSE)," ")</f>
        <v xml:space="preserve"> </v>
      </c>
      <c r="N43" s="1" t="str">
        <f>IF(COUNTIF('MCIA Corrective Actions'!$A:$A,J43)=0," ",COUNTIF('MCIA Corrective Actions'!$A:$A,J43))</f>
        <v xml:space="preserve"> </v>
      </c>
      <c r="O43" s="1" t="str">
        <f>IF(COUNTIF('MCIA Corrective Actions'!$A:$A,J43)=0," ",COUNTIFS('MCIA Corrective Actions'!$A:$A,J43,'MCIA Corrective Actions'!N:N,"Yes"))</f>
        <v xml:space="preserve"> </v>
      </c>
      <c r="R43" s="7" t="s">
        <v>2891</v>
      </c>
      <c r="T43" s="176" t="str">
        <f t="shared" si="4"/>
        <v xml:space="preserve"> </v>
      </c>
      <c r="U43" s="176">
        <f t="shared" si="5"/>
        <v>1</v>
      </c>
      <c r="V43" s="176">
        <f t="shared" si="6"/>
        <v>0</v>
      </c>
      <c r="W43" s="176">
        <f t="shared" si="7"/>
        <v>0</v>
      </c>
    </row>
    <row r="44" spans="1:23" ht="30" x14ac:dyDescent="0.25">
      <c r="A44" s="7">
        <v>266</v>
      </c>
      <c r="B44" s="109" t="str">
        <f>VLOOKUP($A44,Table1[['#]:[Vessel]],4,FALSE)</f>
        <v>Iowa</v>
      </c>
      <c r="C44" s="143">
        <f>VLOOKUP($A44,Table1[['#]:[Date]],3,FALSE)</f>
        <v>44413</v>
      </c>
      <c r="D44" s="110">
        <f>VLOOKUP($A44,Table1[['#]:[Hours]],7,FALSE)</f>
        <v>23.999722222157288</v>
      </c>
      <c r="E44" s="110" t="str">
        <f>VLOOKUP($A44,Table1[['#]:[System]],8,FALSE)&amp;" / "&amp;VLOOKUP($A44,Table1[['#]:[Subsystem]],9,FALSE)</f>
        <v>Swing System / Winch System</v>
      </c>
      <c r="F44" s="110" t="str">
        <f>VLOOKUP($A44,Table1[['#]:[Delay Log Notes]],11,FALSE)</f>
        <v>Major Mech. Repair to swing wire hydraulics</v>
      </c>
      <c r="G44" s="109" t="str">
        <f>VLOOKUP($A44,Table1[['#]:[Work Order '#]],10,FALSE)</f>
        <v>None</v>
      </c>
      <c r="H44" s="110" t="str">
        <f>IF(G44="None"," ",VLOOKUP($A44,Table1[['#]:[Work Order Title]],12,FALSE))</f>
        <v xml:space="preserve"> </v>
      </c>
      <c r="I44" s="112" t="str">
        <f>_xlfn.IFNA(VLOOKUP(J44,'MCIA Cases'!$A$2:$R$1091,12,FALSE)," ")</f>
        <v xml:space="preserve"> </v>
      </c>
      <c r="J44" s="175"/>
      <c r="K44" s="7" t="str">
        <f>_xlfn.IFNA(VLOOKUP(J44,'MCIA Cases'!$A$2:$AG$1091,2,FALSE)," ")</f>
        <v xml:space="preserve"> </v>
      </c>
      <c r="L44" s="1" t="str">
        <f>_xlfn.IFNA(VLOOKUP(J44,'MCIA Cases'!$A$2:$R$1091,17,FALSE)," ")</f>
        <v xml:space="preserve"> </v>
      </c>
      <c r="M44" s="7" t="str">
        <f>_xlfn.IFNA(VLOOKUP(J44,'MCIA Cases'!$A$2:$R$1091,3,FALSE)," ")</f>
        <v xml:space="preserve"> </v>
      </c>
      <c r="N44" s="1" t="str">
        <f>IF(COUNTIF('MCIA Corrective Actions'!$A:$A,J44)=0," ",COUNTIF('MCIA Corrective Actions'!$A:$A,J44))</f>
        <v xml:space="preserve"> </v>
      </c>
      <c r="O44" s="1" t="str">
        <f>IF(COUNTIF('MCIA Corrective Actions'!$A:$A,J44)=0," ",COUNTIFS('MCIA Corrective Actions'!$A:$A,J44,'MCIA Corrective Actions'!N:N,"Yes"))</f>
        <v xml:space="preserve"> </v>
      </c>
      <c r="T44" s="176" t="str">
        <f t="shared" si="4"/>
        <v xml:space="preserve"> </v>
      </c>
      <c r="U44" s="176">
        <f t="shared" si="5"/>
        <v>1</v>
      </c>
      <c r="V44" s="176">
        <f t="shared" si="6"/>
        <v>0</v>
      </c>
      <c r="W44" s="176">
        <f t="shared" si="7"/>
        <v>0</v>
      </c>
    </row>
    <row r="45" spans="1:23" x14ac:dyDescent="0.25">
      <c r="A45" s="7">
        <v>267</v>
      </c>
      <c r="B45" s="109" t="str">
        <f>VLOOKUP($A45,Table1[['#]:[Vessel]],4,FALSE)</f>
        <v>Texas</v>
      </c>
      <c r="C45" s="143">
        <f>VLOOKUP($A45,Table1[['#]:[Date]],3,FALSE)</f>
        <v>44423</v>
      </c>
      <c r="D45" s="110">
        <f>VLOOKUP($A45,Table1[['#]:[Hours]],7,FALSE)</f>
        <v>33.849166666623205</v>
      </c>
      <c r="E45" s="110" t="str">
        <f>VLOOKUP($A45,Table1[['#]:[System]],8,FALSE)&amp;" / "&amp;VLOOKUP($A45,Table1[['#]:[Subsystem]],9,FALSE)</f>
        <v>Swing System / Swing Sheaves</v>
      </c>
      <c r="F45" s="110" t="str">
        <f>VLOOKUP($A45,Table1[['#]:[Delay Log Notes]],11,FALSE)</f>
        <v>None</v>
      </c>
      <c r="G45" s="109" t="str">
        <f>VLOOKUP($A45,Table1[['#]:[Work Order '#]],10,FALSE)</f>
        <v>None</v>
      </c>
      <c r="H45" s="110" t="str">
        <f>IF(G45="None"," ",VLOOKUP($A45,Table1[['#]:[Work Order Title]],12,FALSE))</f>
        <v xml:space="preserve"> </v>
      </c>
      <c r="I45" s="112" t="str">
        <f>_xlfn.IFNA(VLOOKUP(J45,'MCIA Cases'!$A$2:$R$1091,12,FALSE)," ")</f>
        <v xml:space="preserve"> </v>
      </c>
      <c r="J45" s="175"/>
      <c r="K45" s="7" t="str">
        <f>_xlfn.IFNA(VLOOKUP(J45,'MCIA Cases'!$A$2:$AG$1091,2,FALSE)," ")</f>
        <v xml:space="preserve"> </v>
      </c>
      <c r="L45" s="1" t="str">
        <f>_xlfn.IFNA(VLOOKUP(J45,'MCIA Cases'!$A$2:$R$1091,17,FALSE)," ")</f>
        <v xml:space="preserve"> </v>
      </c>
      <c r="M45" s="7" t="str">
        <f>_xlfn.IFNA(VLOOKUP(J45,'MCIA Cases'!$A$2:$R$1091,3,FALSE)," ")</f>
        <v xml:space="preserve"> </v>
      </c>
      <c r="N45" s="1" t="str">
        <f>IF(COUNTIF('MCIA Corrective Actions'!$A:$A,J45)=0," ",COUNTIF('MCIA Corrective Actions'!$A:$A,J45))</f>
        <v xml:space="preserve"> </v>
      </c>
      <c r="O45" s="1" t="str">
        <f>IF(COUNTIF('MCIA Corrective Actions'!$A:$A,J45)=0," ",COUNTIFS('MCIA Corrective Actions'!$A:$A,J45,'MCIA Corrective Actions'!N:N,"Yes"))</f>
        <v xml:space="preserve"> </v>
      </c>
      <c r="T45" s="176" t="str">
        <f t="shared" si="4"/>
        <v xml:space="preserve"> </v>
      </c>
      <c r="U45" s="176">
        <f t="shared" si="5"/>
        <v>1</v>
      </c>
      <c r="V45" s="176">
        <f t="shared" si="6"/>
        <v>0</v>
      </c>
      <c r="W45" s="176">
        <f t="shared" si="7"/>
        <v>0</v>
      </c>
    </row>
    <row r="46" spans="1:23" ht="30" hidden="1" x14ac:dyDescent="0.25">
      <c r="A46" s="7">
        <v>268</v>
      </c>
      <c r="B46" s="109">
        <f>VLOOKUP($A46,Table1[['#]:[Vessel]],4,FALSE)</f>
        <v>54</v>
      </c>
      <c r="C46" s="143">
        <f>VLOOKUP($A46,Table1[['#]:[Date]],3,FALSE)</f>
        <v>44425</v>
      </c>
      <c r="D46" s="110">
        <f>VLOOKUP($A46,Table1[['#]:[Hours]],7,FALSE)</f>
        <v>100.76833333336981</v>
      </c>
      <c r="E46" s="110" t="str">
        <f>VLOOKUP($A46,Table1[['#]:[System]],8,FALSE)&amp;" / "&amp;VLOOKUP($A46,Table1[['#]:[Subsystem]],9,FALSE)</f>
        <v>Main / Aux. Generators / Main Generator Engine</v>
      </c>
      <c r="F46" s="110" t="str">
        <f>VLOOKUP($A46,Table1[['#]:[Delay Log Notes]],11,FALSE)</f>
        <v>None</v>
      </c>
      <c r="G46" s="109">
        <f>VLOOKUP($A46,Table1[['#]:[Work Order '#]],10,FALSE)</f>
        <v>4810115</v>
      </c>
      <c r="H46" s="110" t="str">
        <f>IF(G46="None"," ",VLOOKUP($A46,Table1[['#]:[Work Order Title]],12,FALSE))</f>
        <v>Replace Thrush Washers / Inspect engine components</v>
      </c>
      <c r="I46" s="112" t="str">
        <f>_xlfn.IFNA(VLOOKUP(J46,'MCIA Cases'!$A$2:$R$1091,12,FALSE)," ")</f>
        <v xml:space="preserve"> </v>
      </c>
      <c r="J46" s="175" t="s">
        <v>611</v>
      </c>
      <c r="K46" s="7" t="str">
        <f>_xlfn.IFNA(VLOOKUP(J46,'MCIA Cases'!$A$2:$AG$1091,2,FALSE)," ")</f>
        <v xml:space="preserve"> </v>
      </c>
      <c r="L46" s="1" t="str">
        <f>_xlfn.IFNA(VLOOKUP(J46,'MCIA Cases'!$A$2:$R$1091,17,FALSE)," ")</f>
        <v xml:space="preserve"> </v>
      </c>
      <c r="M46" s="7" t="str">
        <f>_xlfn.IFNA(VLOOKUP(J46,'MCIA Cases'!$A$2:$R$1091,3,FALSE)," ")</f>
        <v xml:space="preserve"> </v>
      </c>
      <c r="N46" s="1" t="str">
        <f>IF(COUNTIF('MCIA Corrective Actions'!$A:$A,J46)=0," ",COUNTIF('MCIA Corrective Actions'!$A:$A,J46))</f>
        <v xml:space="preserve"> </v>
      </c>
      <c r="O46" s="1" t="str">
        <f>IF(COUNTIF('MCIA Corrective Actions'!$A:$A,J46)=0," ",COUNTIFS('MCIA Corrective Actions'!$A:$A,J46,'MCIA Corrective Actions'!N:N,"Yes"))</f>
        <v xml:space="preserve"> </v>
      </c>
      <c r="T46" s="176" t="str">
        <f t="shared" si="4"/>
        <v xml:space="preserve"> </v>
      </c>
      <c r="U46" s="176">
        <f t="shared" si="5"/>
        <v>1</v>
      </c>
      <c r="V46" s="176">
        <f t="shared" si="6"/>
        <v>0</v>
      </c>
      <c r="W46" s="176">
        <f t="shared" si="7"/>
        <v>0</v>
      </c>
    </row>
    <row r="47" spans="1:23" x14ac:dyDescent="0.25">
      <c r="A47" s="7">
        <v>269</v>
      </c>
      <c r="B47" s="109" t="str">
        <f>VLOOKUP($A47,Table1[['#]:[Vessel]],4,FALSE)</f>
        <v>Texas</v>
      </c>
      <c r="C47" s="143">
        <f>VLOOKUP($A47,Table1[['#]:[Date]],3,FALSE)</f>
        <v>44427</v>
      </c>
      <c r="D47" s="110">
        <f>VLOOKUP($A47,Table1[['#]:[Hours]],7,FALSE)</f>
        <v>24.156111111107748</v>
      </c>
      <c r="E47" s="110" t="str">
        <f>VLOOKUP($A47,Table1[['#]:[System]],8,FALSE)&amp;" / "&amp;VLOOKUP($A47,Table1[['#]:[Subsystem]],9,FALSE)</f>
        <v>Spuds / Xmass Tree / Tree Structure</v>
      </c>
      <c r="F47" s="110" t="str">
        <f>VLOOKUP($A47,Table1[['#]:[Delay Log Notes]],11,FALSE)</f>
        <v>None</v>
      </c>
      <c r="G47" s="109" t="str">
        <f>VLOOKUP($A47,Table1[['#]:[Work Order '#]],10,FALSE)</f>
        <v>None</v>
      </c>
      <c r="H47" s="110" t="str">
        <f>IF(G47="None"," ",VLOOKUP($A47,Table1[['#]:[Work Order Title]],12,FALSE))</f>
        <v xml:space="preserve"> </v>
      </c>
      <c r="I47" s="112" t="str">
        <f>_xlfn.IFNA(VLOOKUP(J47,'MCIA Cases'!$A$2:$R$1091,12,FALSE)," ")</f>
        <v xml:space="preserve"> </v>
      </c>
      <c r="J47" s="175"/>
      <c r="K47" s="7" t="str">
        <f>_xlfn.IFNA(VLOOKUP(J47,'MCIA Cases'!$A$2:$AG$1091,2,FALSE)," ")</f>
        <v xml:space="preserve"> </v>
      </c>
      <c r="L47" s="1" t="str">
        <f>_xlfn.IFNA(VLOOKUP(J47,'MCIA Cases'!$A$2:$R$1091,17,FALSE)," ")</f>
        <v xml:space="preserve"> </v>
      </c>
      <c r="M47" s="7" t="str">
        <f>_xlfn.IFNA(VLOOKUP(J47,'MCIA Cases'!$A$2:$R$1091,3,FALSE)," ")</f>
        <v xml:space="preserve"> </v>
      </c>
      <c r="N47" s="1" t="str">
        <f>IF(COUNTIF('MCIA Corrective Actions'!$A:$A,J47)=0," ",COUNTIF('MCIA Corrective Actions'!$A:$A,J47))</f>
        <v xml:space="preserve"> </v>
      </c>
      <c r="O47" s="1" t="str">
        <f>IF(COUNTIF('MCIA Corrective Actions'!$A:$A,J47)=0," ",COUNTIFS('MCIA Corrective Actions'!$A:$A,J47,'MCIA Corrective Actions'!N:N,"Yes"))</f>
        <v xml:space="preserve"> </v>
      </c>
      <c r="T47" s="176" t="str">
        <f t="shared" si="4"/>
        <v xml:space="preserve"> </v>
      </c>
      <c r="U47" s="176">
        <f t="shared" si="5"/>
        <v>1</v>
      </c>
      <c r="V47" s="176">
        <f t="shared" si="6"/>
        <v>0</v>
      </c>
      <c r="W47" s="176">
        <f t="shared" si="7"/>
        <v>0</v>
      </c>
    </row>
    <row r="48" spans="1:23" ht="60" hidden="1" x14ac:dyDescent="0.25">
      <c r="A48" s="7">
        <v>270</v>
      </c>
      <c r="B48" s="109" t="str">
        <f>VLOOKUP($A48,Table1[['#]:[Vessel]],4,FALSE)</f>
        <v>Dodge Island</v>
      </c>
      <c r="C48" s="143">
        <f>VLOOKUP($A48,Table1[['#]:[Date]],3,FALSE)</f>
        <v>44433</v>
      </c>
      <c r="D48" s="110">
        <f>VLOOKUP($A48,Table1[['#]:[Hours]],7,FALSE)</f>
        <v>173.5102777776774</v>
      </c>
      <c r="E48" s="110" t="str">
        <f>VLOOKUP($A48,Table1[['#]:[System]],8,FALSE)&amp;" / "&amp;VLOOKUP($A48,Table1[['#]:[Subsystem]],9,FALSE)</f>
        <v>Steering / Rudder</v>
      </c>
      <c r="F48" s="110" t="str">
        <f>VLOOKUP($A48,Table1[['#]:[Delay Log Notes]],11,FALSE)</f>
        <v>None</v>
      </c>
      <c r="G48" s="109" t="str">
        <f>VLOOKUP($A48,Table1[['#]:[Work Order '#]],10,FALSE)</f>
        <v>None</v>
      </c>
      <c r="H48" s="110" t="str">
        <f>IF(G48="None"," ",VLOOKUP($A48,Table1[['#]:[Work Order Title]],12,FALSE))</f>
        <v xml:space="preserve"> </v>
      </c>
      <c r="I48" s="112" t="str">
        <f>_xlfn.IFNA(VLOOKUP(J48,'MCIA Cases'!$A$2:$R$1091,12,FALSE)," ")</f>
        <v>Complete</v>
      </c>
      <c r="J48" s="112">
        <v>432</v>
      </c>
      <c r="K48" s="7" t="str">
        <f>_xlfn.IFNA(VLOOKUP(J48,'MCIA Cases'!$A$2:$AG$1091,2,FALSE)," ")</f>
        <v xml:space="preserve">Dodge Island - Rudder Damage / Loss </v>
      </c>
      <c r="L48" s="1" t="str">
        <f>_xlfn.IFNA(VLOOKUP(J48,'MCIA Cases'!$A$2:$R$1091,17,FALSE)," ")</f>
        <v>08/25/2021</v>
      </c>
      <c r="M48" s="7" t="str">
        <f>_xlfn.IFNA(VLOOKUP(J48,'MCIA Cases'!$A$2:$R$1091,3,FALSE)," ")</f>
        <v>Chris Roberts</v>
      </c>
      <c r="N48" s="1">
        <f>IF(COUNTIF('MCIA Corrective Actions'!$A:$A,J48)=0," ",COUNTIF('MCIA Corrective Actions'!$A:$A,J48))</f>
        <v>1</v>
      </c>
      <c r="O48" s="1">
        <f>IF(COUNTIF('MCIA Corrective Actions'!$A:$A,J48)=0," ",COUNTIFS('MCIA Corrective Actions'!$A:$A,J48,'MCIA Corrective Actions'!N:N,"Yes"))</f>
        <v>1</v>
      </c>
      <c r="R48" s="7" t="s">
        <v>2892</v>
      </c>
      <c r="T48" s="176">
        <f t="shared" si="4"/>
        <v>0</v>
      </c>
      <c r="U48" s="176">
        <f t="shared" si="5"/>
        <v>1</v>
      </c>
      <c r="V48" s="176">
        <f t="shared" si="6"/>
        <v>1</v>
      </c>
      <c r="W48" s="176">
        <f t="shared" si="7"/>
        <v>1</v>
      </c>
    </row>
    <row r="49" spans="1:23" ht="45" hidden="1" x14ac:dyDescent="0.25">
      <c r="A49" s="7">
        <v>271</v>
      </c>
      <c r="B49" s="109" t="str">
        <f>VLOOKUP($A49,Table1[['#]:[Vessel]],4,FALSE)</f>
        <v>Liberty Island</v>
      </c>
      <c r="C49" s="143">
        <f>VLOOKUP($A49,Table1[['#]:[Date]],3,FALSE)</f>
        <v>44440</v>
      </c>
      <c r="D49" s="110">
        <f>VLOOKUP($A49,Table1[['#]:[Hours]],7,FALSE)</f>
        <v>23.999722222157288</v>
      </c>
      <c r="E49" s="110" t="str">
        <f>VLOOKUP($A49,Table1[['#]:[System]],8,FALSE)&amp;" / "&amp;VLOOKUP($A49,Table1[['#]:[Subsystem]],9,FALSE)</f>
        <v>Hydraulics / Other</v>
      </c>
      <c r="F49" s="110" t="str">
        <f>VLOOKUP($A49,Table1[['#]:[Delay Log Notes]],11,FALSE)</f>
        <v>Dredge at Dock for STB Main HYD Repairs</v>
      </c>
      <c r="G49" s="109" t="str">
        <f>VLOOKUP($A49,Table1[['#]:[Work Order '#]],10,FALSE)</f>
        <v>None</v>
      </c>
      <c r="H49" s="110" t="str">
        <f>IF(G49="None"," ",VLOOKUP($A49,Table1[['#]:[Work Order Title]],12,FALSE))</f>
        <v xml:space="preserve"> </v>
      </c>
      <c r="I49" s="112" t="str">
        <f>_xlfn.IFNA(VLOOKUP(J49,'MCIA Cases'!$A$2:$R$1091,12,FALSE)," ")</f>
        <v xml:space="preserve"> </v>
      </c>
      <c r="J49" s="112" t="s">
        <v>611</v>
      </c>
      <c r="K49" s="7" t="str">
        <f>_xlfn.IFNA(VLOOKUP(J49,'MCIA Cases'!$A$2:$AG$1091,2,FALSE)," ")</f>
        <v xml:space="preserve"> </v>
      </c>
      <c r="L49" s="1" t="str">
        <f>_xlfn.IFNA(VLOOKUP(J49,'MCIA Cases'!$A$2:$R$1091,17,FALSE)," ")</f>
        <v xml:space="preserve"> </v>
      </c>
      <c r="M49" s="7" t="str">
        <f>_xlfn.IFNA(VLOOKUP(J49,'MCIA Cases'!$A$2:$R$1091,3,FALSE)," ")</f>
        <v xml:space="preserve"> </v>
      </c>
      <c r="N49" s="1" t="str">
        <f>IF(COUNTIF('MCIA Corrective Actions'!$A:$A,J49)=0," ",COUNTIF('MCIA Corrective Actions'!$A:$A,J49))</f>
        <v xml:space="preserve"> </v>
      </c>
      <c r="O49" s="1" t="str">
        <f>IF(COUNTIF('MCIA Corrective Actions'!$A:$A,J49)=0," ",COUNTIFS('MCIA Corrective Actions'!$A:$A,J49,'MCIA Corrective Actions'!N:N,"Yes"))</f>
        <v xml:space="preserve"> </v>
      </c>
      <c r="R49" s="7" t="s">
        <v>2893</v>
      </c>
      <c r="U49" s="176">
        <f t="shared" ref="U49:U56" si="8">IF(D49&gt;0, 1, 0)</f>
        <v>1</v>
      </c>
      <c r="V49" s="176">
        <f t="shared" ref="V49:V56" si="9">IF(L49=" ", 0, 1)</f>
        <v>0</v>
      </c>
      <c r="W49" s="176">
        <f t="shared" ref="W49:W56" si="10">IF(U49+V49=2,1,0)</f>
        <v>0</v>
      </c>
    </row>
    <row r="50" spans="1:23" ht="30" hidden="1" x14ac:dyDescent="0.25">
      <c r="A50" s="7">
        <v>272</v>
      </c>
      <c r="B50" s="109" t="str">
        <f>VLOOKUP($A50,Table1[['#]:[Vessel]],4,FALSE)</f>
        <v>New York</v>
      </c>
      <c r="C50" s="143">
        <f>VLOOKUP($A50,Table1[['#]:[Date]],3,FALSE)</f>
        <v>44441</v>
      </c>
      <c r="D50" s="110">
        <f>VLOOKUP($A50,Table1[['#]:[Hours]],7,FALSE)</f>
        <v>32.598055555543397</v>
      </c>
      <c r="E50" s="110" t="str">
        <f>VLOOKUP($A50,Table1[['#]:[System]],8,FALSE)&amp;" / "&amp;VLOOKUP($A50,Table1[['#]:[Subsystem]],9,FALSE)</f>
        <v>Tagline/Boom Assist / A-Frame (Wires, Winch, etc)</v>
      </c>
      <c r="F50" s="110" t="str">
        <f>VLOOKUP($A50,Table1[['#]:[Delay Log Notes]],11,FALSE)</f>
        <v>moving to office location for repairs</v>
      </c>
      <c r="G50" s="109">
        <f>VLOOKUP($A50,Table1[['#]:[Work Order '#]],10,FALSE)</f>
        <v>4810395</v>
      </c>
      <c r="H50" s="110" t="str">
        <f>IF(G50="None"," ",VLOOKUP($A50,Table1[['#]:[Work Order Title]],12,FALSE))</f>
        <v>Change Stay Wires</v>
      </c>
      <c r="I50" s="112" t="str">
        <f>_xlfn.IFNA(VLOOKUP(J50,'MCIA Cases'!$A$2:$R$1091,12,FALSE)," ")</f>
        <v xml:space="preserve"> </v>
      </c>
      <c r="J50" s="175" t="s">
        <v>611</v>
      </c>
      <c r="K50" s="7" t="str">
        <f>_xlfn.IFNA(VLOOKUP(J50,'MCIA Cases'!$A$2:$AG$1091,2,FALSE)," ")</f>
        <v xml:space="preserve"> </v>
      </c>
      <c r="L50" s="1" t="str">
        <f>_xlfn.IFNA(VLOOKUP(J50,'MCIA Cases'!$A$2:$R$1091,17,FALSE)," ")</f>
        <v xml:space="preserve"> </v>
      </c>
      <c r="M50" s="7" t="str">
        <f>_xlfn.IFNA(VLOOKUP(J50,'MCIA Cases'!$A$2:$R$1091,3,FALSE)," ")</f>
        <v xml:space="preserve"> </v>
      </c>
      <c r="N50" s="1" t="str">
        <f>IF(COUNTIF('MCIA Corrective Actions'!$A:$A,J50)=0," ",COUNTIF('MCIA Corrective Actions'!$A:$A,J50))</f>
        <v xml:space="preserve"> </v>
      </c>
      <c r="O50" s="1" t="str">
        <f>IF(COUNTIF('MCIA Corrective Actions'!$A:$A,J50)=0," ",COUNTIFS('MCIA Corrective Actions'!$A:$A,J50,'MCIA Corrective Actions'!N:N,"Yes"))</f>
        <v xml:space="preserve"> </v>
      </c>
      <c r="U50" s="176">
        <f t="shared" si="8"/>
        <v>1</v>
      </c>
      <c r="V50" s="176">
        <f t="shared" si="9"/>
        <v>0</v>
      </c>
      <c r="W50" s="176">
        <f t="shared" si="10"/>
        <v>0</v>
      </c>
    </row>
    <row r="51" spans="1:23" ht="30" hidden="1" x14ac:dyDescent="0.25">
      <c r="A51" s="7">
        <v>273</v>
      </c>
      <c r="B51" s="109" t="str">
        <f>VLOOKUP($A51,Table1[['#]:[Vessel]],4,FALSE)</f>
        <v>Carolina</v>
      </c>
      <c r="C51" s="143">
        <f>VLOOKUP($A51,Table1[['#]:[Date]],3,FALSE)</f>
        <v>44442</v>
      </c>
      <c r="D51" s="110">
        <f>VLOOKUP($A51,Table1[['#]:[Hours]],7,FALSE)</f>
        <v>59.029722222068813</v>
      </c>
      <c r="E51" s="110" t="str">
        <f>VLOOKUP($A51,Table1[['#]:[System]],8,FALSE)&amp;" / "&amp;VLOOKUP($A51,Table1[['#]:[Subsystem]],9,FALSE)</f>
        <v>Main Pump / Gearbox</v>
      </c>
      <c r="F51" s="110" t="str">
        <f>VLOOKUP($A51,Table1[['#]:[Delay Log Notes]],11,FALSE)</f>
        <v>coupler to thrust bearing broke</v>
      </c>
      <c r="G51" s="109">
        <f>VLOOKUP($A51,Table1[['#]:[Work Order '#]],10,FALSE)</f>
        <v>4038962</v>
      </c>
      <c r="H51" s="110" t="str">
        <f>IF(G51="None"," ",VLOOKUP($A51,Table1[['#]:[Work Order Title]],12,FALSE))</f>
        <v>Repair stbd pump coupling &amp; Thrust bear replacement</v>
      </c>
      <c r="I51" s="112" t="str">
        <f>_xlfn.IFNA(VLOOKUP(J51,'MCIA Cases'!$A$2:$R$1091,12,FALSE)," ")</f>
        <v>Complete</v>
      </c>
      <c r="J51" s="7">
        <v>412</v>
      </c>
      <c r="K51" s="7" t="str">
        <f>_xlfn.IFNA(VLOOKUP(J51,'MCIA Cases'!$A$2:$AG$1091,2,FALSE)," ")</f>
        <v>Dredge Carolina MP Thrust Bearing Coupling</v>
      </c>
      <c r="L51" s="1" t="str">
        <f>_xlfn.IFNA(VLOOKUP(J51,'MCIA Cases'!$A$2:$R$1091,17,FALSE)," ")</f>
        <v>09/03/2021</v>
      </c>
      <c r="M51" s="7" t="str">
        <f>_xlfn.IFNA(VLOOKUP(J51,'MCIA Cases'!$A$2:$R$1091,3,FALSE)," ")</f>
        <v>Wade Smith</v>
      </c>
      <c r="N51" s="1">
        <f>IF(COUNTIF('MCIA Corrective Actions'!$A:$A,J51)=0," ",COUNTIF('MCIA Corrective Actions'!$A:$A,J51))</f>
        <v>1</v>
      </c>
      <c r="O51" s="1">
        <f>IF(COUNTIF('MCIA Corrective Actions'!$A:$A,J51)=0," ",COUNTIFS('MCIA Corrective Actions'!$A:$A,J51,'MCIA Corrective Actions'!N:N,"Yes"))</f>
        <v>0</v>
      </c>
      <c r="U51" s="176">
        <f t="shared" si="8"/>
        <v>1</v>
      </c>
      <c r="V51" s="176">
        <f t="shared" si="9"/>
        <v>1</v>
      </c>
      <c r="W51" s="176">
        <f t="shared" si="10"/>
        <v>1</v>
      </c>
    </row>
    <row r="52" spans="1:23" ht="30" hidden="1" x14ac:dyDescent="0.25">
      <c r="A52" s="7">
        <v>274</v>
      </c>
      <c r="B52" s="109" t="str">
        <f>VLOOKUP($A52,Table1[['#]:[Vessel]],4,FALSE)</f>
        <v>Ohio</v>
      </c>
      <c r="C52" s="143">
        <f>VLOOKUP($A52,Table1[['#]:[Date]],3,FALSE)</f>
        <v>44444</v>
      </c>
      <c r="D52" s="110">
        <f>VLOOKUP($A52,Table1[['#]:[Hours]],7,FALSE)</f>
        <v>30.773611111042555</v>
      </c>
      <c r="E52" s="110" t="str">
        <f>VLOOKUP($A52,Table1[['#]:[System]],8,FALSE)&amp;" / "&amp;VLOOKUP($A52,Table1[['#]:[Subsystem]],9,FALSE)</f>
        <v>Ladder / Wire</v>
      </c>
      <c r="F52" s="110" t="str">
        <f>VLOOKUP($A52,Table1[['#]:[Delay Log Notes]],11,FALSE)</f>
        <v>Ladder wire strarting to part. Changing wire. All stop oder due to lighting</v>
      </c>
      <c r="G52" s="109" t="str">
        <f>VLOOKUP($A52,Table1[['#]:[Work Order '#]],10,FALSE)</f>
        <v>None</v>
      </c>
      <c r="H52" s="110" t="str">
        <f>IF(G52="None"," ",VLOOKUP($A52,Table1[['#]:[Work Order Title]],12,FALSE))</f>
        <v xml:space="preserve"> </v>
      </c>
      <c r="I52" s="112" t="str">
        <f>_xlfn.IFNA(VLOOKUP(J52,'MCIA Cases'!$A$2:$R$1091,12,FALSE)," ")</f>
        <v xml:space="preserve"> </v>
      </c>
      <c r="J52" s="175" t="s">
        <v>611</v>
      </c>
      <c r="K52" s="7" t="str">
        <f>_xlfn.IFNA(VLOOKUP(J52,'MCIA Cases'!$A$2:$AG$1091,2,FALSE)," ")</f>
        <v xml:space="preserve"> </v>
      </c>
      <c r="L52" s="1" t="str">
        <f>_xlfn.IFNA(VLOOKUP(J52,'MCIA Cases'!$A$2:$R$1091,17,FALSE)," ")</f>
        <v xml:space="preserve"> </v>
      </c>
      <c r="M52" s="7" t="str">
        <f>_xlfn.IFNA(VLOOKUP(J52,'MCIA Cases'!$A$2:$R$1091,3,FALSE)," ")</f>
        <v xml:space="preserve"> </v>
      </c>
      <c r="N52" s="1" t="str">
        <f>IF(COUNTIF('MCIA Corrective Actions'!$A:$A,J52)=0," ",COUNTIF('MCIA Corrective Actions'!$A:$A,J52))</f>
        <v xml:space="preserve"> </v>
      </c>
      <c r="O52" s="1" t="str">
        <f>IF(COUNTIF('MCIA Corrective Actions'!$A:$A,J52)=0," ",COUNTIFS('MCIA Corrective Actions'!$A:$A,J52,'MCIA Corrective Actions'!N:N,"Yes"))</f>
        <v xml:space="preserve"> </v>
      </c>
      <c r="U52" s="176">
        <f t="shared" si="8"/>
        <v>1</v>
      </c>
      <c r="V52" s="176">
        <f t="shared" si="9"/>
        <v>0</v>
      </c>
      <c r="W52" s="176">
        <f t="shared" si="10"/>
        <v>0</v>
      </c>
    </row>
    <row r="53" spans="1:23" ht="120" hidden="1" x14ac:dyDescent="0.25">
      <c r="A53" s="7">
        <v>275</v>
      </c>
      <c r="B53" s="109" t="str">
        <f>VLOOKUP($A53,Table1[['#]:[Vessel]],4,FALSE)</f>
        <v>Dodge Island</v>
      </c>
      <c r="C53" s="143">
        <f>VLOOKUP($A53,Table1[['#]:[Date]],3,FALSE)</f>
        <v>44446</v>
      </c>
      <c r="D53" s="110">
        <f>VLOOKUP($A53,Table1[['#]:[Hours]],7,FALSE)</f>
        <v>35.4375</v>
      </c>
      <c r="E53" s="110" t="str">
        <f>VLOOKUP($A53,Table1[['#]:[System]],8,FALSE)&amp;" / "&amp;VLOOKUP($A53,Table1[['#]:[Subsystem]],9,FALSE)</f>
        <v>Hydraulics / Other</v>
      </c>
      <c r="F53" s="110" t="str">
        <f>VLOOKUP($A53,Table1[['#]:[Delay Log Notes]],11,FALSE)</f>
        <v>None</v>
      </c>
      <c r="G53" s="109">
        <f>VLOOKUP($A53,Table1[['#]:[Work Order '#]],10,FALSE)</f>
        <v>4071556</v>
      </c>
      <c r="H53" s="110" t="str">
        <f>IF(G53="None"," ",VLOOKUP($A53,Table1[['#]:[Work Order Title]],12,FALSE))</f>
        <v>Port Hyd. Service System: Repair Leak in Piping</v>
      </c>
      <c r="I53" s="112" t="str">
        <f>_xlfn.IFNA(VLOOKUP(J53,'MCIA Cases'!$A$2:$R$1091,12,FALSE)," ")</f>
        <v xml:space="preserve"> </v>
      </c>
      <c r="J53" s="112" t="s">
        <v>611</v>
      </c>
      <c r="K53" s="7" t="str">
        <f>_xlfn.IFNA(VLOOKUP(J53,'MCIA Cases'!$A$2:$AG$1091,2,FALSE)," ")</f>
        <v xml:space="preserve"> </v>
      </c>
      <c r="L53" s="1" t="str">
        <f>_xlfn.IFNA(VLOOKUP(J53,'MCIA Cases'!$A$2:$R$1091,17,FALSE)," ")</f>
        <v xml:space="preserve"> </v>
      </c>
      <c r="M53" s="7" t="str">
        <f>_xlfn.IFNA(VLOOKUP(J53,'MCIA Cases'!$A$2:$R$1091,3,FALSE)," ")</f>
        <v xml:space="preserve"> </v>
      </c>
      <c r="N53" s="1" t="str">
        <f>IF(COUNTIF('MCIA Corrective Actions'!$A:$A,J53)=0," ",COUNTIF('MCIA Corrective Actions'!$A:$A,J53))</f>
        <v xml:space="preserve"> </v>
      </c>
      <c r="O53" s="1" t="str">
        <f>IF(COUNTIF('MCIA Corrective Actions'!$A:$A,J53)=0," ",COUNTIFS('MCIA Corrective Actions'!$A:$A,J53,'MCIA Corrective Actions'!N:N,"Yes"))</f>
        <v xml:space="preserve"> </v>
      </c>
      <c r="R53" s="7" t="s">
        <v>2894</v>
      </c>
      <c r="U53" s="176">
        <f t="shared" si="8"/>
        <v>1</v>
      </c>
      <c r="V53" s="176">
        <f t="shared" si="9"/>
        <v>0</v>
      </c>
      <c r="W53" s="176">
        <f t="shared" si="10"/>
        <v>0</v>
      </c>
    </row>
    <row r="54" spans="1:23" ht="30" x14ac:dyDescent="0.25">
      <c r="A54" s="7">
        <v>276</v>
      </c>
      <c r="B54" s="109" t="str">
        <f>VLOOKUP($A54,Table1[['#]:[Vessel]],4,FALSE)</f>
        <v>Ohio</v>
      </c>
      <c r="C54" s="143">
        <f>VLOOKUP($A54,Table1[['#]:[Date]],3,FALSE)</f>
        <v>44457</v>
      </c>
      <c r="D54" s="110">
        <f>VLOOKUP($A54,Table1[['#]:[Hours]],7,FALSE)</f>
        <v>95.706944444566034</v>
      </c>
      <c r="E54" s="110" t="str">
        <f>VLOOKUP($A54,Table1[['#]:[System]],8,FALSE)&amp;" / "&amp;VLOOKUP($A54,Table1[['#]:[Subsystem]],9,FALSE)</f>
        <v>Ladder Pump / SCR Drive</v>
      </c>
      <c r="F54" s="110" t="str">
        <f>VLOOKUP($A54,Table1[['#]:[Delay Log Notes]],11,FALSE)</f>
        <v>underwater pump wont start back up. Waiting on parts.</v>
      </c>
      <c r="G54" s="109" t="str">
        <f>VLOOKUP($A54,Table1[['#]:[Work Order '#]],10,FALSE)</f>
        <v>None</v>
      </c>
      <c r="H54" s="110" t="str">
        <f>IF(G54="None"," ",VLOOKUP($A54,Table1[['#]:[Work Order Title]],12,FALSE))</f>
        <v xml:space="preserve"> </v>
      </c>
      <c r="I54" s="112" t="str">
        <f>_xlfn.IFNA(VLOOKUP(J54,'MCIA Cases'!$A$2:$R$1091,12,FALSE)," ")</f>
        <v xml:space="preserve"> </v>
      </c>
      <c r="J54" s="175"/>
      <c r="K54" s="7" t="str">
        <f>_xlfn.IFNA(VLOOKUP(J54,'MCIA Cases'!$A$2:$AG$1091,2,FALSE)," ")</f>
        <v xml:space="preserve"> </v>
      </c>
      <c r="L54" s="1" t="str">
        <f>_xlfn.IFNA(VLOOKUP(J54,'MCIA Cases'!$A$2:$R$1091,17,FALSE)," ")</f>
        <v xml:space="preserve"> </v>
      </c>
      <c r="M54" s="7" t="str">
        <f>_xlfn.IFNA(VLOOKUP(J54,'MCIA Cases'!$A$2:$R$1091,3,FALSE)," ")</f>
        <v xml:space="preserve"> </v>
      </c>
      <c r="N54" s="1" t="str">
        <f>IF(COUNTIF('MCIA Corrective Actions'!$A:$A,J54)=0," ",COUNTIF('MCIA Corrective Actions'!$A:$A,J54))</f>
        <v xml:space="preserve"> </v>
      </c>
      <c r="O54" s="1" t="str">
        <f>IF(COUNTIF('MCIA Corrective Actions'!$A:$A,J54)=0," ",COUNTIFS('MCIA Corrective Actions'!$A:$A,J54,'MCIA Corrective Actions'!N:N,"Yes"))</f>
        <v xml:space="preserve"> </v>
      </c>
      <c r="U54" s="176">
        <f t="shared" si="8"/>
        <v>1</v>
      </c>
      <c r="V54" s="176">
        <f t="shared" si="9"/>
        <v>0</v>
      </c>
      <c r="W54" s="176">
        <f t="shared" si="10"/>
        <v>0</v>
      </c>
    </row>
    <row r="55" spans="1:23" hidden="1" x14ac:dyDescent="0.25">
      <c r="A55" s="7">
        <v>277</v>
      </c>
      <c r="B55" s="109">
        <f>VLOOKUP($A55,Table1[['#]:[Vessel]],4,FALSE)</f>
        <v>54</v>
      </c>
      <c r="C55" s="143">
        <f>VLOOKUP($A55,Table1[['#]:[Date]],3,FALSE)</f>
        <v>44464</v>
      </c>
      <c r="D55" s="110">
        <f>VLOOKUP($A55,Table1[['#]:[Hours]],7,FALSE)</f>
        <v>26.315277777670417</v>
      </c>
      <c r="E55" s="110" t="str">
        <f>VLOOKUP($A55,Table1[['#]:[System]],8,FALSE)&amp;" / "&amp;VLOOKUP($A55,Table1[['#]:[Subsystem]],9,FALSE)</f>
        <v>Spud System / Spud Structure</v>
      </c>
      <c r="F55" s="110" t="str">
        <f>VLOOKUP($A55,Table1[['#]:[Delay Log Notes]],11,FALSE)</f>
        <v>None</v>
      </c>
      <c r="G55" s="109" t="str">
        <f>VLOOKUP($A55,Table1[['#]:[Work Order '#]],10,FALSE)</f>
        <v>None</v>
      </c>
      <c r="H55" s="110" t="str">
        <f>IF(G55="None"," ",VLOOKUP($A55,Table1[['#]:[Work Order Title]],12,FALSE))</f>
        <v xml:space="preserve"> </v>
      </c>
      <c r="I55" s="112" t="str">
        <f>_xlfn.IFNA(VLOOKUP(J55,'MCIA Cases'!$A$2:$R$1091,12,FALSE)," ")</f>
        <v xml:space="preserve"> </v>
      </c>
      <c r="J55" s="175" t="s">
        <v>611</v>
      </c>
      <c r="K55" s="7" t="str">
        <f>_xlfn.IFNA(VLOOKUP(J55,'MCIA Cases'!$A$2:$AG$1091,2,FALSE)," ")</f>
        <v xml:space="preserve"> </v>
      </c>
      <c r="L55" s="1" t="str">
        <f>_xlfn.IFNA(VLOOKUP(J55,'MCIA Cases'!$A$2:$R$1091,17,FALSE)," ")</f>
        <v xml:space="preserve"> </v>
      </c>
      <c r="M55" s="7" t="str">
        <f>_xlfn.IFNA(VLOOKUP(J55,'MCIA Cases'!$A$2:$R$1091,3,FALSE)," ")</f>
        <v xml:space="preserve"> </v>
      </c>
      <c r="N55" s="1" t="str">
        <f>IF(COUNTIF('MCIA Corrective Actions'!$A:$A,J55)=0," ",COUNTIF('MCIA Corrective Actions'!$A:$A,J55))</f>
        <v xml:space="preserve"> </v>
      </c>
      <c r="O55" s="1" t="str">
        <f>IF(COUNTIF('MCIA Corrective Actions'!$A:$A,J55)=0," ",COUNTIFS('MCIA Corrective Actions'!$A:$A,J55,'MCIA Corrective Actions'!N:N,"Yes"))</f>
        <v xml:space="preserve"> </v>
      </c>
      <c r="U55" s="176">
        <f t="shared" si="8"/>
        <v>1</v>
      </c>
      <c r="V55" s="176">
        <f t="shared" si="9"/>
        <v>0</v>
      </c>
      <c r="W55" s="176">
        <f t="shared" si="10"/>
        <v>0</v>
      </c>
    </row>
    <row r="56" spans="1:23" ht="60" x14ac:dyDescent="0.25">
      <c r="A56" s="7">
        <v>278</v>
      </c>
      <c r="B56" s="109" t="str">
        <f>VLOOKUP($A56,Table1[['#]:[Vessel]],4,FALSE)</f>
        <v>New York</v>
      </c>
      <c r="C56" s="143">
        <f>VLOOKUP($A56,Table1[['#]:[Date]],3,FALSE)</f>
        <v>44468</v>
      </c>
      <c r="D56" s="110">
        <f>VLOOKUP($A56,Table1[['#]:[Hours]],7,FALSE)</f>
        <v>51.206666666606907</v>
      </c>
      <c r="E56" s="110" t="str">
        <f>VLOOKUP($A56,Table1[['#]:[System]],8,FALSE)&amp;" / "&amp;VLOOKUP($A56,Table1[['#]:[Subsystem]],9,FALSE)</f>
        <v>Crane Swing / Drive (Motor, Gear Box, etc)</v>
      </c>
      <c r="F56" s="110" t="str">
        <f>VLOOKUP($A56,Table1[['#]:[Delay Log Notes]],11,FALSE)</f>
        <v>CHECKING ON NOISE FFROM ONE OF THE SWINGS ON 996 TAKE SWING MOTOR OFF SWING PLANATERY #111 TO CKECK SUN GEAR</v>
      </c>
      <c r="G56" s="109">
        <f>VLOOKUP($A56,Table1[['#]:[Work Order '#]],10,FALSE)</f>
        <v>4811009</v>
      </c>
      <c r="H56" s="110" t="str">
        <f>IF(G56="None"," ",VLOOKUP($A56,Table1[['#]:[Work Order Title]],12,FALSE))</f>
        <v>Troubleshoot Swing Gear - Install new Swing gear</v>
      </c>
      <c r="I56" s="112" t="str">
        <f>_xlfn.IFNA(VLOOKUP(J56,'MCIA Cases'!$A$2:$R$1091,12,FALSE)," ")</f>
        <v xml:space="preserve"> </v>
      </c>
      <c r="J56" s="175"/>
      <c r="K56" s="7" t="str">
        <f>_xlfn.IFNA(VLOOKUP(J56,'MCIA Cases'!$A$2:$AG$1091,2,FALSE)," ")</f>
        <v xml:space="preserve"> </v>
      </c>
      <c r="L56" s="1" t="str">
        <f>_xlfn.IFNA(VLOOKUP(J56,'MCIA Cases'!$A$2:$R$1091,17,FALSE)," ")</f>
        <v xml:space="preserve"> </v>
      </c>
      <c r="M56" s="7" t="str">
        <f>_xlfn.IFNA(VLOOKUP(J56,'MCIA Cases'!$A$2:$R$1091,3,FALSE)," ")</f>
        <v xml:space="preserve"> </v>
      </c>
      <c r="N56" s="1" t="str">
        <f>IF(COUNTIF('MCIA Corrective Actions'!$A:$A,J56)=0," ",COUNTIF('MCIA Corrective Actions'!$A:$A,J56))</f>
        <v xml:space="preserve"> </v>
      </c>
      <c r="O56" s="1" t="str">
        <f>IF(COUNTIF('MCIA Corrective Actions'!$A:$A,J56)=0," ",COUNTIFS('MCIA Corrective Actions'!$A:$A,J56,'MCIA Corrective Actions'!N:N,"Yes"))</f>
        <v xml:space="preserve"> </v>
      </c>
      <c r="U56" s="176">
        <f t="shared" si="8"/>
        <v>1</v>
      </c>
      <c r="V56" s="176">
        <f t="shared" si="9"/>
        <v>0</v>
      </c>
      <c r="W56" s="176">
        <f t="shared" si="10"/>
        <v>0</v>
      </c>
    </row>
    <row r="57" spans="1:23" ht="30" x14ac:dyDescent="0.25">
      <c r="A57" s="7">
        <v>279</v>
      </c>
      <c r="B57" s="109" t="str">
        <f>VLOOKUP($A57,Table1[['#]:[Vessel]],4,FALSE)</f>
        <v>New York</v>
      </c>
      <c r="C57" s="143">
        <f>VLOOKUP($A57,Table1[['#]:[Date]],3,FALSE)</f>
        <v>44471</v>
      </c>
      <c r="D57" s="110">
        <f>VLOOKUP($A57,Table1[['#]:[Hours]],7,FALSE)</f>
        <v>24.861666666751262</v>
      </c>
      <c r="E57" s="110" t="str">
        <f>VLOOKUP($A57,Table1[['#]:[System]],8,FALSE)&amp;" / "&amp;VLOOKUP($A57,Table1[['#]:[Subsystem]],9,FALSE)</f>
        <v>Crane Swing / Drive (Motor, Gear Box, etc)</v>
      </c>
      <c r="F57" s="110" t="str">
        <f>VLOOKUP($A57,Table1[['#]:[Delay Log Notes]],11,FALSE)</f>
        <v>problem with new swing hydralic going into gear oil</v>
      </c>
      <c r="G57" s="109">
        <f>VLOOKUP($A57,Table1[['#]:[Work Order '#]],10,FALSE)</f>
        <v>4811214</v>
      </c>
      <c r="H57" s="110" t="str">
        <f>IF(G57="None"," ",VLOOKUP($A57,Table1[['#]:[Work Order Title]],12,FALSE))</f>
        <v>Replace Hydraulic Motor</v>
      </c>
      <c r="I57" s="112" t="str">
        <f>_xlfn.IFNA(VLOOKUP(J57,'MCIA Cases'!$A$2:$R$1091,12,FALSE)," ")</f>
        <v xml:space="preserve"> </v>
      </c>
      <c r="J57" s="175"/>
      <c r="K57" s="7" t="str">
        <f>_xlfn.IFNA(VLOOKUP(J57,'MCIA Cases'!$A$2:$AG$1091,2,FALSE)," ")</f>
        <v xml:space="preserve"> </v>
      </c>
      <c r="L57" s="1" t="str">
        <f>_xlfn.IFNA(VLOOKUP(J57,'MCIA Cases'!$A$2:$R$1091,17,FALSE)," ")</f>
        <v xml:space="preserve"> </v>
      </c>
      <c r="M57" s="7" t="str">
        <f>_xlfn.IFNA(VLOOKUP(J57,'MCIA Cases'!$A$2:$R$1091,3,FALSE)," ")</f>
        <v xml:space="preserve"> </v>
      </c>
      <c r="N57" s="1" t="str">
        <f>IF(COUNTIF('MCIA Corrective Actions'!$A:$A,J57)=0," ",COUNTIF('MCIA Corrective Actions'!$A:$A,J57))</f>
        <v xml:space="preserve"> </v>
      </c>
      <c r="O57" s="1" t="str">
        <f>IF(COUNTIF('MCIA Corrective Actions'!$A:$A,J57)=0," ",COUNTIFS('MCIA Corrective Actions'!$A:$A,J57,'MCIA Corrective Actions'!N:N,"Yes"))</f>
        <v xml:space="preserve"> </v>
      </c>
      <c r="U57" s="176">
        <f t="shared" ref="U57:U72" si="11">IF(D57&gt;0, 1, 0)</f>
        <v>1</v>
      </c>
      <c r="V57" s="176">
        <f t="shared" ref="V57:V72" si="12">IF(L57=" ", 0, 1)</f>
        <v>0</v>
      </c>
      <c r="W57" s="176">
        <f t="shared" ref="W57:W72" si="13">IF(U57+V57=2,1,0)</f>
        <v>0</v>
      </c>
    </row>
    <row r="58" spans="1:23" ht="30" x14ac:dyDescent="0.25">
      <c r="A58" s="7">
        <v>280</v>
      </c>
      <c r="B58" s="109" t="str">
        <f>VLOOKUP($A58,Table1[['#]:[Vessel]],4,FALSE)</f>
        <v>Alaska</v>
      </c>
      <c r="C58" s="143">
        <f>VLOOKUP($A58,Table1[['#]:[Date]],3,FALSE)</f>
        <v>44473</v>
      </c>
      <c r="D58" s="110">
        <f>VLOOKUP($A58,Table1[['#]:[Hours]],7,FALSE)</f>
        <v>58.5</v>
      </c>
      <c r="E58" s="110" t="str">
        <f>VLOOKUP($A58,Table1[['#]:[System]],8,FALSE)&amp;" / "&amp;VLOOKUP($A58,Table1[['#]:[Subsystem]],9,FALSE)</f>
        <v>Spuds / Xmass Tree / SCR Drive</v>
      </c>
      <c r="F58" s="110" t="str">
        <f>VLOOKUP($A58,Table1[['#]:[Delay Log Notes]],11,FALSE)</f>
        <v>None</v>
      </c>
      <c r="G58" s="109">
        <f>VLOOKUP($A58,Table1[['#]:[Work Order '#]],10,FALSE)</f>
        <v>4811264</v>
      </c>
      <c r="H58" s="110" t="str">
        <f>IF(G58="None"," ",VLOOKUP($A58,Table1[['#]:[Work Order Title]],12,FALSE))</f>
        <v>Troubeshoot and repair spud drive</v>
      </c>
      <c r="I58" s="112" t="str">
        <f>_xlfn.IFNA(VLOOKUP(J58,'MCIA Cases'!$A$2:$R$1091,12,FALSE)," ")</f>
        <v xml:space="preserve"> </v>
      </c>
      <c r="J58" s="175"/>
      <c r="K58" s="7" t="str">
        <f>_xlfn.IFNA(VLOOKUP(J58,'MCIA Cases'!$A$2:$AG$1091,2,FALSE)," ")</f>
        <v xml:space="preserve"> </v>
      </c>
      <c r="L58" s="1" t="str">
        <f>_xlfn.IFNA(VLOOKUP(J58,'MCIA Cases'!$A$2:$R$1091,17,FALSE)," ")</f>
        <v xml:space="preserve"> </v>
      </c>
      <c r="M58" s="7" t="str">
        <f>_xlfn.IFNA(VLOOKUP(J58,'MCIA Cases'!$A$2:$R$1091,3,FALSE)," ")</f>
        <v xml:space="preserve"> </v>
      </c>
      <c r="N58" s="1" t="str">
        <f>IF(COUNTIF('MCIA Corrective Actions'!$A:$A,J58)=0," ",COUNTIF('MCIA Corrective Actions'!$A:$A,J58))</f>
        <v xml:space="preserve"> </v>
      </c>
      <c r="O58" s="1" t="str">
        <f>IF(COUNTIF('MCIA Corrective Actions'!$A:$A,J58)=0," ",COUNTIFS('MCIA Corrective Actions'!$A:$A,J58,'MCIA Corrective Actions'!N:N,"Yes"))</f>
        <v xml:space="preserve"> </v>
      </c>
      <c r="U58" s="176">
        <f t="shared" si="11"/>
        <v>1</v>
      </c>
      <c r="V58" s="176">
        <f t="shared" si="12"/>
        <v>0</v>
      </c>
      <c r="W58" s="176">
        <f t="shared" si="13"/>
        <v>0</v>
      </c>
    </row>
    <row r="59" spans="1:23" ht="30" x14ac:dyDescent="0.25">
      <c r="A59" s="7">
        <v>281</v>
      </c>
      <c r="B59" s="109" t="str">
        <f>VLOOKUP($A59,Table1[['#]:[Vessel]],4,FALSE)</f>
        <v>New York</v>
      </c>
      <c r="C59" s="143">
        <f>VLOOKUP($A59,Table1[['#]:[Date]],3,FALSE)</f>
        <v>44474</v>
      </c>
      <c r="D59" s="110">
        <f>VLOOKUP($A59,Table1[['#]:[Hours]],7,FALSE)</f>
        <v>68.484722222085111</v>
      </c>
      <c r="E59" s="110" t="str">
        <f>VLOOKUP($A59,Table1[['#]:[System]],8,FALSE)&amp;" / "&amp;VLOOKUP($A59,Table1[['#]:[Subsystem]],9,FALSE)</f>
        <v>Main/Aux Generators / PP1</v>
      </c>
      <c r="F59" s="110" t="str">
        <f>VLOOKUP($A59,Table1[['#]:[Delay Log Notes]],11,FALSE)</f>
        <v>spudded down in inner harbor for work to PP1 and Gen 1/inspections</v>
      </c>
      <c r="G59" s="109">
        <f>VLOOKUP($A59,Table1[['#]:[Work Order '#]],10,FALSE)</f>
        <v>4811241</v>
      </c>
      <c r="H59" s="110" t="str">
        <f>IF(G59="None"," ",VLOOKUP($A59,Table1[['#]:[Work Order Title]],12,FALSE))</f>
        <v>Weld up cracking on bucket</v>
      </c>
      <c r="I59" s="112" t="str">
        <f>_xlfn.IFNA(VLOOKUP(J59,'MCIA Cases'!$A$2:$R$1091,12,FALSE)," ")</f>
        <v xml:space="preserve"> </v>
      </c>
      <c r="J59" s="175"/>
      <c r="K59" s="7" t="str">
        <f>_xlfn.IFNA(VLOOKUP(J59,'MCIA Cases'!$A$2:$AG$1091,2,FALSE)," ")</f>
        <v xml:space="preserve"> </v>
      </c>
      <c r="L59" s="1" t="str">
        <f>_xlfn.IFNA(VLOOKUP(J59,'MCIA Cases'!$A$2:$R$1091,17,FALSE)," ")</f>
        <v xml:space="preserve"> </v>
      </c>
      <c r="M59" s="7" t="str">
        <f>_xlfn.IFNA(VLOOKUP(J59,'MCIA Cases'!$A$2:$R$1091,3,FALSE)," ")</f>
        <v xml:space="preserve"> </v>
      </c>
      <c r="N59" s="1" t="str">
        <f>IF(COUNTIF('MCIA Corrective Actions'!$A:$A,J59)=0," ",COUNTIF('MCIA Corrective Actions'!$A:$A,J59))</f>
        <v xml:space="preserve"> </v>
      </c>
      <c r="O59" s="1" t="str">
        <f>IF(COUNTIF('MCIA Corrective Actions'!$A:$A,J59)=0," ",COUNTIFS('MCIA Corrective Actions'!$A:$A,J59,'MCIA Corrective Actions'!N:N,"Yes"))</f>
        <v xml:space="preserve"> </v>
      </c>
      <c r="U59" s="176">
        <f t="shared" si="11"/>
        <v>1</v>
      </c>
      <c r="V59" s="176">
        <f t="shared" si="12"/>
        <v>0</v>
      </c>
      <c r="W59" s="176">
        <f t="shared" si="13"/>
        <v>0</v>
      </c>
    </row>
    <row r="60" spans="1:23" x14ac:dyDescent="0.25">
      <c r="A60" s="7">
        <v>282</v>
      </c>
      <c r="B60" s="109" t="str">
        <f>VLOOKUP($A60,Table1[['#]:[Vessel]],4,FALSE)</f>
        <v>Sandpiper</v>
      </c>
      <c r="C60" s="143">
        <f>VLOOKUP($A60,Table1[['#]:[Date]],3,FALSE)</f>
        <v>44475</v>
      </c>
      <c r="D60" s="110">
        <f>VLOOKUP($A60,Table1[['#]:[Hours]],7,FALSE)</f>
        <v>24.423888888792135</v>
      </c>
      <c r="E60" s="110" t="str">
        <f>VLOOKUP($A60,Table1[['#]:[System]],8,FALSE)&amp;" / "&amp;VLOOKUP($A60,Table1[['#]:[Subsystem]],9,FALSE)</f>
        <v>Swing System / Winch System</v>
      </c>
      <c r="F60" s="110" t="str">
        <f>VLOOKUP($A60,Table1[['#]:[Delay Log Notes]],11,FALSE)</f>
        <v>SWING WINCH HYDRAULIC PUMP ISSUES</v>
      </c>
      <c r="G60" s="109" t="str">
        <f>VLOOKUP($A60,Table1[['#]:[Work Order '#]],10,FALSE)</f>
        <v>None</v>
      </c>
      <c r="H60" s="110" t="str">
        <f>IF(G60="None"," ",VLOOKUP($A60,Table1[['#]:[Work Order Title]],12,FALSE))</f>
        <v xml:space="preserve"> </v>
      </c>
      <c r="I60" s="112" t="str">
        <f>_xlfn.IFNA(VLOOKUP(J60,'MCIA Cases'!$A$2:$R$1091,12,FALSE)," ")</f>
        <v xml:space="preserve"> </v>
      </c>
      <c r="J60" s="175"/>
      <c r="K60" s="7" t="str">
        <f>_xlfn.IFNA(VLOOKUP(J60,'MCIA Cases'!$A$2:$AG$1091,2,FALSE)," ")</f>
        <v xml:space="preserve"> </v>
      </c>
      <c r="L60" s="1" t="str">
        <f>_xlfn.IFNA(VLOOKUP(J60,'MCIA Cases'!$A$2:$R$1091,17,FALSE)," ")</f>
        <v xml:space="preserve"> </v>
      </c>
      <c r="M60" s="7" t="str">
        <f>_xlfn.IFNA(VLOOKUP(J60,'MCIA Cases'!$A$2:$R$1091,3,FALSE)," ")</f>
        <v xml:space="preserve"> </v>
      </c>
      <c r="N60" s="1" t="str">
        <f>IF(COUNTIF('MCIA Corrective Actions'!$A:$A,J60)=0," ",COUNTIF('MCIA Corrective Actions'!$A:$A,J60))</f>
        <v xml:space="preserve"> </v>
      </c>
      <c r="O60" s="1" t="str">
        <f>IF(COUNTIF('MCIA Corrective Actions'!$A:$A,J60)=0," ",COUNTIFS('MCIA Corrective Actions'!$A:$A,J60,'MCIA Corrective Actions'!N:N,"Yes"))</f>
        <v xml:space="preserve"> </v>
      </c>
      <c r="U60" s="176">
        <f t="shared" si="11"/>
        <v>1</v>
      </c>
      <c r="V60" s="176">
        <f t="shared" si="12"/>
        <v>0</v>
      </c>
      <c r="W60" s="176">
        <f t="shared" si="13"/>
        <v>0</v>
      </c>
    </row>
    <row r="61" spans="1:23" x14ac:dyDescent="0.25">
      <c r="A61" s="7">
        <v>283</v>
      </c>
      <c r="B61" s="109">
        <f>VLOOKUP($A61,Table1[['#]:[Vessel]],4,FALSE)</f>
        <v>54</v>
      </c>
      <c r="C61" s="143">
        <f>VLOOKUP($A61,Table1[['#]:[Date]],3,FALSE)</f>
        <v>44479</v>
      </c>
      <c r="D61" s="110">
        <f>VLOOKUP($A61,Table1[['#]:[Hours]],7,FALSE)</f>
        <v>35.85805555555271</v>
      </c>
      <c r="E61" s="110" t="str">
        <f>VLOOKUP($A61,Table1[['#]:[System]],8,FALSE)&amp;" / "&amp;VLOOKUP($A61,Table1[['#]:[Subsystem]],9,FALSE)</f>
        <v>Spud System / Spud Wires</v>
      </c>
      <c r="F61" s="110" t="str">
        <f>VLOOKUP($A61,Table1[['#]:[Delay Log Notes]],11,FALSE)</f>
        <v>Stern spud wire about to break</v>
      </c>
      <c r="G61" s="109">
        <f>VLOOKUP($A61,Table1[['#]:[Work Order '#]],10,FALSE)</f>
        <v>4811448</v>
      </c>
      <c r="H61" s="110" t="str">
        <f>IF(G61="None"," ",VLOOKUP($A61,Table1[['#]:[Work Order Title]],12,FALSE))</f>
        <v>Change bottom spud wire</v>
      </c>
      <c r="I61" s="112" t="str">
        <f>_xlfn.IFNA(VLOOKUP(J61,'MCIA Cases'!$A$2:$R$1091,12,FALSE)," ")</f>
        <v xml:space="preserve"> </v>
      </c>
      <c r="J61" s="175"/>
      <c r="K61" s="7" t="str">
        <f>_xlfn.IFNA(VLOOKUP(J61,'MCIA Cases'!$A$2:$AG$1091,2,FALSE)," ")</f>
        <v xml:space="preserve"> </v>
      </c>
      <c r="L61" s="1" t="str">
        <f>_xlfn.IFNA(VLOOKUP(J61,'MCIA Cases'!$A$2:$R$1091,17,FALSE)," ")</f>
        <v xml:space="preserve"> </v>
      </c>
      <c r="M61" s="7" t="str">
        <f>_xlfn.IFNA(VLOOKUP(J61,'MCIA Cases'!$A$2:$R$1091,3,FALSE)," ")</f>
        <v xml:space="preserve"> </v>
      </c>
      <c r="N61" s="1" t="str">
        <f>IF(COUNTIF('MCIA Corrective Actions'!$A:$A,J61)=0," ",COUNTIF('MCIA Corrective Actions'!$A:$A,J61))</f>
        <v xml:space="preserve"> </v>
      </c>
      <c r="O61" s="1" t="str">
        <f>IF(COUNTIF('MCIA Corrective Actions'!$A:$A,J61)=0," ",COUNTIFS('MCIA Corrective Actions'!$A:$A,J61,'MCIA Corrective Actions'!N:N,"Yes"))</f>
        <v xml:space="preserve"> </v>
      </c>
      <c r="U61" s="176">
        <f t="shared" si="11"/>
        <v>1</v>
      </c>
      <c r="V61" s="176">
        <f t="shared" si="12"/>
        <v>0</v>
      </c>
      <c r="W61" s="176">
        <f t="shared" si="13"/>
        <v>0</v>
      </c>
    </row>
    <row r="62" spans="1:23" ht="30" hidden="1" x14ac:dyDescent="0.25">
      <c r="A62" s="7">
        <v>284</v>
      </c>
      <c r="B62" s="109" t="str">
        <f>VLOOKUP($A62,Table1[['#]:[Vessel]],4,FALSE)</f>
        <v>Liberty Island</v>
      </c>
      <c r="C62" s="143">
        <f>VLOOKUP($A62,Table1[['#]:[Date]],3,FALSE)</f>
        <v>44484</v>
      </c>
      <c r="D62" s="110">
        <f>VLOOKUP($A62,Table1[['#]:[Hours]],7,FALSE)</f>
        <v>23.999722222157288</v>
      </c>
      <c r="E62" s="110" t="str">
        <f>VLOOKUP($A62,Table1[['#]:[System]],8,FALSE)&amp;" / "&amp;VLOOKUP($A62,Table1[['#]:[Subsystem]],9,FALSE)</f>
        <v>Main Engine/Propulsion / Other</v>
      </c>
      <c r="F62" s="110" t="str">
        <f>VLOOKUP($A62,Table1[['#]:[Delay Log Notes]],11,FALSE)</f>
        <v>None</v>
      </c>
      <c r="G62" s="109">
        <f>VLOOKUP($A62,Table1[['#]:[Work Order '#]],10,FALSE)</f>
        <v>851480</v>
      </c>
      <c r="H62" s="110" t="str">
        <f>IF(G62="None"," ",VLOOKUP($A62,Table1[['#]:[Work Order Title]],12,FALSE))</f>
        <v>Port Main Engine inboard and outboard turbo failure</v>
      </c>
      <c r="I62" s="112" t="str">
        <f>_xlfn.IFNA(VLOOKUP(J62,'MCIA Cases'!$A$2:$R$1091,12,FALSE)," ")</f>
        <v>Ready for Edits</v>
      </c>
      <c r="J62" s="112">
        <v>418</v>
      </c>
      <c r="K62" s="7" t="str">
        <f>_xlfn.IFNA(VLOOKUP(J62,'MCIA Cases'!$A$2:$AG$1091,2,FALSE)," ")</f>
        <v>Liberty Island Turbo Failure</v>
      </c>
      <c r="L62" s="1" t="str">
        <f>_xlfn.IFNA(VLOOKUP(J62,'MCIA Cases'!$A$2:$R$1091,17,FALSE)," ")</f>
        <v>10/14/2021</v>
      </c>
      <c r="M62" s="7" t="str">
        <f>_xlfn.IFNA(VLOOKUP(J62,'MCIA Cases'!$A$2:$R$1091,3,FALSE)," ")</f>
        <v>Mike  Gerlach</v>
      </c>
      <c r="N62" s="1" t="str">
        <f>IF(COUNTIF('MCIA Corrective Actions'!$A:$A,J62)=0," ",COUNTIF('MCIA Corrective Actions'!$A:$A,J62))</f>
        <v xml:space="preserve"> </v>
      </c>
      <c r="O62" s="1" t="str">
        <f>IF(COUNTIF('MCIA Corrective Actions'!$A:$A,J62)=0," ",COUNTIFS('MCIA Corrective Actions'!$A:$A,J62,'MCIA Corrective Actions'!N:N,"Yes"))</f>
        <v xml:space="preserve"> </v>
      </c>
      <c r="U62" s="176">
        <f t="shared" si="11"/>
        <v>1</v>
      </c>
      <c r="V62" s="176">
        <f t="shared" si="12"/>
        <v>1</v>
      </c>
      <c r="W62" s="176">
        <f t="shared" si="13"/>
        <v>1</v>
      </c>
    </row>
    <row r="63" spans="1:23" x14ac:dyDescent="0.25">
      <c r="A63" s="7">
        <v>285</v>
      </c>
      <c r="B63" s="109" t="str">
        <f>VLOOKUP($A63,Table1[['#]:[Vessel]],4,FALSE)</f>
        <v>Ellis Island</v>
      </c>
      <c r="C63" s="143">
        <f>VLOOKUP($A63,Table1[['#]:[Date]],3,FALSE)</f>
        <v>44490</v>
      </c>
      <c r="D63" s="110">
        <f>VLOOKUP($A63,Table1[['#]:[Hours]],7,FALSE)</f>
        <v>68.966666666732635</v>
      </c>
      <c r="E63" s="110" t="str">
        <f>VLOOKUP($A63,Table1[['#]:[System]],8,FALSE)&amp;" / "&amp;VLOOKUP($A63,Table1[['#]:[Subsystem]],9,FALSE)</f>
        <v>Gimbal Hoist / Wires</v>
      </c>
      <c r="F63" s="110" t="str">
        <f>VLOOKUP($A63,Table1[['#]:[Delay Log Notes]],11,FALSE)</f>
        <v>None</v>
      </c>
      <c r="G63" s="109">
        <f>VLOOKUP($A63,Table1[['#]:[Work Order '#]],10,FALSE)</f>
        <v>4272235</v>
      </c>
      <c r="H63" s="110" t="str">
        <f>IF(G63="None"," ",VLOOKUP($A63,Table1[['#]:[Work Order Title]],12,FALSE))</f>
        <v>Stbd gimbal wire retrieval</v>
      </c>
      <c r="I63" s="112" t="str">
        <f>_xlfn.IFNA(VLOOKUP(J63,'MCIA Cases'!$A$2:$R$1091,12,FALSE)," ")</f>
        <v xml:space="preserve"> </v>
      </c>
      <c r="J63" s="175"/>
      <c r="K63" s="7" t="str">
        <f>_xlfn.IFNA(VLOOKUP(J63,'MCIA Cases'!$A$2:$AG$1091,2,FALSE)," ")</f>
        <v xml:space="preserve"> </v>
      </c>
      <c r="L63" s="1" t="str">
        <f>_xlfn.IFNA(VLOOKUP(J63,'MCIA Cases'!$A$2:$R$1091,17,FALSE)," ")</f>
        <v xml:space="preserve"> </v>
      </c>
      <c r="M63" s="7" t="str">
        <f>_xlfn.IFNA(VLOOKUP(J63,'MCIA Cases'!$A$2:$R$1091,3,FALSE)," ")</f>
        <v xml:space="preserve"> </v>
      </c>
      <c r="N63" s="1" t="str">
        <f>IF(COUNTIF('MCIA Corrective Actions'!$A:$A,J63)=0," ",COUNTIF('MCIA Corrective Actions'!$A:$A,J63))</f>
        <v xml:space="preserve"> </v>
      </c>
      <c r="O63" s="1" t="str">
        <f>IF(COUNTIF('MCIA Corrective Actions'!$A:$A,J63)=0," ",COUNTIFS('MCIA Corrective Actions'!$A:$A,J63,'MCIA Corrective Actions'!N:N,"Yes"))</f>
        <v xml:space="preserve"> </v>
      </c>
      <c r="U63" s="176">
        <f t="shared" si="11"/>
        <v>1</v>
      </c>
      <c r="V63" s="176">
        <f t="shared" si="12"/>
        <v>0</v>
      </c>
      <c r="W63" s="176">
        <f t="shared" si="13"/>
        <v>0</v>
      </c>
    </row>
    <row r="64" spans="1:23" ht="30" x14ac:dyDescent="0.25">
      <c r="A64" s="7">
        <v>286</v>
      </c>
      <c r="B64" s="109" t="str">
        <f>VLOOKUP($A64,Table1[['#]:[Vessel]],4,FALSE)</f>
        <v>Ellis Island</v>
      </c>
      <c r="C64" s="143">
        <f>VLOOKUP($A64,Table1[['#]:[Date]],3,FALSE)</f>
        <v>44498</v>
      </c>
      <c r="D64" s="110">
        <f>VLOOKUP($A64,Table1[['#]:[Hours]],7,FALSE)</f>
        <v>69.683055555447936</v>
      </c>
      <c r="E64" s="110" t="str">
        <f>VLOOKUP($A64,Table1[['#]:[System]],8,FALSE)&amp;" / "&amp;VLOOKUP($A64,Table1[['#]:[Subsystem]],9,FALSE)</f>
        <v>Other / Electrical</v>
      </c>
      <c r="F64" s="110" t="str">
        <f>VLOOKUP($A64,Table1[['#]:[Delay Log Notes]],11,FALSE)</f>
        <v>Ellis Drag Head Computer Fried - Needs to be remoted into</v>
      </c>
      <c r="G64" s="109" t="str">
        <f>VLOOKUP($A64,Table1[['#]:[Work Order '#]],10,FALSE)</f>
        <v>None</v>
      </c>
      <c r="H64" s="110" t="str">
        <f>IF(G64="None"," ",VLOOKUP($A64,Table1[['#]:[Work Order Title]],12,FALSE))</f>
        <v xml:space="preserve"> </v>
      </c>
      <c r="I64" s="112" t="str">
        <f>_xlfn.IFNA(VLOOKUP(J64,'MCIA Cases'!$A$2:$R$1091,12,FALSE)," ")</f>
        <v xml:space="preserve"> </v>
      </c>
      <c r="J64" s="175"/>
      <c r="K64" s="7" t="str">
        <f>_xlfn.IFNA(VLOOKUP(J64,'MCIA Cases'!$A$2:$AG$1091,2,FALSE)," ")</f>
        <v xml:space="preserve"> </v>
      </c>
      <c r="L64" s="1" t="str">
        <f>_xlfn.IFNA(VLOOKUP(J64,'MCIA Cases'!$A$2:$R$1091,17,FALSE)," ")</f>
        <v xml:space="preserve"> </v>
      </c>
      <c r="M64" s="7" t="str">
        <f>_xlfn.IFNA(VLOOKUP(J64,'MCIA Cases'!$A$2:$R$1091,3,FALSE)," ")</f>
        <v xml:space="preserve"> </v>
      </c>
      <c r="N64" s="1" t="str">
        <f>IF(COUNTIF('MCIA Corrective Actions'!$A:$A,J64)=0," ",COUNTIF('MCIA Corrective Actions'!$A:$A,J64))</f>
        <v xml:space="preserve"> </v>
      </c>
      <c r="O64" s="1" t="str">
        <f>IF(COUNTIF('MCIA Corrective Actions'!$A:$A,J64)=0," ",COUNTIFS('MCIA Corrective Actions'!$A:$A,J64,'MCIA Corrective Actions'!N:N,"Yes"))</f>
        <v xml:space="preserve"> </v>
      </c>
      <c r="U64" s="176">
        <f t="shared" si="11"/>
        <v>1</v>
      </c>
      <c r="V64" s="176">
        <f t="shared" si="12"/>
        <v>0</v>
      </c>
      <c r="W64" s="176">
        <f t="shared" si="13"/>
        <v>0</v>
      </c>
    </row>
    <row r="65" spans="1:23" x14ac:dyDescent="0.25">
      <c r="A65" s="7">
        <v>287</v>
      </c>
      <c r="B65" s="109" t="str">
        <f>VLOOKUP($A65,Table1[['#]:[Vessel]],4,FALSE)</f>
        <v>Carolina</v>
      </c>
      <c r="C65" s="143">
        <f>VLOOKUP($A65,Table1[['#]:[Date]],3,FALSE)</f>
        <v>44498</v>
      </c>
      <c r="D65" s="110">
        <f>VLOOKUP($A65,Table1[['#]:[Hours]],7,FALSE)</f>
        <v>35.550833333458286</v>
      </c>
      <c r="E65" s="110" t="str">
        <f>VLOOKUP($A65,Table1[['#]:[System]],8,FALSE)&amp;" / "&amp;VLOOKUP($A65,Table1[['#]:[Subsystem]],9,FALSE)</f>
        <v>Swing System / Winch System</v>
      </c>
      <c r="F65" s="110" t="str">
        <f>VLOOKUP($A65,Table1[['#]:[Delay Log Notes]],11,FALSE)</f>
        <v>None</v>
      </c>
      <c r="G65" s="109" t="str">
        <f>VLOOKUP($A65,Table1[['#]:[Work Order '#]],10,FALSE)</f>
        <v>None</v>
      </c>
      <c r="H65" s="110" t="str">
        <f>IF(G65="None"," ",VLOOKUP($A65,Table1[['#]:[Work Order Title]],12,FALSE))</f>
        <v xml:space="preserve"> </v>
      </c>
      <c r="I65" s="112" t="str">
        <f>_xlfn.IFNA(VLOOKUP(J65,'MCIA Cases'!$A$2:$R$1091,12,FALSE)," ")</f>
        <v xml:space="preserve"> </v>
      </c>
      <c r="J65" s="175"/>
      <c r="K65" s="7" t="str">
        <f>_xlfn.IFNA(VLOOKUP(J65,'MCIA Cases'!$A$2:$AG$1091,2,FALSE)," ")</f>
        <v xml:space="preserve"> </v>
      </c>
      <c r="L65" s="1" t="str">
        <f>_xlfn.IFNA(VLOOKUP(J65,'MCIA Cases'!$A$2:$R$1091,17,FALSE)," ")</f>
        <v xml:space="preserve"> </v>
      </c>
      <c r="M65" s="7" t="str">
        <f>_xlfn.IFNA(VLOOKUP(J65,'MCIA Cases'!$A$2:$R$1091,3,FALSE)," ")</f>
        <v xml:space="preserve"> </v>
      </c>
      <c r="N65" s="1" t="str">
        <f>IF(COUNTIF('MCIA Corrective Actions'!$A:$A,J65)=0," ",COUNTIF('MCIA Corrective Actions'!$A:$A,J65))</f>
        <v xml:space="preserve"> </v>
      </c>
      <c r="O65" s="1" t="str">
        <f>IF(COUNTIF('MCIA Corrective Actions'!$A:$A,J65)=0," ",COUNTIFS('MCIA Corrective Actions'!$A:$A,J65,'MCIA Corrective Actions'!N:N,"Yes"))</f>
        <v xml:space="preserve"> </v>
      </c>
      <c r="U65" s="176">
        <f t="shared" si="11"/>
        <v>1</v>
      </c>
      <c r="V65" s="176">
        <f t="shared" si="12"/>
        <v>0</v>
      </c>
      <c r="W65" s="176">
        <f t="shared" si="13"/>
        <v>0</v>
      </c>
    </row>
    <row r="66" spans="1:23" ht="45" x14ac:dyDescent="0.25">
      <c r="A66" s="7">
        <v>288</v>
      </c>
      <c r="B66" s="109" t="str">
        <f>VLOOKUP($A66,Table1[['#]:[Vessel]],4,FALSE)</f>
        <v>Liberty Island</v>
      </c>
      <c r="C66" s="143">
        <f>VLOOKUP($A66,Table1[['#]:[Date]],3,FALSE)</f>
        <v>44499</v>
      </c>
      <c r="D66" s="110">
        <f>VLOOKUP($A66,Table1[['#]:[Hours]],7,FALSE)</f>
        <v>232.4</v>
      </c>
      <c r="E66" s="110" t="str">
        <f>VLOOKUP($A66,Table1[['#]:[System]],8,FALSE)&amp;" / "&amp;VLOOKUP($A66,Table1[['#]:[Subsystem]],9,FALSE)</f>
        <v>Steering / Rudder</v>
      </c>
      <c r="F66" s="110" t="str">
        <f>VLOOKUP($A66,Table1[['#]:[Delay Log Notes]],11,FALSE)</f>
        <v>STB rudder non-responsive</v>
      </c>
      <c r="G66" s="109">
        <f>VLOOKUP($A66,Table1[['#]:[Work Order '#]],10,FALSE)</f>
        <v>851525</v>
      </c>
      <c r="H66" s="110" t="str">
        <f>IF(G66="None"," ",VLOOKUP($A66,Table1[['#]:[Work Order Title]],12,FALSE))</f>
        <v>Troubleshooting P/S Steering Gear Systems rudder control</v>
      </c>
      <c r="I66" s="112" t="str">
        <f>_xlfn.IFNA(VLOOKUP(J66,'MCIA Cases'!$A$2:$R$1091,12,FALSE)," ")</f>
        <v xml:space="preserve"> </v>
      </c>
      <c r="J66" s="175"/>
      <c r="K66" s="7" t="str">
        <f>_xlfn.IFNA(VLOOKUP(J66,'MCIA Cases'!$A$2:$AG$1091,2,FALSE)," ")</f>
        <v xml:space="preserve"> </v>
      </c>
      <c r="L66" s="1" t="str">
        <f>_xlfn.IFNA(VLOOKUP(J66,'MCIA Cases'!$A$2:$R$1091,17,FALSE)," ")</f>
        <v xml:space="preserve"> </v>
      </c>
      <c r="M66" s="7" t="str">
        <f>_xlfn.IFNA(VLOOKUP(J66,'MCIA Cases'!$A$2:$R$1091,3,FALSE)," ")</f>
        <v xml:space="preserve"> </v>
      </c>
      <c r="N66" s="1" t="str">
        <f>IF(COUNTIF('MCIA Corrective Actions'!$A:$A,J66)=0," ",COUNTIF('MCIA Corrective Actions'!$A:$A,J66))</f>
        <v xml:space="preserve"> </v>
      </c>
      <c r="O66" s="1" t="str">
        <f>IF(COUNTIF('MCIA Corrective Actions'!$A:$A,J66)=0," ",COUNTIFS('MCIA Corrective Actions'!$A:$A,J66,'MCIA Corrective Actions'!N:N,"Yes"))</f>
        <v xml:space="preserve"> </v>
      </c>
      <c r="U66" s="176">
        <f t="shared" si="11"/>
        <v>1</v>
      </c>
      <c r="V66" s="176">
        <f t="shared" si="12"/>
        <v>0</v>
      </c>
      <c r="W66" s="176">
        <f t="shared" si="13"/>
        <v>0</v>
      </c>
    </row>
    <row r="67" spans="1:23" x14ac:dyDescent="0.25">
      <c r="A67" s="7">
        <v>289</v>
      </c>
      <c r="B67" s="109" t="str">
        <f>VLOOKUP($A67,Table1[['#]:[Vessel]],4,FALSE)</f>
        <v>Alaska</v>
      </c>
      <c r="C67" s="143">
        <f>VLOOKUP($A67,Table1[['#]:[Date]],3,FALSE)</f>
        <v>44513</v>
      </c>
      <c r="D67" s="110">
        <f>VLOOKUP($A67,Table1[['#]:[Hours]],7,FALSE)</f>
        <v>145.44638888875488</v>
      </c>
      <c r="E67" s="110" t="str">
        <f>VLOOKUP($A67,Table1[['#]:[System]],8,FALSE)&amp;" / "&amp;VLOOKUP($A67,Table1[['#]:[Subsystem]],9,FALSE)</f>
        <v>Ladder Pump / Motor / Engine</v>
      </c>
      <c r="F67" s="110" t="str">
        <f>VLOOKUP($A67,Table1[['#]:[Delay Log Notes]],11,FALSE)</f>
        <v>TRIPPING</v>
      </c>
      <c r="G67" s="109">
        <f>VLOOKUP($A67,Table1[['#]:[Work Order '#]],10,FALSE)</f>
        <v>1729030</v>
      </c>
      <c r="H67" s="110" t="str">
        <f>IF(G67="None"," ",VLOOKUP($A67,Table1[['#]:[Work Order Title]],12,FALSE))</f>
        <v>Remove the UWP Motor</v>
      </c>
      <c r="I67" s="112" t="str">
        <f>_xlfn.IFNA(VLOOKUP(J67,'MCIA Cases'!$A$2:$R$1091,12,FALSE)," ")</f>
        <v xml:space="preserve"> </v>
      </c>
      <c r="J67" s="175"/>
      <c r="K67" s="7" t="str">
        <f>_xlfn.IFNA(VLOOKUP(J67,'MCIA Cases'!$A$2:$AG$1091,2,FALSE)," ")</f>
        <v xml:space="preserve"> </v>
      </c>
      <c r="L67" s="1" t="str">
        <f>_xlfn.IFNA(VLOOKUP(J67,'MCIA Cases'!$A$2:$R$1091,17,FALSE)," ")</f>
        <v xml:space="preserve"> </v>
      </c>
      <c r="M67" s="7" t="str">
        <f>_xlfn.IFNA(VLOOKUP(J67,'MCIA Cases'!$A$2:$R$1091,3,FALSE)," ")</f>
        <v xml:space="preserve"> </v>
      </c>
      <c r="N67" s="1" t="str">
        <f>IF(COUNTIF('MCIA Corrective Actions'!$A:$A,J67)=0," ",COUNTIF('MCIA Corrective Actions'!$A:$A,J67))</f>
        <v xml:space="preserve"> </v>
      </c>
      <c r="O67" s="1" t="str">
        <f>IF(COUNTIF('MCIA Corrective Actions'!$A:$A,J67)=0," ",COUNTIFS('MCIA Corrective Actions'!$A:$A,J67,'MCIA Corrective Actions'!N:N,"Yes"))</f>
        <v xml:space="preserve"> </v>
      </c>
      <c r="U67" s="176">
        <f t="shared" si="11"/>
        <v>1</v>
      </c>
      <c r="V67" s="176">
        <f t="shared" si="12"/>
        <v>0</v>
      </c>
      <c r="W67" s="176">
        <f t="shared" si="13"/>
        <v>0</v>
      </c>
    </row>
    <row r="68" spans="1:23" ht="45" x14ac:dyDescent="0.25">
      <c r="A68" s="7">
        <v>290</v>
      </c>
      <c r="B68" s="109" t="str">
        <f>VLOOKUP($A68,Table1[['#]:[Vessel]],4,FALSE)</f>
        <v>Terrapin Island</v>
      </c>
      <c r="C68" s="143">
        <f>VLOOKUP($A68,Table1[['#]:[Date]],3,FALSE)</f>
        <v>44515</v>
      </c>
      <c r="D68" s="110">
        <f>VLOOKUP($A68,Table1[['#]:[Hours]],7,FALSE)</f>
        <v>61.156666666734964</v>
      </c>
      <c r="E68" s="110" t="str">
        <f>VLOOKUP($A68,Table1[['#]:[System]],8,FALSE)&amp;" / "&amp;VLOOKUP($A68,Table1[['#]:[Subsystem]],9,FALSE)</f>
        <v>Dredge Pump / Gland Seal</v>
      </c>
      <c r="F68" s="110" t="str">
        <f>VLOOKUP($A68,Table1[['#]:[Delay Log Notes]],11,FALSE)</f>
        <v>port pump gland seal, went to dock for repairs</v>
      </c>
      <c r="G68" s="109">
        <f>VLOOKUP($A68,Table1[['#]:[Work Order '#]],10,FALSE)</f>
        <v>4184180</v>
      </c>
      <c r="H68" s="110" t="str">
        <f>IF(G68="None"," ",VLOOKUP($A68,Table1[['#]:[Work Order Title]],12,FALSE))</f>
        <v>Impeller - Port dredge pump - Remove &amp; install for gland seal replacement</v>
      </c>
      <c r="I68" s="112" t="str">
        <f>_xlfn.IFNA(VLOOKUP(J68,'MCIA Cases'!$A$2:$R$1091,12,FALSE)," ")</f>
        <v xml:space="preserve"> </v>
      </c>
      <c r="J68" s="175"/>
      <c r="K68" s="7" t="str">
        <f>_xlfn.IFNA(VLOOKUP(J68,'MCIA Cases'!$A$2:$AG$1091,2,FALSE)," ")</f>
        <v xml:space="preserve"> </v>
      </c>
      <c r="L68" s="1" t="str">
        <f>_xlfn.IFNA(VLOOKUP(J68,'MCIA Cases'!$A$2:$R$1091,17,FALSE)," ")</f>
        <v xml:space="preserve"> </v>
      </c>
      <c r="M68" s="7" t="str">
        <f>_xlfn.IFNA(VLOOKUP(J68,'MCIA Cases'!$A$2:$R$1091,3,FALSE)," ")</f>
        <v xml:space="preserve"> </v>
      </c>
      <c r="N68" s="1" t="str">
        <f>IF(COUNTIF('MCIA Corrective Actions'!$A:$A,J68)=0," ",COUNTIF('MCIA Corrective Actions'!$A:$A,J68))</f>
        <v xml:space="preserve"> </v>
      </c>
      <c r="O68" s="1" t="str">
        <f>IF(COUNTIF('MCIA Corrective Actions'!$A:$A,J68)=0," ",COUNTIFS('MCIA Corrective Actions'!$A:$A,J68,'MCIA Corrective Actions'!N:N,"Yes"))</f>
        <v xml:space="preserve"> </v>
      </c>
      <c r="U68" s="176">
        <f t="shared" si="11"/>
        <v>1</v>
      </c>
      <c r="V68" s="176">
        <f t="shared" si="12"/>
        <v>0</v>
      </c>
      <c r="W68" s="176">
        <f t="shared" si="13"/>
        <v>0</v>
      </c>
    </row>
    <row r="69" spans="1:23" ht="30" x14ac:dyDescent="0.25">
      <c r="A69" s="7">
        <v>291</v>
      </c>
      <c r="B69" s="109" t="str">
        <f>VLOOKUP($A69,Table1[['#]:[Vessel]],4,FALSE)</f>
        <v>Carolina</v>
      </c>
      <c r="C69" s="143">
        <f>VLOOKUP($A69,Table1[['#]:[Date]],3,FALSE)</f>
        <v>44515</v>
      </c>
      <c r="D69" s="110">
        <f>VLOOKUP($A69,Table1[['#]:[Hours]],7,FALSE)</f>
        <v>55.011666666716337</v>
      </c>
      <c r="E69" s="110" t="str">
        <f>VLOOKUP($A69,Table1[['#]:[System]],8,FALSE)&amp;" / "&amp;VLOOKUP($A69,Table1[['#]:[Subsystem]],9,FALSE)</f>
        <v>Swing System / Swing Sheaves</v>
      </c>
      <c r="F69" s="110" t="str">
        <f>VLOOKUP($A69,Table1[['#]:[Delay Log Notes]],11,FALSE)</f>
        <v>stardboard side</v>
      </c>
      <c r="G69" s="109">
        <f>VLOOKUP($A69,Table1[['#]:[Work Order '#]],10,FALSE)</f>
        <v>4038991</v>
      </c>
      <c r="H69" s="110" t="str">
        <f>IF(G69="None"," ",VLOOKUP($A69,Table1[['#]:[Work Order Title]],12,FALSE))</f>
        <v>Make repairs to swing winch frame</v>
      </c>
      <c r="I69" s="112" t="str">
        <f>_xlfn.IFNA(VLOOKUP(J69,'MCIA Cases'!$A$2:$R$1091,12,FALSE)," ")</f>
        <v xml:space="preserve"> </v>
      </c>
      <c r="J69" s="175"/>
      <c r="K69" s="7" t="str">
        <f>_xlfn.IFNA(VLOOKUP(J69,'MCIA Cases'!$A$2:$AG$1091,2,FALSE)," ")</f>
        <v xml:space="preserve"> </v>
      </c>
      <c r="L69" s="1" t="str">
        <f>_xlfn.IFNA(VLOOKUP(J69,'MCIA Cases'!$A$2:$R$1091,17,FALSE)," ")</f>
        <v xml:space="preserve"> </v>
      </c>
      <c r="M69" s="7" t="str">
        <f>_xlfn.IFNA(VLOOKUP(J69,'MCIA Cases'!$A$2:$R$1091,3,FALSE)," ")</f>
        <v xml:space="preserve"> </v>
      </c>
      <c r="N69" s="1" t="str">
        <f>IF(COUNTIF('MCIA Corrective Actions'!$A:$A,J69)=0," ",COUNTIF('MCIA Corrective Actions'!$A:$A,J69))</f>
        <v xml:space="preserve"> </v>
      </c>
      <c r="O69" s="1" t="str">
        <f>IF(COUNTIF('MCIA Corrective Actions'!$A:$A,J69)=0," ",COUNTIFS('MCIA Corrective Actions'!$A:$A,J69,'MCIA Corrective Actions'!N:N,"Yes"))</f>
        <v xml:space="preserve"> </v>
      </c>
      <c r="U69" s="176">
        <f t="shared" si="11"/>
        <v>1</v>
      </c>
      <c r="V69" s="176">
        <f t="shared" si="12"/>
        <v>0</v>
      </c>
      <c r="W69" s="176">
        <f t="shared" si="13"/>
        <v>0</v>
      </c>
    </row>
    <row r="70" spans="1:23" ht="60" x14ac:dyDescent="0.25">
      <c r="A70" s="7">
        <v>292</v>
      </c>
      <c r="B70" s="109" t="str">
        <f>VLOOKUP($A70,Table1[['#]:[Vessel]],4,FALSE)</f>
        <v>Sandpiper</v>
      </c>
      <c r="C70" s="143">
        <f>VLOOKUP($A70,Table1[['#]:[Date]],3,FALSE)</f>
        <v>44519</v>
      </c>
      <c r="D70" s="110">
        <f>VLOOKUP($A70,Table1[['#]:[Hours]],7,FALSE)</f>
        <v>28.199999999895226</v>
      </c>
      <c r="E70" s="110" t="str">
        <f>VLOOKUP($A70,Table1[['#]:[System]],8,FALSE)&amp;" / "&amp;VLOOKUP($A70,Table1[['#]:[Subsystem]],9,FALSE)</f>
        <v>Main Pump / Engine / Motor</v>
      </c>
      <c r="F70" s="110" t="str">
        <f>VLOOKUP($A70,Table1[['#]:[Delay Log Notes]],11,FALSE)</f>
        <v>was cleaning out line when steel engine coolant fitting cracked causing antifreeze to leak in engine room. reweld fitting and get back to running</v>
      </c>
      <c r="G70" s="109" t="str">
        <f>VLOOKUP($A70,Table1[['#]:[Work Order '#]],10,FALSE)</f>
        <v>None</v>
      </c>
      <c r="H70" s="110" t="str">
        <f>IF(G70="None"," ",VLOOKUP($A70,Table1[['#]:[Work Order Title]],12,FALSE))</f>
        <v xml:space="preserve"> </v>
      </c>
      <c r="I70" s="112" t="str">
        <f>_xlfn.IFNA(VLOOKUP(J70,'MCIA Cases'!$A$2:$R$1091,12,FALSE)," ")</f>
        <v xml:space="preserve"> </v>
      </c>
      <c r="J70" s="175"/>
      <c r="K70" s="7" t="str">
        <f>_xlfn.IFNA(VLOOKUP(J70,'MCIA Cases'!$A$2:$AG$1091,2,FALSE)," ")</f>
        <v xml:space="preserve"> </v>
      </c>
      <c r="L70" s="1" t="str">
        <f>_xlfn.IFNA(VLOOKUP(J70,'MCIA Cases'!$A$2:$R$1091,17,FALSE)," ")</f>
        <v xml:space="preserve"> </v>
      </c>
      <c r="M70" s="7" t="str">
        <f>_xlfn.IFNA(VLOOKUP(J70,'MCIA Cases'!$A$2:$R$1091,3,FALSE)," ")</f>
        <v xml:space="preserve"> </v>
      </c>
      <c r="N70" s="1" t="str">
        <f>IF(COUNTIF('MCIA Corrective Actions'!$A:$A,J70)=0," ",COUNTIF('MCIA Corrective Actions'!$A:$A,J70))</f>
        <v xml:space="preserve"> </v>
      </c>
      <c r="O70" s="1" t="str">
        <f>IF(COUNTIF('MCIA Corrective Actions'!$A:$A,J70)=0," ",COUNTIFS('MCIA Corrective Actions'!$A:$A,J70,'MCIA Corrective Actions'!N:N,"Yes"))</f>
        <v xml:space="preserve"> </v>
      </c>
      <c r="U70" s="176">
        <f t="shared" si="11"/>
        <v>1</v>
      </c>
      <c r="V70" s="176">
        <f t="shared" si="12"/>
        <v>0</v>
      </c>
      <c r="W70" s="176">
        <f t="shared" si="13"/>
        <v>0</v>
      </c>
    </row>
    <row r="71" spans="1:23" x14ac:dyDescent="0.25">
      <c r="A71" s="7">
        <v>293</v>
      </c>
      <c r="B71" s="109" t="str">
        <f>VLOOKUP($A71,Table1[['#]:[Vessel]],4,FALSE)</f>
        <v>Iowa</v>
      </c>
      <c r="C71" s="143">
        <f>VLOOKUP($A71,Table1[['#]:[Date]],3,FALSE)</f>
        <v>44520</v>
      </c>
      <c r="D71" s="110">
        <f>VLOOKUP($A71,Table1[['#]:[Hours]],7,FALSE)</f>
        <v>23.999444444314577</v>
      </c>
      <c r="E71" s="110" t="str">
        <f>VLOOKUP($A71,Table1[['#]:[System]],8,FALSE)&amp;" / "&amp;VLOOKUP($A71,Table1[['#]:[Subsystem]],9,FALSE)</f>
        <v>Ladder Pump / Bearings / Shafts</v>
      </c>
      <c r="F71" s="110" t="str">
        <f>VLOOKUP($A71,Table1[['#]:[Delay Log Notes]],11,FALSE)</f>
        <v>None</v>
      </c>
      <c r="G71" s="109" t="str">
        <f>VLOOKUP($A71,Table1[['#]:[Work Order '#]],10,FALSE)</f>
        <v>None</v>
      </c>
      <c r="H71" s="110" t="str">
        <f>IF(G71="None"," ",VLOOKUP($A71,Table1[['#]:[Work Order Title]],12,FALSE))</f>
        <v xml:space="preserve"> </v>
      </c>
      <c r="I71" s="112" t="str">
        <f>_xlfn.IFNA(VLOOKUP(J71,'MCIA Cases'!$A$2:$R$1091,12,FALSE)," ")</f>
        <v xml:space="preserve"> </v>
      </c>
      <c r="J71" s="175"/>
      <c r="K71" s="7" t="str">
        <f>_xlfn.IFNA(VLOOKUP(J71,'MCIA Cases'!$A$2:$AG$1091,2,FALSE)," ")</f>
        <v xml:space="preserve"> </v>
      </c>
      <c r="L71" s="1" t="str">
        <f>_xlfn.IFNA(VLOOKUP(J71,'MCIA Cases'!$A$2:$R$1091,17,FALSE)," ")</f>
        <v xml:space="preserve"> </v>
      </c>
      <c r="M71" s="7" t="str">
        <f>_xlfn.IFNA(VLOOKUP(J71,'MCIA Cases'!$A$2:$R$1091,3,FALSE)," ")</f>
        <v xml:space="preserve"> </v>
      </c>
      <c r="N71" s="1" t="str">
        <f>IF(COUNTIF('MCIA Corrective Actions'!$A:$A,J71)=0," ",COUNTIF('MCIA Corrective Actions'!$A:$A,J71))</f>
        <v xml:space="preserve"> </v>
      </c>
      <c r="O71" s="1" t="str">
        <f>IF(COUNTIF('MCIA Corrective Actions'!$A:$A,J71)=0," ",COUNTIFS('MCIA Corrective Actions'!$A:$A,J71,'MCIA Corrective Actions'!N:N,"Yes"))</f>
        <v xml:space="preserve"> </v>
      </c>
      <c r="U71" s="176">
        <f t="shared" si="11"/>
        <v>1</v>
      </c>
      <c r="V71" s="176">
        <f t="shared" si="12"/>
        <v>0</v>
      </c>
      <c r="W71" s="176">
        <f t="shared" si="13"/>
        <v>0</v>
      </c>
    </row>
    <row r="72" spans="1:23" x14ac:dyDescent="0.25">
      <c r="A72" s="7">
        <v>294</v>
      </c>
      <c r="B72" s="109" t="str">
        <f>VLOOKUP($A72,Table1[['#]:[Vessel]],4,FALSE)</f>
        <v>New York</v>
      </c>
      <c r="C72" s="143">
        <f>VLOOKUP($A72,Table1[['#]:[Date]],3,FALSE)</f>
        <v>44524</v>
      </c>
      <c r="D72" s="110">
        <f>VLOOKUP($A72,Table1[['#]:[Hours]],7,FALSE)</f>
        <v>83.253333333239425</v>
      </c>
      <c r="E72" s="110" t="str">
        <f>VLOOKUP($A72,Table1[['#]:[System]],8,FALSE)&amp;" / "&amp;VLOOKUP($A72,Table1[['#]:[Subsystem]],9,FALSE)</f>
        <v>Spud System / Spud Wires</v>
      </c>
      <c r="F72" s="110" t="str">
        <f>VLOOKUP($A72,Table1[['#]:[Delay Log Notes]],11,FALSE)</f>
        <v>Port spud repair</v>
      </c>
      <c r="G72" s="109">
        <f>VLOOKUP($A72,Table1[['#]:[Work Order '#]],10,FALSE)</f>
        <v>4812674</v>
      </c>
      <c r="H72" s="110" t="str">
        <f>IF(G72="None"," ",VLOOKUP($A72,Table1[['#]:[Work Order Title]],12,FALSE))</f>
        <v>Change Wire</v>
      </c>
      <c r="I72" s="112" t="str">
        <f>_xlfn.IFNA(VLOOKUP(J72,'MCIA Cases'!$A$2:$R$1091,12,FALSE)," ")</f>
        <v xml:space="preserve"> </v>
      </c>
      <c r="J72" s="175"/>
      <c r="K72" s="7" t="str">
        <f>_xlfn.IFNA(VLOOKUP(J72,'MCIA Cases'!$A$2:$AG$1091,2,FALSE)," ")</f>
        <v xml:space="preserve"> </v>
      </c>
      <c r="L72" s="1" t="str">
        <f>_xlfn.IFNA(VLOOKUP(J72,'MCIA Cases'!$A$2:$R$1091,17,FALSE)," ")</f>
        <v xml:space="preserve"> </v>
      </c>
      <c r="M72" s="7" t="str">
        <f>_xlfn.IFNA(VLOOKUP(J72,'MCIA Cases'!$A$2:$R$1091,3,FALSE)," ")</f>
        <v xml:space="preserve"> </v>
      </c>
      <c r="N72" s="1" t="str">
        <f>IF(COUNTIF('MCIA Corrective Actions'!$A:$A,J72)=0," ",COUNTIF('MCIA Corrective Actions'!$A:$A,J72))</f>
        <v xml:space="preserve"> </v>
      </c>
      <c r="O72" s="1" t="str">
        <f>IF(COUNTIF('MCIA Corrective Actions'!$A:$A,J72)=0," ",COUNTIFS('MCIA Corrective Actions'!$A:$A,J72,'MCIA Corrective Actions'!N:N,"Yes"))</f>
        <v xml:space="preserve"> </v>
      </c>
      <c r="U72" s="176">
        <f t="shared" si="11"/>
        <v>1</v>
      </c>
      <c r="V72" s="176">
        <f t="shared" si="12"/>
        <v>0</v>
      </c>
      <c r="W72" s="176">
        <f t="shared" si="13"/>
        <v>0</v>
      </c>
    </row>
    <row r="73" spans="1:23" ht="30" x14ac:dyDescent="0.25">
      <c r="A73" s="7">
        <v>295</v>
      </c>
      <c r="B73" s="109" t="str">
        <f>VLOOKUP($A73,Table1[['#]:[Vessel]],4,FALSE)</f>
        <v>Ohio</v>
      </c>
      <c r="C73" s="143">
        <f>VLOOKUP($A73,Table1[['#]:[Date]],3,FALSE)</f>
        <v>44524</v>
      </c>
      <c r="D73" s="110">
        <f>VLOOKUP($A73,Table1[['#]:[Hours]],7,FALSE)</f>
        <v>27.665833333390765</v>
      </c>
      <c r="E73" s="110" t="str">
        <f>VLOOKUP($A73,Table1[['#]:[System]],8,FALSE)&amp;" / "&amp;VLOOKUP($A73,Table1[['#]:[Subsystem]],9,FALSE)</f>
        <v>Spuds / Xmass Tree / Wires</v>
      </c>
      <c r="F73" s="110" t="str">
        <f>VLOOKUP($A73,Table1[['#]:[Delay Log Notes]],11,FALSE)</f>
        <v>Starboard breast wire broke while moving anchors.</v>
      </c>
      <c r="G73" s="109" t="str">
        <f>VLOOKUP($A73,Table1[['#]:[Work Order '#]],10,FALSE)</f>
        <v>None</v>
      </c>
      <c r="H73" s="110" t="str">
        <f>IF(G73="None"," ",VLOOKUP($A73,Table1[['#]:[Work Order Title]],12,FALSE))</f>
        <v xml:space="preserve"> </v>
      </c>
      <c r="I73" s="112" t="str">
        <f>_xlfn.IFNA(VLOOKUP(J73,'MCIA Cases'!$A$2:$R$1091,12,FALSE)," ")</f>
        <v xml:space="preserve"> </v>
      </c>
      <c r="J73" s="175"/>
      <c r="K73" s="7" t="str">
        <f>_xlfn.IFNA(VLOOKUP(J73,'MCIA Cases'!$A$2:$AG$1091,2,FALSE)," ")</f>
        <v xml:space="preserve"> </v>
      </c>
      <c r="L73" s="1" t="str">
        <f>_xlfn.IFNA(VLOOKUP(J73,'MCIA Cases'!$A$2:$R$1091,17,FALSE)," ")</f>
        <v xml:space="preserve"> </v>
      </c>
      <c r="M73" s="7" t="str">
        <f>_xlfn.IFNA(VLOOKUP(J73,'MCIA Cases'!$A$2:$R$1091,3,FALSE)," ")</f>
        <v xml:space="preserve"> </v>
      </c>
      <c r="N73" s="1" t="str">
        <f>IF(COUNTIF('MCIA Corrective Actions'!$A:$A,J73)=0," ",COUNTIF('MCIA Corrective Actions'!$A:$A,J73))</f>
        <v xml:space="preserve"> </v>
      </c>
      <c r="O73" s="1" t="str">
        <f>IF(COUNTIF('MCIA Corrective Actions'!$A:$A,J73)=0," ",COUNTIFS('MCIA Corrective Actions'!$A:$A,J73,'MCIA Corrective Actions'!N:N,"Yes"))</f>
        <v xml:space="preserve"> </v>
      </c>
      <c r="U73" s="176">
        <f t="shared" ref="U73:U79" si="14">IF(D73&gt;0, 1, 0)</f>
        <v>1</v>
      </c>
      <c r="V73" s="176">
        <f t="shared" ref="V73:V79" si="15">IF(L73=" ", 0, 1)</f>
        <v>0</v>
      </c>
      <c r="W73" s="176">
        <f t="shared" ref="W73:W79" si="16">IF(U73+V73=2,1,0)</f>
        <v>0</v>
      </c>
    </row>
    <row r="74" spans="1:23" x14ac:dyDescent="0.25">
      <c r="A74" s="7">
        <v>296</v>
      </c>
      <c r="B74" s="109" t="str">
        <f>VLOOKUP($A74,Table1[['#]:[Vessel]],4,FALSE)</f>
        <v>Sandpiper</v>
      </c>
      <c r="C74" s="143">
        <f>VLOOKUP($A74,Table1[['#]:[Date]],3,FALSE)</f>
        <v>44527</v>
      </c>
      <c r="D74" s="110">
        <f>VLOOKUP($A74,Table1[['#]:[Hours]],7,FALSE)</f>
        <v>47.999722222331911</v>
      </c>
      <c r="E74" s="110" t="str">
        <f>VLOOKUP($A74,Table1[['#]:[System]],8,FALSE)&amp;" / "&amp;VLOOKUP($A74,Table1[['#]:[Subsystem]],9,FALSE)</f>
        <v>Main Pump / Engine / Motor</v>
      </c>
      <c r="F74" s="110" t="str">
        <f>VLOOKUP($A74,Table1[['#]:[Delay Log Notes]],11,FALSE)</f>
        <v>replace 3 heads on main engine 3516</v>
      </c>
      <c r="G74" s="109" t="str">
        <f>VLOOKUP($A74,Table1[['#]:[Work Order '#]],10,FALSE)</f>
        <v>None</v>
      </c>
      <c r="H74" s="110" t="str">
        <f>IF(G74="None"," ",VLOOKUP($A74,Table1[['#]:[Work Order Title]],12,FALSE))</f>
        <v xml:space="preserve"> </v>
      </c>
      <c r="I74" s="112" t="str">
        <f>_xlfn.IFNA(VLOOKUP(J74,'MCIA Cases'!$A$2:$R$1091,12,FALSE)," ")</f>
        <v xml:space="preserve"> </v>
      </c>
      <c r="J74" s="175"/>
      <c r="K74" s="7" t="str">
        <f>_xlfn.IFNA(VLOOKUP(J74,'MCIA Cases'!$A$2:$AG$1091,2,FALSE)," ")</f>
        <v xml:space="preserve"> </v>
      </c>
      <c r="L74" s="1" t="str">
        <f>_xlfn.IFNA(VLOOKUP(J74,'MCIA Cases'!$A$2:$R$1091,17,FALSE)," ")</f>
        <v xml:space="preserve"> </v>
      </c>
      <c r="M74" s="7" t="str">
        <f>_xlfn.IFNA(VLOOKUP(J74,'MCIA Cases'!$A$2:$R$1091,3,FALSE)," ")</f>
        <v xml:space="preserve"> </v>
      </c>
      <c r="N74" s="1" t="str">
        <f>IF(COUNTIF('MCIA Corrective Actions'!$A:$A,J74)=0," ",COUNTIF('MCIA Corrective Actions'!$A:$A,J74))</f>
        <v xml:space="preserve"> </v>
      </c>
      <c r="O74" s="1" t="str">
        <f>IF(COUNTIF('MCIA Corrective Actions'!$A:$A,J74)=0," ",COUNTIFS('MCIA Corrective Actions'!$A:$A,J74,'MCIA Corrective Actions'!N:N,"Yes"))</f>
        <v xml:space="preserve"> </v>
      </c>
      <c r="U74" s="176">
        <f t="shared" si="14"/>
        <v>1</v>
      </c>
      <c r="V74" s="176">
        <f t="shared" si="15"/>
        <v>0</v>
      </c>
      <c r="W74" s="176">
        <f t="shared" si="16"/>
        <v>0</v>
      </c>
    </row>
    <row r="75" spans="1:23" x14ac:dyDescent="0.25">
      <c r="A75" s="7">
        <v>297</v>
      </c>
      <c r="B75" s="109" t="str">
        <f>VLOOKUP($A75,Table1[['#]:[Vessel]],4,FALSE)</f>
        <v>Ohio</v>
      </c>
      <c r="C75" s="143">
        <f>VLOOKUP($A75,Table1[['#]:[Date]],3,FALSE)</f>
        <v>44535</v>
      </c>
      <c r="D75" s="110">
        <f>VLOOKUP($A75,Table1[['#]:[Hours]],7,FALSE)</f>
        <v>51.4</v>
      </c>
      <c r="E75" s="110" t="str">
        <f>VLOOKUP($A75,Table1[['#]:[System]],8,FALSE)&amp;" / "&amp;VLOOKUP($A75,Table1[['#]:[Subsystem]],9,FALSE)</f>
        <v>Ladder Pump / Pump Rebuild</v>
      </c>
      <c r="F75" s="110" t="str">
        <f>VLOOKUP($A75,Table1[['#]:[Delay Log Notes]],11,FALSE)</f>
        <v>fracture in underwater pump</v>
      </c>
      <c r="G75" s="109">
        <f>VLOOKUP($A75,Table1[['#]:[Work Order '#]],10,FALSE)</f>
        <v>4812866</v>
      </c>
      <c r="H75" s="110" t="str">
        <f>IF(G75="None"," ",VLOOKUP($A75,Table1[['#]:[Work Order Title]],12,FALSE))</f>
        <v>Replace impeller UWP.</v>
      </c>
      <c r="I75" s="112" t="str">
        <f>_xlfn.IFNA(VLOOKUP(J75,'MCIA Cases'!$A$2:$R$1091,12,FALSE)," ")</f>
        <v xml:space="preserve"> </v>
      </c>
      <c r="J75" s="175"/>
      <c r="K75" s="7" t="str">
        <f>_xlfn.IFNA(VLOOKUP(J75,'MCIA Cases'!$A$2:$AG$1091,2,FALSE)," ")</f>
        <v xml:space="preserve"> </v>
      </c>
      <c r="L75" s="1" t="str">
        <f>_xlfn.IFNA(VLOOKUP(J75,'MCIA Cases'!$A$2:$R$1091,17,FALSE)," ")</f>
        <v xml:space="preserve"> </v>
      </c>
      <c r="M75" s="7" t="str">
        <f>_xlfn.IFNA(VLOOKUP(J75,'MCIA Cases'!$A$2:$R$1091,3,FALSE)," ")</f>
        <v xml:space="preserve"> </v>
      </c>
      <c r="N75" s="1" t="str">
        <f>IF(COUNTIF('MCIA Corrective Actions'!$A:$A,J75)=0," ",COUNTIF('MCIA Corrective Actions'!$A:$A,J75))</f>
        <v xml:space="preserve"> </v>
      </c>
      <c r="O75" s="1" t="str">
        <f>IF(COUNTIF('MCIA Corrective Actions'!$A:$A,J75)=0," ",COUNTIFS('MCIA Corrective Actions'!$A:$A,J75,'MCIA Corrective Actions'!N:N,"Yes"))</f>
        <v xml:space="preserve"> </v>
      </c>
      <c r="U75" s="176">
        <f t="shared" si="14"/>
        <v>1</v>
      </c>
      <c r="V75" s="176">
        <f t="shared" si="15"/>
        <v>0</v>
      </c>
      <c r="W75" s="176">
        <f t="shared" si="16"/>
        <v>0</v>
      </c>
    </row>
    <row r="76" spans="1:23" ht="60" x14ac:dyDescent="0.25">
      <c r="A76" s="7">
        <v>298</v>
      </c>
      <c r="B76" s="109" t="str">
        <f>VLOOKUP($A76,Table1[['#]:[Vessel]],4,FALSE)</f>
        <v>New York</v>
      </c>
      <c r="C76" s="143">
        <f>VLOOKUP($A76,Table1[['#]:[Date]],3,FALSE)</f>
        <v>44538</v>
      </c>
      <c r="D76" s="110">
        <f>VLOOKUP($A76,Table1[['#]:[Hours]],7,FALSE)</f>
        <v>131.14944444451248</v>
      </c>
      <c r="E76" s="110" t="str">
        <f>VLOOKUP($A76,Table1[['#]:[System]],8,FALSE)&amp;" / "&amp;VLOOKUP($A76,Table1[['#]:[Subsystem]],9,FALSE)</f>
        <v>Main/Aux Generators / Generator #1</v>
      </c>
      <c r="F76" s="110" t="str">
        <f>VLOOKUP($A76,Table1[['#]:[Delay Log Notes]],11,FALSE)</f>
        <v>LOST GENERATOR DUE TO ELECTRICAL TRIP @00:20,SWITCH GENERATOR. BLOWER FOR BOOM ASSIST KEEPS TRIPPING OUT</v>
      </c>
      <c r="G76" s="109">
        <f>VLOOKUP($A76,Table1[['#]:[Work Order '#]],10,FALSE)</f>
        <v>4812901</v>
      </c>
      <c r="H76" s="110" t="str">
        <f>IF(G76="None"," ",VLOOKUP($A76,Table1[['#]:[Work Order Title]],12,FALSE))</f>
        <v>replace boom assist blower motor</v>
      </c>
      <c r="I76" s="112" t="str">
        <f>_xlfn.IFNA(VLOOKUP(J76,'MCIA Cases'!$A$2:$R$1091,12,FALSE)," ")</f>
        <v xml:space="preserve"> </v>
      </c>
      <c r="J76" s="175"/>
      <c r="K76" s="7" t="str">
        <f>_xlfn.IFNA(VLOOKUP(J76,'MCIA Cases'!$A$2:$AG$1091,2,FALSE)," ")</f>
        <v xml:space="preserve"> </v>
      </c>
      <c r="L76" s="1" t="str">
        <f>_xlfn.IFNA(VLOOKUP(J76,'MCIA Cases'!$A$2:$R$1091,17,FALSE)," ")</f>
        <v xml:space="preserve"> </v>
      </c>
      <c r="M76" s="7" t="str">
        <f>_xlfn.IFNA(VLOOKUP(J76,'MCIA Cases'!$A$2:$R$1091,3,FALSE)," ")</f>
        <v xml:space="preserve"> </v>
      </c>
      <c r="N76" s="1" t="str">
        <f>IF(COUNTIF('MCIA Corrective Actions'!$A:$A,J76)=0," ",COUNTIF('MCIA Corrective Actions'!$A:$A,J76))</f>
        <v xml:space="preserve"> </v>
      </c>
      <c r="O76" s="1" t="str">
        <f>IF(COUNTIF('MCIA Corrective Actions'!$A:$A,J76)=0," ",COUNTIFS('MCIA Corrective Actions'!$A:$A,J76,'MCIA Corrective Actions'!N:N,"Yes"))</f>
        <v xml:space="preserve"> </v>
      </c>
      <c r="U76" s="176">
        <f t="shared" si="14"/>
        <v>1</v>
      </c>
      <c r="V76" s="176">
        <f t="shared" si="15"/>
        <v>0</v>
      </c>
      <c r="W76" s="176">
        <f t="shared" si="16"/>
        <v>0</v>
      </c>
    </row>
    <row r="77" spans="1:23" x14ac:dyDescent="0.25">
      <c r="A77" s="7">
        <v>299</v>
      </c>
      <c r="B77" s="109" t="str">
        <f>VLOOKUP($A77,Table1[['#]:[Vessel]],4,FALSE)</f>
        <v>Sandpiper</v>
      </c>
      <c r="C77" s="143">
        <f>VLOOKUP($A77,Table1[['#]:[Date]],3,FALSE)</f>
        <v>44538</v>
      </c>
      <c r="D77" s="110">
        <f>VLOOKUP($A77,Table1[['#]:[Hours]],7,FALSE)</f>
        <v>32.215000000025611</v>
      </c>
      <c r="E77" s="110" t="str">
        <f>VLOOKUP($A77,Table1[['#]:[System]],8,FALSE)&amp;" / "&amp;VLOOKUP($A77,Table1[['#]:[Subsystem]],9,FALSE)</f>
        <v>Swing System / Winch System</v>
      </c>
      <c r="F77" s="110" t="str">
        <f>VLOOKUP($A77,Table1[['#]:[Delay Log Notes]],11,FALSE)</f>
        <v>GEARBOX WENT DOWN</v>
      </c>
      <c r="G77" s="109">
        <f>VLOOKUP($A77,Table1[['#]:[Work Order '#]],10,FALSE)</f>
        <v>4812886</v>
      </c>
      <c r="H77" s="110" t="str">
        <f>IF(G77="None"," ",VLOOKUP($A77,Table1[['#]:[Work Order Title]],12,FALSE))</f>
        <v>HPU Gear Hydraulic Failure</v>
      </c>
      <c r="I77" s="112" t="str">
        <f>_xlfn.IFNA(VLOOKUP(J77,'MCIA Cases'!$A$2:$R$1091,12,FALSE)," ")</f>
        <v xml:space="preserve"> </v>
      </c>
      <c r="J77" s="175"/>
      <c r="K77" s="7" t="str">
        <f>_xlfn.IFNA(VLOOKUP(J77,'MCIA Cases'!$A$2:$AG$1091,2,FALSE)," ")</f>
        <v xml:space="preserve"> </v>
      </c>
      <c r="L77" s="1" t="str">
        <f>_xlfn.IFNA(VLOOKUP(J77,'MCIA Cases'!$A$2:$R$1091,17,FALSE)," ")</f>
        <v xml:space="preserve"> </v>
      </c>
      <c r="M77" s="7" t="str">
        <f>_xlfn.IFNA(VLOOKUP(J77,'MCIA Cases'!$A$2:$R$1091,3,FALSE)," ")</f>
        <v xml:space="preserve"> </v>
      </c>
      <c r="N77" s="1" t="str">
        <f>IF(COUNTIF('MCIA Corrective Actions'!$A:$A,J77)=0," ",COUNTIF('MCIA Corrective Actions'!$A:$A,J77))</f>
        <v xml:space="preserve"> </v>
      </c>
      <c r="O77" s="1" t="str">
        <f>IF(COUNTIF('MCIA Corrective Actions'!$A:$A,J77)=0," ",COUNTIFS('MCIA Corrective Actions'!$A:$A,J77,'MCIA Corrective Actions'!N:N,"Yes"))</f>
        <v xml:space="preserve"> </v>
      </c>
      <c r="U77" s="176">
        <f t="shared" si="14"/>
        <v>1</v>
      </c>
      <c r="V77" s="176">
        <f t="shared" si="15"/>
        <v>0</v>
      </c>
      <c r="W77" s="176">
        <f t="shared" si="16"/>
        <v>0</v>
      </c>
    </row>
    <row r="78" spans="1:23" ht="30" x14ac:dyDescent="0.25">
      <c r="A78" s="7">
        <v>300</v>
      </c>
      <c r="B78" s="109" t="str">
        <f>VLOOKUP($A78,Table1[['#]:[Vessel]],4,FALSE)</f>
        <v>Sandpiper</v>
      </c>
      <c r="C78" s="143">
        <f>VLOOKUP($A78,Table1[['#]:[Date]],3,FALSE)</f>
        <v>44544</v>
      </c>
      <c r="D78" s="110">
        <f>VLOOKUP($A78,Table1[['#]:[Hours]],7,FALSE)</f>
        <v>53.859444444591645</v>
      </c>
      <c r="E78" s="110" t="str">
        <f>VLOOKUP($A78,Table1[['#]:[System]],8,FALSE)&amp;" / "&amp;VLOOKUP($A78,Table1[['#]:[Subsystem]],9,FALSE)</f>
        <v>Main Pump / Engine / Motor</v>
      </c>
      <c r="F78" s="110" t="str">
        <f>VLOOKUP($A78,Table1[['#]:[Delay Log Notes]],11,FALSE)</f>
        <v>replace head on main engine</v>
      </c>
      <c r="G78" s="109">
        <f>VLOOKUP($A78,Table1[['#]:[Work Order '#]],10,FALSE)</f>
        <v>4813019</v>
      </c>
      <c r="H78" s="110" t="str">
        <f>IF(G78="None"," ",VLOOKUP($A78,Table1[['#]:[Work Order Title]],12,FALSE))</f>
        <v>Dredge Main engine mechanical failure</v>
      </c>
      <c r="I78" s="112" t="str">
        <f>_xlfn.IFNA(VLOOKUP(J78,'MCIA Cases'!$A$2:$R$1091,12,FALSE)," ")</f>
        <v xml:space="preserve"> </v>
      </c>
      <c r="J78" s="175"/>
      <c r="K78" s="7" t="str">
        <f>_xlfn.IFNA(VLOOKUP(J78,'MCIA Cases'!$A$2:$AG$1091,2,FALSE)," ")</f>
        <v xml:space="preserve"> </v>
      </c>
      <c r="L78" s="1" t="str">
        <f>_xlfn.IFNA(VLOOKUP(J78,'MCIA Cases'!$A$2:$R$1091,17,FALSE)," ")</f>
        <v xml:space="preserve"> </v>
      </c>
      <c r="M78" s="7" t="str">
        <f>_xlfn.IFNA(VLOOKUP(J78,'MCIA Cases'!$A$2:$R$1091,3,FALSE)," ")</f>
        <v xml:space="preserve"> </v>
      </c>
      <c r="N78" s="1" t="str">
        <f>IF(COUNTIF('MCIA Corrective Actions'!$A:$A,J78)=0," ",COUNTIF('MCIA Corrective Actions'!$A:$A,J78))</f>
        <v xml:space="preserve"> </v>
      </c>
      <c r="O78" s="1" t="str">
        <f>IF(COUNTIF('MCIA Corrective Actions'!$A:$A,J78)=0," ",COUNTIFS('MCIA Corrective Actions'!$A:$A,J78,'MCIA Corrective Actions'!N:N,"Yes"))</f>
        <v xml:space="preserve"> </v>
      </c>
      <c r="U78" s="176">
        <f t="shared" si="14"/>
        <v>1</v>
      </c>
      <c r="V78" s="176">
        <f t="shared" si="15"/>
        <v>0</v>
      </c>
      <c r="W78" s="176">
        <f t="shared" si="16"/>
        <v>0</v>
      </c>
    </row>
    <row r="79" spans="1:23" x14ac:dyDescent="0.25">
      <c r="A79" s="7">
        <v>301</v>
      </c>
      <c r="B79" s="109" t="str">
        <f>VLOOKUP($A79,Table1[['#]:[Vessel]],4,FALSE)</f>
        <v>New York</v>
      </c>
      <c r="C79" s="143">
        <f>VLOOKUP($A79,Table1[['#]:[Date]],3,FALSE)</f>
        <v>44544</v>
      </c>
      <c r="D79" s="110">
        <f>VLOOKUP($A79,Table1[['#]:[Hours]],7,FALSE)</f>
        <v>32.983333333279006</v>
      </c>
      <c r="E79" s="110" t="str">
        <f>VLOOKUP($A79,Table1[['#]:[System]],8,FALSE)&amp;" / "&amp;VLOOKUP($A79,Table1[['#]:[Subsystem]],9,FALSE)</f>
        <v>Tagline/Boom Assist / Boom Assist Wire</v>
      </c>
      <c r="F79" s="110" t="str">
        <f>VLOOKUP($A79,Table1[['#]:[Delay Log Notes]],11,FALSE)</f>
        <v>Boom assist wire broke</v>
      </c>
      <c r="G79" s="109">
        <f>VLOOKUP($A79,Table1[['#]:[Work Order '#]],10,FALSE)</f>
        <v>4813001</v>
      </c>
      <c r="H79" s="110" t="str">
        <f>IF(G79="None"," ",VLOOKUP($A79,Table1[['#]:[Work Order Title]],12,FALSE))</f>
        <v>change boom assist wire</v>
      </c>
      <c r="I79" s="112" t="str">
        <f>_xlfn.IFNA(VLOOKUP(J79,'MCIA Cases'!$A$2:$R$1091,12,FALSE)," ")</f>
        <v xml:space="preserve"> </v>
      </c>
      <c r="J79" s="175"/>
      <c r="K79" s="7" t="str">
        <f>_xlfn.IFNA(VLOOKUP(J79,'MCIA Cases'!$A$2:$AG$1091,2,FALSE)," ")</f>
        <v xml:space="preserve"> </v>
      </c>
      <c r="L79" s="1" t="str">
        <f>_xlfn.IFNA(VLOOKUP(J79,'MCIA Cases'!$A$2:$R$1091,17,FALSE)," ")</f>
        <v xml:space="preserve"> </v>
      </c>
      <c r="M79" s="7" t="str">
        <f>_xlfn.IFNA(VLOOKUP(J79,'MCIA Cases'!$A$2:$R$1091,3,FALSE)," ")</f>
        <v xml:space="preserve"> </v>
      </c>
      <c r="N79" s="1" t="str">
        <f>IF(COUNTIF('MCIA Corrective Actions'!$A:$A,J79)=0," ",COUNTIF('MCIA Corrective Actions'!$A:$A,J79))</f>
        <v xml:space="preserve"> </v>
      </c>
      <c r="O79" s="1" t="str">
        <f>IF(COUNTIF('MCIA Corrective Actions'!$A:$A,J79)=0," ",COUNTIFS('MCIA Corrective Actions'!$A:$A,J79,'MCIA Corrective Actions'!N:N,"Yes"))</f>
        <v xml:space="preserve"> </v>
      </c>
      <c r="U79" s="176">
        <f t="shared" si="14"/>
        <v>1</v>
      </c>
      <c r="V79" s="176">
        <f t="shared" si="15"/>
        <v>0</v>
      </c>
      <c r="W79" s="176">
        <f t="shared" si="16"/>
        <v>0</v>
      </c>
    </row>
    <row r="80" spans="1:23" x14ac:dyDescent="0.25">
      <c r="A80" s="7">
        <v>302</v>
      </c>
      <c r="B80" s="109" t="str">
        <f>VLOOKUP($A80,Table1[['#]:[Vessel]],4,FALSE)</f>
        <v>New York</v>
      </c>
      <c r="C80" s="143">
        <f>VLOOKUP($A80,Table1[['#]:[Date]],3,FALSE)</f>
        <v>44547</v>
      </c>
      <c r="D80" s="110">
        <f>VLOOKUP($A80,Table1[['#]:[Hours]],7,FALSE)</f>
        <v>39.166666666686069</v>
      </c>
      <c r="E80" s="110" t="str">
        <f>VLOOKUP($A80,Table1[['#]:[System]],8,FALSE)&amp;" / "&amp;VLOOKUP($A80,Table1[['#]:[Subsystem]],9,FALSE)</f>
        <v>Spud System / Spud Wires</v>
      </c>
      <c r="F80" s="110" t="str">
        <f>VLOOKUP($A80,Table1[['#]:[Delay Log Notes]],11,FALSE)</f>
        <v>Replace stern spud wire</v>
      </c>
      <c r="G80" s="109">
        <f>VLOOKUP($A80,Table1[['#]:[Work Order '#]],10,FALSE)</f>
        <v>4813043</v>
      </c>
      <c r="H80" s="110" t="str">
        <f>IF(G80="None"," ",VLOOKUP($A80,Table1[['#]:[Work Order Title]],12,FALSE))</f>
        <v>change stern spud wire</v>
      </c>
      <c r="I80" s="112" t="str">
        <f>_xlfn.IFNA(VLOOKUP(J80,'MCIA Cases'!$A$2:$R$1091,12,FALSE)," ")</f>
        <v xml:space="preserve"> </v>
      </c>
      <c r="J80" s="175"/>
      <c r="K80" s="7" t="str">
        <f>_xlfn.IFNA(VLOOKUP(J80,'MCIA Cases'!$A$2:$AG$1091,2,FALSE)," ")</f>
        <v xml:space="preserve"> </v>
      </c>
      <c r="L80" s="1" t="str">
        <f>_xlfn.IFNA(VLOOKUP(J80,'MCIA Cases'!$A$2:$R$1091,17,FALSE)," ")</f>
        <v xml:space="preserve"> </v>
      </c>
      <c r="M80" s="7" t="str">
        <f>_xlfn.IFNA(VLOOKUP(J80,'MCIA Cases'!$A$2:$R$1091,3,FALSE)," ")</f>
        <v xml:space="preserve"> </v>
      </c>
      <c r="N80" s="1" t="str">
        <f>IF(COUNTIF('MCIA Corrective Actions'!$A:$A,J80)=0," ",COUNTIF('MCIA Corrective Actions'!$A:$A,J80))</f>
        <v xml:space="preserve"> </v>
      </c>
      <c r="O80" s="1" t="str">
        <f>IF(COUNTIF('MCIA Corrective Actions'!$A:$A,J80)=0," ",COUNTIFS('MCIA Corrective Actions'!$A:$A,J80,'MCIA Corrective Actions'!N:N,"Yes"))</f>
        <v xml:space="preserve"> </v>
      </c>
      <c r="U80" s="176">
        <f t="shared" ref="U80:U84" si="17">IF(D80&gt;0, 1, 0)</f>
        <v>1</v>
      </c>
      <c r="V80" s="176">
        <f t="shared" ref="V80:V84" si="18">IF(L80=" ", 0, 1)</f>
        <v>0</v>
      </c>
      <c r="W80" s="176">
        <f t="shared" ref="W80:W84" si="19">IF(U80+V80=2,1,0)</f>
        <v>0</v>
      </c>
    </row>
    <row r="81" spans="1:36" x14ac:dyDescent="0.25">
      <c r="A81" s="7">
        <v>303</v>
      </c>
      <c r="B81" s="109" t="str">
        <f>VLOOKUP($A81,Table1[['#]:[Vessel]],4,FALSE)</f>
        <v>Texas</v>
      </c>
      <c r="C81" s="143">
        <f>VLOOKUP($A81,Table1[['#]:[Date]],3,FALSE)</f>
        <v>44548</v>
      </c>
      <c r="D81" s="110">
        <f>VLOOKUP($A81,Table1[['#]:[Hours]],7,FALSE)</f>
        <v>47.533055555541068</v>
      </c>
      <c r="E81" s="110" t="str">
        <f>VLOOKUP($A81,Table1[['#]:[System]],8,FALSE)&amp;" / "&amp;VLOOKUP($A81,Table1[['#]:[Subsystem]],9,FALSE)</f>
        <v>Cutter / Motor</v>
      </c>
      <c r="F81" s="110" t="str">
        <f>VLOOKUP($A81,Table1[['#]:[Delay Log Notes]],11,FALSE)</f>
        <v>None</v>
      </c>
      <c r="G81" s="109">
        <f>VLOOKUP($A81,Table1[['#]:[Work Order '#]],10,FALSE)</f>
        <v>792854</v>
      </c>
      <c r="H81" s="110" t="str">
        <f>IF(G81="None"," ",VLOOKUP($A81,Table1[['#]:[Work Order Title]],12,FALSE))</f>
        <v>No Work Order entered</v>
      </c>
      <c r="I81" s="112" t="str">
        <f>_xlfn.IFNA(VLOOKUP(J81,'MCIA Cases'!$A$2:$R$1091,12,FALSE)," ")</f>
        <v xml:space="preserve"> </v>
      </c>
      <c r="J81" s="175"/>
      <c r="K81" s="7" t="str">
        <f>_xlfn.IFNA(VLOOKUP(J81,'MCIA Cases'!$A$2:$AG$1091,2,FALSE)," ")</f>
        <v xml:space="preserve"> </v>
      </c>
      <c r="L81" s="1" t="str">
        <f>_xlfn.IFNA(VLOOKUP(J81,'MCIA Cases'!$A$2:$R$1091,17,FALSE)," ")</f>
        <v xml:space="preserve"> </v>
      </c>
      <c r="M81" s="7" t="str">
        <f>_xlfn.IFNA(VLOOKUP(J81,'MCIA Cases'!$A$2:$R$1091,3,FALSE)," ")</f>
        <v xml:space="preserve"> </v>
      </c>
      <c r="N81" s="1" t="str">
        <f>IF(COUNTIF('MCIA Corrective Actions'!$A:$A,J81)=0," ",COUNTIF('MCIA Corrective Actions'!$A:$A,J81))</f>
        <v xml:space="preserve"> </v>
      </c>
      <c r="O81" s="1" t="str">
        <f>IF(COUNTIF('MCIA Corrective Actions'!$A:$A,J81)=0," ",COUNTIFS('MCIA Corrective Actions'!$A:$A,J81,'MCIA Corrective Actions'!N:N,"Yes"))</f>
        <v xml:space="preserve"> </v>
      </c>
      <c r="U81" s="176">
        <f t="shared" si="17"/>
        <v>1</v>
      </c>
      <c r="V81" s="176">
        <f t="shared" si="18"/>
        <v>0</v>
      </c>
      <c r="W81" s="176">
        <f t="shared" si="19"/>
        <v>0</v>
      </c>
    </row>
    <row r="82" spans="1:36" x14ac:dyDescent="0.25">
      <c r="A82" s="7">
        <v>304</v>
      </c>
      <c r="B82" s="109" t="str">
        <f>VLOOKUP($A82,Table1[['#]:[Vessel]],4,FALSE)</f>
        <v>Sandpiper</v>
      </c>
      <c r="C82" s="143">
        <f>VLOOKUP($A82,Table1[['#]:[Date]],3,FALSE)</f>
        <v>44550</v>
      </c>
      <c r="D82" s="110">
        <f>VLOOKUP($A82,Table1[['#]:[Hours]],7,FALSE)</f>
        <v>55.2</v>
      </c>
      <c r="E82" s="110" t="str">
        <f>VLOOKUP($A82,Table1[['#]:[System]],8,FALSE)&amp;" / "&amp;VLOOKUP($A82,Table1[['#]:[Subsystem]],9,FALSE)</f>
        <v>Main Pump / Engine / Motor</v>
      </c>
      <c r="F82" s="110" t="str">
        <f>VLOOKUP($A82,Table1[['#]:[Delay Log Notes]],11,FALSE)</f>
        <v>None</v>
      </c>
      <c r="G82" s="109">
        <f>VLOOKUP($A82,Table1[['#]:[Work Order '#]],10,FALSE)</f>
        <v>4813490</v>
      </c>
      <c r="H82" s="110" t="str">
        <f>IF(G82="None"," ",VLOOKUP($A82,Table1[['#]:[Work Order Title]],12,FALSE))</f>
        <v>No Work Order entered</v>
      </c>
      <c r="I82" s="112" t="str">
        <f>_xlfn.IFNA(VLOOKUP(J82,'MCIA Cases'!$A$2:$R$1091,11,FALSE)," ")</f>
        <v xml:space="preserve"> </v>
      </c>
      <c r="J82" s="175"/>
      <c r="K82" s="7" t="str">
        <f>_xlfn.IFNA(VLOOKUP(J82,'MCIA Cases'!$A$2:$AG$1091,2,FALSE)," ")</f>
        <v xml:space="preserve"> </v>
      </c>
      <c r="L82" s="1" t="str">
        <f>_xlfn.IFNA(VLOOKUP(J82,'MCIA Cases'!$A$2:$R$1091,17,FALSE)," ")</f>
        <v xml:space="preserve"> </v>
      </c>
      <c r="M82" s="7" t="str">
        <f>_xlfn.IFNA(VLOOKUP(J82,'MCIA Cases'!$A$2:$R$1091,3,FALSE)," ")</f>
        <v xml:space="preserve"> </v>
      </c>
      <c r="N82" s="1" t="str">
        <f>IF(COUNTIF('MCIA Corrective Actions'!$A:$A,J82)=0," ",COUNTIF('MCIA Corrective Actions'!$A:$A,J82))</f>
        <v xml:space="preserve"> </v>
      </c>
      <c r="O82" s="1" t="str">
        <f>IF(COUNTIF('MCIA Corrective Actions'!$A:$A,J82)=0," ",COUNTIFS('MCIA Corrective Actions'!$A:$A,J82,'MCIA Corrective Actions'!N:N,"Yes"))</f>
        <v xml:space="preserve"> </v>
      </c>
      <c r="U82" s="176">
        <f t="shared" si="17"/>
        <v>1</v>
      </c>
      <c r="V82" s="176">
        <f t="shared" si="18"/>
        <v>0</v>
      </c>
      <c r="W82" s="176">
        <f t="shared" si="19"/>
        <v>0</v>
      </c>
    </row>
    <row r="83" spans="1:36" ht="30" x14ac:dyDescent="0.25">
      <c r="A83" s="7">
        <v>305</v>
      </c>
      <c r="B83" s="109">
        <f>VLOOKUP($A83,Table1[['#]:[Vessel]],4,FALSE)</f>
        <v>53</v>
      </c>
      <c r="C83" s="143">
        <f>VLOOKUP($A83,Table1[['#]:[Date]],3,FALSE)</f>
        <v>44552</v>
      </c>
      <c r="D83" s="110">
        <f>VLOOKUP($A83,Table1[['#]:[Hours]],7,FALSE)</f>
        <v>216</v>
      </c>
      <c r="E83" s="110" t="str">
        <f>VLOOKUP($A83,Table1[['#]:[System]],8,FALSE)&amp;" / "&amp;VLOOKUP($A83,Table1[['#]:[Subsystem]],9,FALSE)</f>
        <v>Tagline / Tagline Winch (motor, gearbox, etc.)</v>
      </c>
      <c r="F83" s="110" t="str">
        <f>VLOOKUP($A83,Table1[['#]:[Delay Log Notes]],11,FALSE)</f>
        <v>Tagline gearbox repair</v>
      </c>
      <c r="G83" s="109">
        <f>VLOOKUP($A83,Table1[['#]:[Work Order '#]],10,FALSE)</f>
        <v>4813071</v>
      </c>
      <c r="H83" s="110" t="str">
        <f>IF(G83="None"," ",VLOOKUP($A83,Table1[['#]:[Work Order Title]],12,FALSE))</f>
        <v>Tagline gearbox repairs</v>
      </c>
      <c r="I83" s="112" t="str">
        <f>_xlfn.IFNA(VLOOKUP(J83,'MCIA Cases'!$A$2:$R$1091,11,FALSE)," ")</f>
        <v xml:space="preserve"> </v>
      </c>
      <c r="J83" s="175"/>
      <c r="K83" s="7" t="str">
        <f>_xlfn.IFNA(VLOOKUP(J83,'MCIA Cases'!$A$2:$AG$1091,2,FALSE)," ")</f>
        <v xml:space="preserve"> </v>
      </c>
      <c r="L83" s="1" t="str">
        <f>_xlfn.IFNA(VLOOKUP(J83,'MCIA Cases'!$A$2:$R$1091,17,FALSE)," ")</f>
        <v xml:space="preserve"> </v>
      </c>
      <c r="M83" s="7" t="str">
        <f>_xlfn.IFNA(VLOOKUP(J83,'MCIA Cases'!$A$2:$R$1091,3,FALSE)," ")</f>
        <v xml:space="preserve"> </v>
      </c>
      <c r="N83" s="1" t="str">
        <f>IF(COUNTIF('MCIA Corrective Actions'!$A:$A,J83)=0," ",COUNTIF('MCIA Corrective Actions'!$A:$A,J83))</f>
        <v xml:space="preserve"> </v>
      </c>
      <c r="O83" s="1" t="str">
        <f>IF(COUNTIF('MCIA Corrective Actions'!$A:$A,J83)=0," ",COUNTIFS('MCIA Corrective Actions'!$A:$A,J83,'MCIA Corrective Actions'!N:N,"Yes"))</f>
        <v xml:space="preserve"> </v>
      </c>
      <c r="U83" s="176">
        <f t="shared" si="17"/>
        <v>1</v>
      </c>
      <c r="V83" s="176">
        <f t="shared" si="18"/>
        <v>0</v>
      </c>
      <c r="W83" s="176">
        <f t="shared" si="19"/>
        <v>0</v>
      </c>
    </row>
    <row r="84" spans="1:36" ht="45" x14ac:dyDescent="0.25">
      <c r="A84" s="7">
        <v>306</v>
      </c>
      <c r="B84" s="109" t="str">
        <f>VLOOKUP($A84,Table1[['#]:[Vessel]],4,FALSE)</f>
        <v>New York</v>
      </c>
      <c r="C84" s="143">
        <f>VLOOKUP($A84,Table1[['#]:[Date]],3,FALSE)</f>
        <v>44557</v>
      </c>
      <c r="D84" s="110">
        <f>VLOOKUP($A84,Table1[['#]:[Hours]],7,FALSE)</f>
        <v>79.5</v>
      </c>
      <c r="E84" s="110" t="str">
        <f>VLOOKUP($A84,Table1[['#]:[System]],8,FALSE)&amp;" / "&amp;VLOOKUP($A84,Table1[['#]:[Subsystem]],9,FALSE)</f>
        <v>Crane Boom / Boom Structure</v>
      </c>
      <c r="F84" s="110" t="str">
        <f>VLOOKUP($A84,Table1[['#]:[Delay Log Notes]],11,FALSE)</f>
        <v>Working on Welding repairs in Boom. Spudded down in Inner Harbor near office.</v>
      </c>
      <c r="G84" s="109">
        <f>VLOOKUP($A84,Table1[['#]:[Work Order '#]],10,FALSE)</f>
        <v>4813504</v>
      </c>
      <c r="H84" s="110" t="str">
        <f>IF(G84="None"," ",VLOOKUP($A84,Table1[['#]:[Work Order Title]],12,FALSE))</f>
        <v>No Work Order entered</v>
      </c>
      <c r="I84" s="112" t="str">
        <f>_xlfn.IFNA(VLOOKUP(J84,'MCIA Cases'!$A$2:$R$1091,11,FALSE)," ")</f>
        <v xml:space="preserve"> </v>
      </c>
      <c r="J84" s="175"/>
      <c r="K84" s="7" t="str">
        <f>_xlfn.IFNA(VLOOKUP(J84,'MCIA Cases'!$A$2:$AG$1091,2,FALSE)," ")</f>
        <v xml:space="preserve"> </v>
      </c>
      <c r="L84" s="1" t="str">
        <f>_xlfn.IFNA(VLOOKUP(J84,'MCIA Cases'!$A$2:$R$1091,17,FALSE)," ")</f>
        <v xml:space="preserve"> </v>
      </c>
      <c r="M84" s="7" t="str">
        <f>_xlfn.IFNA(VLOOKUP(J84,'MCIA Cases'!$A$2:$R$1091,3,FALSE)," ")</f>
        <v xml:space="preserve"> </v>
      </c>
      <c r="N84" s="1" t="str">
        <f>IF(COUNTIF('MCIA Corrective Actions'!$A:$A,J84)=0," ",COUNTIF('MCIA Corrective Actions'!$A:$A,J84))</f>
        <v xml:space="preserve"> </v>
      </c>
      <c r="O84" s="1" t="str">
        <f>IF(COUNTIF('MCIA Corrective Actions'!$A:$A,J84)=0," ",COUNTIFS('MCIA Corrective Actions'!$A:$A,J84,'MCIA Corrective Actions'!N:N,"Yes"))</f>
        <v xml:space="preserve"> </v>
      </c>
      <c r="U84" s="176">
        <f t="shared" si="17"/>
        <v>1</v>
      </c>
      <c r="V84" s="176">
        <f t="shared" si="18"/>
        <v>0</v>
      </c>
      <c r="W84" s="176">
        <f t="shared" si="19"/>
        <v>0</v>
      </c>
    </row>
    <row r="85" spans="1:36" x14ac:dyDescent="0.25">
      <c r="A85" s="7">
        <v>307</v>
      </c>
      <c r="B85" s="122"/>
      <c r="C85" s="157"/>
      <c r="D85" s="158"/>
      <c r="E85" s="158"/>
      <c r="F85" s="158"/>
      <c r="G85" s="122"/>
      <c r="H85" s="158"/>
      <c r="I85" s="112" t="str">
        <f>_xlfn.IFNA(VLOOKUP(J85,'MCIA Cases'!$A$2:$R$1091,11,FALSE)," ")</f>
        <v xml:space="preserve"> </v>
      </c>
      <c r="J85" s="112"/>
      <c r="K85" s="112"/>
      <c r="L85" s="71"/>
      <c r="M85" s="112"/>
      <c r="N85" s="71"/>
      <c r="O85" s="71"/>
      <c r="P85" s="112"/>
      <c r="Q85" s="112"/>
      <c r="R85" s="112"/>
    </row>
    <row r="86" spans="1:36" x14ac:dyDescent="0.25">
      <c r="E86" s="110"/>
      <c r="F86" s="110"/>
      <c r="H86" s="110"/>
      <c r="I86" s="112" t="str">
        <f>_xlfn.IFNA(VLOOKUP(J86,'MCIA Cases'!$A$2:$R$1091,11,FALSE)," ")</f>
        <v xml:space="preserve"> </v>
      </c>
      <c r="K86" s="7" t="str">
        <f>_xlfn.IFNA(VLOOKUP(J86,'MCIA Cases'!$A$2:$R$1091,2,FALSE)," ")</f>
        <v xml:space="preserve"> </v>
      </c>
      <c r="L86" s="1" t="str">
        <f>_xlfn.IFNA(VLOOKUP(J86,'MCIA Cases'!$A$2:$R$1091,9,FALSE)," ")</f>
        <v xml:space="preserve"> </v>
      </c>
      <c r="M86" s="7" t="str">
        <f>_xlfn.IFNA(VLOOKUP(J86,'MCIA Cases'!$A$2:$R$1091,3,FALSE)," ")</f>
        <v xml:space="preserve"> </v>
      </c>
      <c r="N86" s="1" t="str">
        <f>IF(COUNTIF('MCIA Corrective Actions'!$A:$A,J86)=0," ",COUNTIF('MCIA Corrective Actions'!$A:$A,J86))</f>
        <v xml:space="preserve"> </v>
      </c>
      <c r="O86" s="1" t="str">
        <f>IF(COUNTIF('MCIA Corrective Actions'!$A:$A,J86)=0," ",COUNTIFS('MCIA Corrective Actions'!$A:$A,J86,'MCIA Corrective Actions'!N:N,"Yes"))</f>
        <v xml:space="preserve"> </v>
      </c>
    </row>
    <row r="87" spans="1:36" hidden="1" x14ac:dyDescent="0.25">
      <c r="E87" s="110"/>
      <c r="F87" s="110"/>
      <c r="H87" s="110"/>
      <c r="I87" s="112" t="str">
        <f>_xlfn.IFNA(VLOOKUP(J87,'MCIA Cases'!$A$2:$R$1091,11,FALSE)," ")</f>
        <v xml:space="preserve"> </v>
      </c>
      <c r="K87" s="7" t="str">
        <f>_xlfn.IFNA(VLOOKUP(J87,'MCIA Cases'!$A$2:$R$1091,2,FALSE)," ")</f>
        <v xml:space="preserve"> </v>
      </c>
      <c r="L87" s="1" t="str">
        <f>_xlfn.IFNA(VLOOKUP(J87,'MCIA Cases'!$A$2:$R$1091,9,FALSE)," ")</f>
        <v xml:space="preserve"> </v>
      </c>
      <c r="M87" s="7" t="str">
        <f>_xlfn.IFNA(VLOOKUP(J87,'MCIA Cases'!$A$2:$R$1091,3,FALSE)," ")</f>
        <v xml:space="preserve"> </v>
      </c>
      <c r="N87" s="1" t="str">
        <f>IF(COUNTIF('MCIA Corrective Actions'!$A:$A,J87)=0," ",COUNTIF('MCIA Corrective Actions'!$A:$A,J87))</f>
        <v xml:space="preserve"> </v>
      </c>
      <c r="O87" s="1" t="str">
        <f>IF(COUNTIF('MCIA Corrective Actions'!$A:$A,J87)=0," ",COUNTIFS('MCIA Corrective Actions'!$A:$A,J87,'MCIA Corrective Actions'!N:N,"Yes"))</f>
        <v xml:space="preserve"> </v>
      </c>
    </row>
    <row r="88" spans="1:36" hidden="1" x14ac:dyDescent="0.25">
      <c r="E88" s="110"/>
      <c r="F88" s="110"/>
      <c r="H88" s="110"/>
      <c r="I88" s="112" t="str">
        <f>_xlfn.IFNA(VLOOKUP(J88,'MCIA Cases'!$A$2:$R$1091,11,FALSE)," ")</f>
        <v xml:space="preserve"> </v>
      </c>
      <c r="K88" s="7" t="str">
        <f>_xlfn.IFNA(VLOOKUP(J88,'MCIA Cases'!$A$2:$R$1091,2,FALSE)," ")</f>
        <v xml:space="preserve"> </v>
      </c>
      <c r="L88" s="1" t="str">
        <f>_xlfn.IFNA(VLOOKUP(J88,'MCIA Cases'!$A$2:$R$1091,9,FALSE)," ")</f>
        <v xml:space="preserve"> </v>
      </c>
      <c r="M88" s="7" t="str">
        <f>_xlfn.IFNA(VLOOKUP(J88,'MCIA Cases'!$A$2:$R$1091,3,FALSE)," ")</f>
        <v xml:space="preserve"> </v>
      </c>
      <c r="N88" s="1" t="str">
        <f>IF(COUNTIF('MCIA Corrective Actions'!$A:$A,J88)=0," ",COUNTIF('MCIA Corrective Actions'!$A:$A,J88))</f>
        <v xml:space="preserve"> </v>
      </c>
      <c r="O88" s="1" t="str">
        <f>IF(COUNTIF('MCIA Corrective Actions'!$A:$A,J88)=0," ",COUNTIFS('MCIA Corrective Actions'!$A:$A,J88,'MCIA Corrective Actions'!N:N,"Yes"))</f>
        <v xml:space="preserve"> </v>
      </c>
    </row>
    <row r="89" spans="1:36" hidden="1" x14ac:dyDescent="0.25">
      <c r="E89" s="110"/>
      <c r="F89" s="110"/>
      <c r="H89" s="110"/>
      <c r="I89" s="112" t="str">
        <f>_xlfn.IFNA(VLOOKUP(J89,'MCIA Cases'!$A$2:$R$1091,11,FALSE)," ")</f>
        <v xml:space="preserve"> </v>
      </c>
      <c r="K89" s="7" t="str">
        <f>_xlfn.IFNA(VLOOKUP(J89,'MCIA Cases'!$A$2:$R$1091,2,FALSE)," ")</f>
        <v xml:space="preserve"> </v>
      </c>
      <c r="L89" s="1" t="str">
        <f>_xlfn.IFNA(VLOOKUP(J89,'MCIA Cases'!$A$2:$R$1091,9,FALSE)," ")</f>
        <v xml:space="preserve"> </v>
      </c>
      <c r="M89" s="7" t="str">
        <f>_xlfn.IFNA(VLOOKUP(J89,'MCIA Cases'!$A$2:$R$1091,3,FALSE)," ")</f>
        <v xml:space="preserve"> </v>
      </c>
      <c r="N89" s="1" t="str">
        <f>IF(COUNTIF('MCIA Corrective Actions'!$A:$A,J89)=0," ",COUNTIF('MCIA Corrective Actions'!$A:$A,J89))</f>
        <v xml:space="preserve"> </v>
      </c>
      <c r="O89" s="1" t="str">
        <f>IF(COUNTIF('MCIA Corrective Actions'!$A:$A,J89)=0," ",COUNTIFS('MCIA Corrective Actions'!$A:$A,J89,'MCIA Corrective Actions'!N:N,"Yes"))</f>
        <v xml:space="preserve"> </v>
      </c>
    </row>
    <row r="90" spans="1:36" hidden="1" x14ac:dyDescent="0.25">
      <c r="E90" s="110"/>
      <c r="F90" s="110"/>
      <c r="H90" s="110"/>
      <c r="I90" s="112" t="str">
        <f>_xlfn.IFNA(VLOOKUP(J90,'MCIA Cases'!$A$2:$R$1091,11,FALSE)," ")</f>
        <v xml:space="preserve"> </v>
      </c>
      <c r="K90" s="7" t="str">
        <f>_xlfn.IFNA(VLOOKUP(J90,'MCIA Cases'!$A$2:$R$1091,2,FALSE)," ")</f>
        <v xml:space="preserve"> </v>
      </c>
      <c r="L90" s="1" t="str">
        <f>_xlfn.IFNA(VLOOKUP(J90,'MCIA Cases'!$A$2:$R$1091,9,FALSE)," ")</f>
        <v xml:space="preserve"> </v>
      </c>
      <c r="M90" s="7" t="str">
        <f>_xlfn.IFNA(VLOOKUP(J90,'MCIA Cases'!$A$2:$R$1091,3,FALSE)," ")</f>
        <v xml:space="preserve"> </v>
      </c>
      <c r="N90" s="1" t="str">
        <f>IF(COUNTIF('MCIA Corrective Actions'!$A:$A,J90)=0," ",COUNTIF('MCIA Corrective Actions'!$A:$A,J90))</f>
        <v xml:space="preserve"> </v>
      </c>
      <c r="O90" s="1" t="str">
        <f>IF(COUNTIF('MCIA Corrective Actions'!$A:$A,J90)=0," ",COUNTIFS('MCIA Corrective Actions'!$A:$A,J90,'MCIA Corrective Actions'!N:N,"Yes"))</f>
        <v xml:space="preserve"> </v>
      </c>
    </row>
    <row r="91" spans="1:36" hidden="1" x14ac:dyDescent="0.25">
      <c r="E91" s="110"/>
      <c r="F91" s="110"/>
      <c r="H91" s="110"/>
      <c r="I91" s="112" t="str">
        <f>_xlfn.IFNA(VLOOKUP(J91,'MCIA Cases'!$A$2:$R$1091,11,FALSE)," ")</f>
        <v xml:space="preserve"> </v>
      </c>
      <c r="K91" s="7" t="str">
        <f>_xlfn.IFNA(VLOOKUP(J91,'MCIA Cases'!$A$2:$R$1091,2,FALSE)," ")</f>
        <v xml:space="preserve"> </v>
      </c>
      <c r="L91" s="1" t="str">
        <f>_xlfn.IFNA(VLOOKUP(J91,'MCIA Cases'!$A$2:$R$1091,9,FALSE)," ")</f>
        <v xml:space="preserve"> </v>
      </c>
      <c r="M91" s="7" t="str">
        <f>_xlfn.IFNA(VLOOKUP(J91,'MCIA Cases'!$A$2:$R$1091,3,FALSE)," ")</f>
        <v xml:space="preserve"> </v>
      </c>
      <c r="N91" s="1" t="str">
        <f>IF(COUNTIF('MCIA Corrective Actions'!$A:$A,J91)=0," ",COUNTIF('MCIA Corrective Actions'!$A:$A,J91))</f>
        <v xml:space="preserve"> </v>
      </c>
      <c r="O91" s="1" t="str">
        <f>IF(COUNTIF('MCIA Corrective Actions'!$A:$A,J91)=0," ",COUNTIFS('MCIA Corrective Actions'!$A:$A,J91,'MCIA Corrective Actions'!N:N,"Yes"))</f>
        <v xml:space="preserve"> </v>
      </c>
    </row>
    <row r="92" spans="1:36" hidden="1" x14ac:dyDescent="0.25">
      <c r="E92" s="110"/>
      <c r="F92" s="110"/>
      <c r="H92" s="110"/>
      <c r="I92" s="112" t="str">
        <f>_xlfn.IFNA(VLOOKUP(J92,'MCIA Cases'!$A$2:$R$1091,11,FALSE)," ")</f>
        <v xml:space="preserve"> </v>
      </c>
      <c r="K92" s="7" t="str">
        <f>_xlfn.IFNA(VLOOKUP(J92,'MCIA Cases'!$A$2:$R$1091,2,FALSE)," ")</f>
        <v xml:space="preserve"> </v>
      </c>
      <c r="L92" s="1" t="str">
        <f>_xlfn.IFNA(VLOOKUP(J92,'MCIA Cases'!$A$2:$R$1091,9,FALSE)," ")</f>
        <v xml:space="preserve"> </v>
      </c>
      <c r="M92" s="7" t="str">
        <f>_xlfn.IFNA(VLOOKUP(J92,'MCIA Cases'!$A$2:$R$1091,3,FALSE)," ")</f>
        <v xml:space="preserve"> </v>
      </c>
      <c r="N92" s="1" t="str">
        <f>IF(COUNTIF('MCIA Corrective Actions'!$A:$A,J92)=0," ",COUNTIF('MCIA Corrective Actions'!$A:$A,J92))</f>
        <v xml:space="preserve"> </v>
      </c>
      <c r="O92" s="1" t="str">
        <f>IF(COUNTIF('MCIA Corrective Actions'!$A:$A,J92)=0," ",COUNTIFS('MCIA Corrective Actions'!$A:$A,J92,'MCIA Corrective Actions'!N:N,"Yes"))</f>
        <v xml:space="preserve"> </v>
      </c>
    </row>
    <row r="93" spans="1:36" hidden="1" x14ac:dyDescent="0.25">
      <c r="E93" s="110"/>
      <c r="F93" s="110"/>
      <c r="H93" s="110"/>
      <c r="I93" s="112" t="str">
        <f>_xlfn.IFNA(VLOOKUP(J93,'MCIA Cases'!$A$2:$R$1091,11,FALSE)," ")</f>
        <v xml:space="preserve"> </v>
      </c>
      <c r="L93" s="1"/>
    </row>
    <row r="94" spans="1:36" ht="4.5" customHeight="1" x14ac:dyDescent="0.25">
      <c r="A94" s="164"/>
      <c r="B94" s="165"/>
      <c r="C94" s="166"/>
      <c r="D94" s="167"/>
      <c r="E94" s="167"/>
      <c r="F94" s="167"/>
      <c r="G94" s="165"/>
      <c r="H94" s="167"/>
      <c r="I94" s="167"/>
      <c r="J94" s="164"/>
      <c r="K94" s="164"/>
      <c r="L94" s="168"/>
      <c r="M94" s="164"/>
      <c r="N94" s="168"/>
      <c r="O94" s="168"/>
      <c r="P94" s="164"/>
      <c r="Q94" s="164"/>
      <c r="R94" s="164"/>
      <c r="S94" s="112"/>
      <c r="T94" s="71"/>
      <c r="U94" s="71"/>
      <c r="V94" s="71"/>
      <c r="W94" s="71"/>
      <c r="X94" s="71"/>
    </row>
    <row r="95" spans="1:36" x14ac:dyDescent="0.25">
      <c r="A95" s="136"/>
      <c r="B95" s="159"/>
      <c r="C95" s="160"/>
      <c r="D95" s="161"/>
      <c r="E95" s="161" t="s">
        <v>2877</v>
      </c>
      <c r="F95" s="161"/>
      <c r="G95" s="159"/>
      <c r="H95" s="161"/>
      <c r="I95" s="161"/>
      <c r="J95" s="162"/>
      <c r="K95" s="162"/>
      <c r="L95" s="163"/>
      <c r="M95" s="162"/>
      <c r="N95" s="163"/>
      <c r="O95" s="163"/>
      <c r="P95" s="162"/>
      <c r="Q95" s="162"/>
      <c r="R95" s="162"/>
      <c r="S95" s="112"/>
      <c r="T95" s="71"/>
      <c r="U95" s="71"/>
      <c r="V95" s="71"/>
      <c r="W95" s="71"/>
      <c r="X95" s="71"/>
    </row>
    <row r="96" spans="1:36" x14ac:dyDescent="0.25">
      <c r="A96" s="136"/>
      <c r="B96" s="122"/>
      <c r="C96" s="157"/>
      <c r="D96" s="158"/>
      <c r="E96" s="158"/>
      <c r="F96" s="158"/>
      <c r="G96" s="122"/>
      <c r="H96" s="158"/>
      <c r="I96" s="112" t="str">
        <f>_xlfn.IFNA(VLOOKUP(J96,'MCIA Cases'!$A$2:$R$1091,11,FALSE)," ")</f>
        <v xml:space="preserve"> </v>
      </c>
      <c r="J96" s="112"/>
      <c r="K96" s="112"/>
      <c r="L96" s="71"/>
      <c r="M96" s="112"/>
      <c r="N96" s="71"/>
      <c r="O96" s="71"/>
      <c r="P96" s="112"/>
      <c r="Q96" s="112"/>
      <c r="R96" s="112"/>
      <c r="S96" s="112"/>
      <c r="T96" s="71"/>
      <c r="U96" s="71"/>
      <c r="V96" s="71"/>
      <c r="W96" s="71"/>
      <c r="X96" s="71"/>
      <c r="Y96" s="71"/>
      <c r="Z96" s="71"/>
      <c r="AA96" s="71"/>
      <c r="AB96" s="71"/>
      <c r="AC96" s="71"/>
      <c r="AD96" s="71"/>
      <c r="AE96" s="71"/>
      <c r="AF96" s="71"/>
      <c r="AG96" s="71"/>
      <c r="AH96" s="71"/>
      <c r="AI96" s="71"/>
      <c r="AJ96" s="71"/>
    </row>
    <row r="97" spans="2:23" hidden="1" x14ac:dyDescent="0.25">
      <c r="B97" s="126" t="s">
        <v>2386</v>
      </c>
      <c r="C97" s="143" t="str">
        <f>_xlfn.IFNA(VLOOKUP(J97,'MCIA Cases'!$A$2:$R$1091,15,FALSE)," ")</f>
        <v xml:space="preserve"> </v>
      </c>
      <c r="E97" s="110"/>
      <c r="F97" s="110"/>
      <c r="H97" s="110"/>
      <c r="I97" s="112" t="str">
        <f>_xlfn.IFNA(VLOOKUP(J97,'MCIA Cases'!$A$2:$R$1091,11,FALSE)," ")</f>
        <v xml:space="preserve"> </v>
      </c>
      <c r="J97" s="112">
        <v>381</v>
      </c>
      <c r="K97" s="7" t="str">
        <f>_xlfn.IFNA(VLOOKUP(J97,'MCIA Cases'!$A$2:$R$1091,2,FALSE)," ")</f>
        <v xml:space="preserve"> </v>
      </c>
      <c r="L97" s="1" t="str">
        <f>_xlfn.IFNA(VLOOKUP(J97,'MCIA Cases'!$A$2:$R$1091,9,FALSE)," ")</f>
        <v xml:space="preserve"> </v>
      </c>
      <c r="M97" s="7" t="str">
        <f>_xlfn.IFNA(VLOOKUP(J97,'MCIA Cases'!$A$2:$R$1091,3,FALSE)," ")</f>
        <v xml:space="preserve"> </v>
      </c>
      <c r="N97" s="1" t="str">
        <f>IF(COUNTIF('MCIA Corrective Actions'!$A:$A,J97)=0," ",COUNTIF('MCIA Corrective Actions'!$A:$A,J97))</f>
        <v xml:space="preserve"> </v>
      </c>
      <c r="O97" s="1" t="str">
        <f>IF(COUNTIF('MCIA Corrective Actions'!$A:$A,J97)=0," ",COUNTIFS('MCIA Corrective Actions'!$A:$A,J97,'MCIA Corrective Actions'!N:N,"Yes"))</f>
        <v xml:space="preserve"> </v>
      </c>
      <c r="P97" s="7" t="str">
        <f>_xlfn.IFNA(VLOOKUP(J97,'MCIA Corrective Actions'!$A$2:$R$1092,6,FALSE)," ")</f>
        <v xml:space="preserve"> </v>
      </c>
      <c r="Q97" s="7" t="s">
        <v>2779</v>
      </c>
      <c r="R97" s="7" t="s">
        <v>2895</v>
      </c>
      <c r="T97" s="176" t="str">
        <f t="shared" si="1"/>
        <v xml:space="preserve"> </v>
      </c>
      <c r="U97" s="176">
        <f t="shared" si="2"/>
        <v>0</v>
      </c>
      <c r="V97" s="176">
        <f t="shared" si="0"/>
        <v>0</v>
      </c>
      <c r="W97" s="176">
        <f t="shared" si="3"/>
        <v>0</v>
      </c>
    </row>
    <row r="98" spans="2:23" ht="30" hidden="1" x14ac:dyDescent="0.25">
      <c r="B98" s="126" t="str">
        <f>_xlfn.IFNA(VLOOKUP(VLOOKUP(J98,'MCIA Cases'!$A$2:$AB$1091,26,FALSE),Summary!$J$43:$K$264,2,FALSE)," ")</f>
        <v xml:space="preserve"> </v>
      </c>
      <c r="C98" s="143" t="str">
        <f>_xlfn.IFNA(VLOOKUP(J98,'MCIA Cases'!$A$2:$R$1091,15,FALSE)," ")</f>
        <v>William Bradshaw</v>
      </c>
      <c r="E98" s="110"/>
      <c r="F98" s="110"/>
      <c r="H98" s="110"/>
      <c r="I98" s="112" t="str">
        <f>_xlfn.IFNA(VLOOKUP(J98,'MCIA Cases'!$A$2:$R$1091,11,FALSE)," ")</f>
        <v>01/15/2021</v>
      </c>
      <c r="J98" s="112">
        <v>384</v>
      </c>
      <c r="K98" s="7" t="str">
        <f>_xlfn.IFNA(VLOOKUP(J98,'MCIA Cases'!$A$2:$R$1091,2,FALSE)," ")</f>
        <v xml:space="preserve">Pass A'Loutre Survey </v>
      </c>
      <c r="L98" s="1">
        <f>_xlfn.IFNA(VLOOKUP(J98,'MCIA Cases'!$A$2:$R$1091,9,FALSE)," ")</f>
        <v>0</v>
      </c>
      <c r="M98" s="7" t="str">
        <f>_xlfn.IFNA(VLOOKUP(J98,'MCIA Cases'!$A$2:$R$1091,3,FALSE)," ")</f>
        <v>William Bradshaw</v>
      </c>
      <c r="N98" s="1">
        <f>IF(COUNTIF('MCIA Corrective Actions'!$A:$A,J98)=0," ",COUNTIF('MCIA Corrective Actions'!$A:$A,J98))</f>
        <v>2</v>
      </c>
      <c r="O98" s="1">
        <f>IF(COUNTIF('MCIA Corrective Actions'!$A:$A,J98)=0," ",COUNTIFS('MCIA Corrective Actions'!$A:$A,J98,'MCIA Corrective Actions'!N:N,"Yes"))</f>
        <v>2</v>
      </c>
      <c r="P98" s="7" t="str">
        <f>_xlfn.IFNA(VLOOKUP(J98,'MCIA Corrective Actions'!$A$2:$R$1092,6,FALSE)," ")</f>
        <v>William Bradshaw</v>
      </c>
      <c r="T98" s="176">
        <f t="shared" si="1"/>
        <v>0</v>
      </c>
      <c r="U98" s="176">
        <f t="shared" si="2"/>
        <v>0</v>
      </c>
      <c r="V98" s="176">
        <f t="shared" si="0"/>
        <v>1</v>
      </c>
      <c r="W98" s="176">
        <f t="shared" si="3"/>
        <v>0</v>
      </c>
    </row>
    <row r="99" spans="2:23" ht="30" hidden="1" x14ac:dyDescent="0.25">
      <c r="B99" s="126" t="str">
        <f>_xlfn.IFNA(VLOOKUP(VLOOKUP(J99,'MCIA Cases'!$A$2:$AB$1091,26,FALSE),Summary!$J$43:$K$264,2,FALSE)," ")</f>
        <v xml:space="preserve"> </v>
      </c>
      <c r="C99" s="143" t="str">
        <f>_xlfn.IFNA(VLOOKUP(J99,'MCIA Cases'!$A$2:$R$1091,15,FALSE)," ")</f>
        <v>Robert Kelly</v>
      </c>
      <c r="E99" s="110"/>
      <c r="F99" s="110"/>
      <c r="H99" s="110"/>
      <c r="I99" s="112" t="str">
        <f>_xlfn.IFNA(VLOOKUP(J99,'MCIA Cases'!$A$2:$R$1091,11,FALSE)," ")</f>
        <v>01/27/2021</v>
      </c>
      <c r="J99" s="112">
        <v>386</v>
      </c>
      <c r="K99" s="7" t="str">
        <f>_xlfn.IFNA(VLOOKUP(J99,'MCIA Cases'!$A$2:$R$1091,2,FALSE)," ")</f>
        <v>Scow 66 #1 Closing Cylinder Failure 210127</v>
      </c>
      <c r="L99" s="1">
        <f>_xlfn.IFNA(VLOOKUP(J99,'MCIA Cases'!$A$2:$R$1091,9,FALSE)," ")</f>
        <v>0</v>
      </c>
      <c r="M99" s="7" t="str">
        <f>_xlfn.IFNA(VLOOKUP(J99,'MCIA Cases'!$A$2:$R$1091,3,FALSE)," ")</f>
        <v>Jeremy Remme</v>
      </c>
      <c r="N99" s="1">
        <f>IF(COUNTIF('MCIA Corrective Actions'!$A:$A,J99)=0," ",COUNTIF('MCIA Corrective Actions'!$A:$A,J99))</f>
        <v>1</v>
      </c>
      <c r="O99" s="1">
        <f>IF(COUNTIF('MCIA Corrective Actions'!$A:$A,J99)=0," ",COUNTIFS('MCIA Corrective Actions'!$A:$A,J99,'MCIA Corrective Actions'!N:N,"Yes"))</f>
        <v>0</v>
      </c>
      <c r="P99" s="7" t="str">
        <f>_xlfn.IFNA(VLOOKUP(J99,'MCIA Corrective Actions'!$A$2:$R$1092,6,FALSE)," ")</f>
        <v>Andrew Larkin</v>
      </c>
      <c r="Q99" s="7" t="s">
        <v>2779</v>
      </c>
      <c r="R99" s="7" t="s">
        <v>2895</v>
      </c>
      <c r="T99" s="176">
        <f t="shared" si="1"/>
        <v>1</v>
      </c>
      <c r="U99" s="176">
        <f t="shared" si="2"/>
        <v>0</v>
      </c>
      <c r="V99" s="176">
        <f t="shared" si="0"/>
        <v>1</v>
      </c>
      <c r="W99" s="176">
        <f t="shared" si="3"/>
        <v>0</v>
      </c>
    </row>
    <row r="100" spans="2:23" ht="30" hidden="1" x14ac:dyDescent="0.25">
      <c r="B100" s="126" t="str">
        <f>_xlfn.IFNA(VLOOKUP(VLOOKUP(J100,'MCIA Cases'!$A$2:$AB$1091,26,FALSE),Summary!$J$43:$K$264,2,FALSE)," ")</f>
        <v xml:space="preserve"> </v>
      </c>
      <c r="C100" s="143" t="str">
        <f>_xlfn.IFNA(VLOOKUP(J100,'MCIA Cases'!$A$2:$R$1091,15,FALSE)," ")</f>
        <v>Chris Faught</v>
      </c>
      <c r="E100" s="110"/>
      <c r="F100" s="110"/>
      <c r="H100" s="110"/>
      <c r="I100" s="112" t="str">
        <f>_xlfn.IFNA(VLOOKUP(J100,'MCIA Cases'!$A$2:$R$1091,11,FALSE)," ")</f>
        <v>03/05/2021</v>
      </c>
      <c r="J100" s="112">
        <v>389</v>
      </c>
      <c r="K100" s="7" t="str">
        <f>_xlfn.IFNA(VLOOKUP(J100,'MCIA Cases'!$A$2:$R$1091,2,FALSE)," ")</f>
        <v>Crane Boom Failure</v>
      </c>
      <c r="L100" s="1">
        <f>_xlfn.IFNA(VLOOKUP(J100,'MCIA Cases'!$A$2:$R$1091,9,FALSE)," ")</f>
        <v>0</v>
      </c>
      <c r="M100" s="7" t="str">
        <f>_xlfn.IFNA(VLOOKUP(J100,'MCIA Cases'!$A$2:$R$1091,3,FALSE)," ")</f>
        <v>Terreo Hathorn</v>
      </c>
      <c r="N100" s="1">
        <f>IF(COUNTIF('MCIA Corrective Actions'!$A:$A,J100)=0," ",COUNTIF('MCIA Corrective Actions'!$A:$A,J100))</f>
        <v>2</v>
      </c>
      <c r="O100" s="1">
        <f>IF(COUNTIF('MCIA Corrective Actions'!$A:$A,J100)=0," ",COUNTIFS('MCIA Corrective Actions'!$A:$A,J100,'MCIA Corrective Actions'!N:N,"Yes"))</f>
        <v>2</v>
      </c>
      <c r="P100" s="7" t="str">
        <f>_xlfn.IFNA(VLOOKUP(J100,'MCIA Corrective Actions'!$A$2:$R$1092,6,FALSE)," ")</f>
        <v>Christopher Charron</v>
      </c>
      <c r="Q100" s="7" t="s">
        <v>2781</v>
      </c>
      <c r="T100" s="176">
        <f t="shared" si="1"/>
        <v>0</v>
      </c>
      <c r="U100" s="176">
        <f t="shared" si="2"/>
        <v>0</v>
      </c>
      <c r="V100" s="176">
        <f t="shared" si="0"/>
        <v>1</v>
      </c>
      <c r="W100" s="176">
        <f t="shared" si="3"/>
        <v>0</v>
      </c>
    </row>
    <row r="101" spans="2:23" ht="30" hidden="1" x14ac:dyDescent="0.25">
      <c r="B101" s="126" t="str">
        <f>_xlfn.IFNA(VLOOKUP(VLOOKUP(J101,'MCIA Cases'!$A$2:$AB$1091,26,FALSE),Summary!$J$43:$K$264,2,FALSE)," ")</f>
        <v xml:space="preserve"> </v>
      </c>
      <c r="C101" s="143" t="str">
        <f>_xlfn.IFNA(VLOOKUP(J101,'MCIA Cases'!$A$2:$R$1091,15,FALSE)," ")</f>
        <v>Steve W Lawrence</v>
      </c>
      <c r="E101" s="110"/>
      <c r="F101" s="110"/>
      <c r="H101" s="110"/>
      <c r="I101" s="112" t="str">
        <f>_xlfn.IFNA(VLOOKUP(J101,'MCIA Cases'!$A$2:$R$1091,11,FALSE)," ")</f>
        <v>04/02/2021</v>
      </c>
      <c r="J101" s="112">
        <v>394</v>
      </c>
      <c r="K101" s="7" t="str">
        <f>_xlfn.IFNA(VLOOKUP(J101,'MCIA Cases'!$A$2:$R$1091,2,FALSE)," ")</f>
        <v>Jax Yard Marina Damage</v>
      </c>
      <c r="L101" s="1">
        <f>_xlfn.IFNA(VLOOKUP(J101,'MCIA Cases'!$A$2:$R$1091,9,FALSE)," ")</f>
        <v>0</v>
      </c>
      <c r="M101" s="7" t="str">
        <f>_xlfn.IFNA(VLOOKUP(J101,'MCIA Cases'!$A$2:$R$1091,3,FALSE)," ")</f>
        <v>Steve W Lawrence</v>
      </c>
      <c r="N101" s="1" t="str">
        <f>IF(COUNTIF('MCIA Corrective Actions'!$A:$A,J101)=0," ",COUNTIF('MCIA Corrective Actions'!$A:$A,J101))</f>
        <v xml:space="preserve"> </v>
      </c>
      <c r="O101" s="1" t="str">
        <f>IF(COUNTIF('MCIA Corrective Actions'!$A:$A,J101)=0," ",COUNTIFS('MCIA Corrective Actions'!$A:$A,J101,'MCIA Corrective Actions'!N:N,"Yes"))</f>
        <v xml:space="preserve"> </v>
      </c>
      <c r="P101" s="7" t="str">
        <f>_xlfn.IFNA(VLOOKUP(J101,'MCIA Corrective Actions'!$A$2:$R$1092,6,FALSE)," ")</f>
        <v xml:space="preserve"> </v>
      </c>
      <c r="T101" s="176" t="str">
        <f t="shared" si="1"/>
        <v xml:space="preserve"> </v>
      </c>
      <c r="U101" s="176">
        <f t="shared" si="2"/>
        <v>0</v>
      </c>
      <c r="V101" s="176">
        <f t="shared" si="0"/>
        <v>1</v>
      </c>
      <c r="W101" s="176">
        <f t="shared" si="3"/>
        <v>0</v>
      </c>
    </row>
    <row r="102" spans="2:23" ht="30" hidden="1" x14ac:dyDescent="0.25">
      <c r="B102" s="126" t="str">
        <f>_xlfn.IFNA(VLOOKUP(VLOOKUP(J102,'MCIA Cases'!$A$2:$AB$1091,26,FALSE),Summary!$J$43:$K$264,2,FALSE)," ")</f>
        <v xml:space="preserve"> </v>
      </c>
      <c r="C102" s="143" t="str">
        <f>_xlfn.IFNA(VLOOKUP(J102,'MCIA Cases'!$A$2:$R$1091,15,FALSE)," ")</f>
        <v>Crystopher Barnett</v>
      </c>
      <c r="E102" s="110"/>
      <c r="F102" s="110"/>
      <c r="H102" s="110"/>
      <c r="I102" s="112" t="str">
        <f>_xlfn.IFNA(VLOOKUP(J102,'MCIA Cases'!$A$2:$R$1091,11,FALSE)," ")</f>
        <v>05/21/2021</v>
      </c>
      <c r="J102" s="7">
        <v>399</v>
      </c>
      <c r="K102" s="7" t="str">
        <f>_xlfn.IFNA(VLOOKUP(J102,'MCIA Cases'!$A$2:$R$1091,2,FALSE)," ")</f>
        <v>Ellis Island Miss Dump</v>
      </c>
      <c r="L102" s="1">
        <f>_xlfn.IFNA(VLOOKUP(J102,'MCIA Cases'!$A$2:$R$1091,9,FALSE)," ")</f>
        <v>0</v>
      </c>
      <c r="M102" s="7" t="str">
        <f>_xlfn.IFNA(VLOOKUP(J102,'MCIA Cases'!$A$2:$R$1091,3,FALSE)," ")</f>
        <v>Nicholas D Williams</v>
      </c>
      <c r="N102" s="1">
        <f>IF(COUNTIF('MCIA Corrective Actions'!$A:$A,J102)=0," ",COUNTIF('MCIA Corrective Actions'!$A:$A,J102))</f>
        <v>3</v>
      </c>
      <c r="O102" s="1">
        <f>IF(COUNTIF('MCIA Corrective Actions'!$A:$A,J102)=0," ",COUNTIFS('MCIA Corrective Actions'!$A:$A,J102,'MCIA Corrective Actions'!N:N,"Yes"))</f>
        <v>3</v>
      </c>
      <c r="P102" s="7" t="str">
        <f>_xlfn.IFNA(VLOOKUP(J102,'MCIA Corrective Actions'!$A$2:$R$1092,6,FALSE)," ")</f>
        <v>Jeremy Remme</v>
      </c>
      <c r="T102" s="176">
        <f t="shared" si="1"/>
        <v>0</v>
      </c>
      <c r="U102" s="176">
        <f t="shared" si="2"/>
        <v>0</v>
      </c>
      <c r="V102" s="176">
        <f t="shared" si="0"/>
        <v>1</v>
      </c>
      <c r="W102" s="176">
        <f t="shared" si="3"/>
        <v>0</v>
      </c>
    </row>
    <row r="103" spans="2:23" ht="30" hidden="1" x14ac:dyDescent="0.25">
      <c r="B103" s="126" t="str">
        <f>_xlfn.IFNA(VLOOKUP(VLOOKUP(J103,'MCIA Cases'!$A$2:$AB$1091,26,FALSE),Summary!$J$43:$K$264,2,FALSE)," ")</f>
        <v xml:space="preserve"> </v>
      </c>
      <c r="C103" s="143" t="str">
        <f>_xlfn.IFNA(VLOOKUP(J103,'MCIA Cases'!$A$2:$R$1091,15,FALSE)," ")</f>
        <v>William Bradshaw</v>
      </c>
      <c r="E103" s="110"/>
      <c r="F103" s="110"/>
      <c r="H103" s="110"/>
      <c r="I103" s="112" t="str">
        <f>_xlfn.IFNA(VLOOKUP(J103,'MCIA Cases'!$A$2:$R$1091,11,FALSE)," ")</f>
        <v>07/01/2021</v>
      </c>
      <c r="J103" s="7">
        <v>405</v>
      </c>
      <c r="K103" s="7" t="str">
        <f>_xlfn.IFNA(VLOOKUP(J103,'MCIA Cases'!$A$2:$R$1091,2,FALSE)," ")</f>
        <v>Pass A'Loutre GL 660 Dozer Sinking</v>
      </c>
      <c r="L103" s="1">
        <f>_xlfn.IFNA(VLOOKUP(J103,'MCIA Cases'!$A$2:$R$1091,9,FALSE)," ")</f>
        <v>0</v>
      </c>
      <c r="M103" s="7" t="str">
        <f>_xlfn.IFNA(VLOOKUP(J103,'MCIA Cases'!$A$2:$R$1091,3,FALSE)," ")</f>
        <v>William Bradshaw</v>
      </c>
      <c r="N103" s="1">
        <f>IF(COUNTIF('MCIA Corrective Actions'!$A:$A,J103)=0," ",COUNTIF('MCIA Corrective Actions'!$A:$A,J103))</f>
        <v>2</v>
      </c>
      <c r="O103" s="1">
        <f>IF(COUNTIF('MCIA Corrective Actions'!$A:$A,J103)=0," ",COUNTIFS('MCIA Corrective Actions'!$A:$A,J103,'MCIA Corrective Actions'!N:N,"Yes"))</f>
        <v>2</v>
      </c>
      <c r="P103" s="7" t="str">
        <f>_xlfn.IFNA(VLOOKUP(J103,'MCIA Corrective Actions'!$A$2:$R$1092,6,FALSE)," ")</f>
        <v>William Bradshaw</v>
      </c>
      <c r="T103" s="176">
        <f t="shared" si="1"/>
        <v>0</v>
      </c>
      <c r="U103" s="176">
        <f t="shared" si="2"/>
        <v>0</v>
      </c>
      <c r="V103" s="176">
        <f t="shared" si="0"/>
        <v>1</v>
      </c>
      <c r="W103" s="176">
        <f t="shared" si="3"/>
        <v>0</v>
      </c>
    </row>
    <row r="104" spans="2:23" ht="30" hidden="1" x14ac:dyDescent="0.25">
      <c r="B104" s="126" t="str">
        <f>VLOOKUP(J104,'MCIA Cases'!$A$2:$AG$1091,29,FALSE)</f>
        <v>Carolina</v>
      </c>
      <c r="C104" s="143" t="str">
        <f>_xlfn.IFNA(VLOOKUP(J104,'MCIA Cases'!$A$2:$AG$1091,11,FALSE)," ")</f>
        <v>06/15/2021</v>
      </c>
      <c r="E104" s="110"/>
      <c r="F104" s="110"/>
      <c r="H104" s="110"/>
      <c r="I104" s="112" t="str">
        <f>_xlfn.IFNA(VLOOKUP(J104,'MCIA Cases'!$A$2:$R$1091,12,FALSE)," ")</f>
        <v>Complete</v>
      </c>
      <c r="J104" s="7">
        <v>407</v>
      </c>
      <c r="K104" s="7" t="str">
        <f>_xlfn.IFNA(VLOOKUP(J104,'MCIA Cases'!$A$2:$AG$1091,2,FALSE)," ")</f>
        <v>Starboard Main Pump</v>
      </c>
      <c r="L104" s="1" t="str">
        <f>_xlfn.IFNA(VLOOKUP(J104,'MCIA Cases'!$A$2:$R$1091,17,FALSE)," ")</f>
        <v>06/15/2021</v>
      </c>
      <c r="M104" s="7" t="str">
        <f>_xlfn.IFNA(VLOOKUP(J104,'MCIA Cases'!$A$2:$R$1091,3,FALSE)," ")</f>
        <v>Wade Smith</v>
      </c>
      <c r="N104" s="1">
        <f>IF(COUNTIF('MCIA Corrective Actions'!$A:$A,J104)=0," ",COUNTIF('MCIA Corrective Actions'!$A:$A,J104))</f>
        <v>1</v>
      </c>
      <c r="O104" s="1">
        <f>IF(COUNTIF('MCIA Corrective Actions'!$A:$A,J104)=0," ",COUNTIFS('MCIA Corrective Actions'!$A:$A,J104,'MCIA Corrective Actions'!N:N,"Yes"))</f>
        <v>0</v>
      </c>
      <c r="P104" s="7" t="str">
        <f>_xlfn.IFNA(VLOOKUP(J104,'MCIA Corrective Actions'!$A$2:$R$1092,6,FALSE)," ")</f>
        <v>Lupe Benavides</v>
      </c>
      <c r="T104" s="176">
        <f t="shared" ref="T104" si="20">IF(N104=" "," ",N104-O104)</f>
        <v>1</v>
      </c>
      <c r="U104" s="176">
        <f t="shared" ref="U104" si="21">IF(D104&gt;0, 1, 0)</f>
        <v>0</v>
      </c>
      <c r="V104" s="176">
        <f t="shared" ref="V104" si="22">IF(L104=" ", 0, 1)</f>
        <v>1</v>
      </c>
      <c r="W104" s="176">
        <f t="shared" ref="W104" si="23">IF(U104+V104=2,1,0)</f>
        <v>0</v>
      </c>
    </row>
    <row r="105" spans="2:23" hidden="1" x14ac:dyDescent="0.25">
      <c r="B105" s="126" t="str">
        <f>VLOOKUP(J105,'MCIA Cases'!$A$2:$AG$1091,29,FALSE)</f>
        <v>Booster 32-20</v>
      </c>
      <c r="C105" s="143" t="str">
        <f>_xlfn.IFNA(VLOOKUP(J105,'MCIA Cases'!$A$2:$AG$1091,11,FALSE)," ")</f>
        <v>10/25/2021</v>
      </c>
      <c r="E105" s="110"/>
      <c r="F105" s="110"/>
      <c r="H105" s="110"/>
      <c r="I105" s="112" t="str">
        <f>_xlfn.IFNA(VLOOKUP(J105,'MCIA Cases'!$A$2:$R$1091,12,FALSE)," ")</f>
        <v>In Progress</v>
      </c>
      <c r="J105" s="7">
        <v>419</v>
      </c>
      <c r="K105" s="7" t="str">
        <f>_xlfn.IFNA(VLOOKUP(J105,'MCIA Cases'!$A$2:$AG$1091,2,FALSE)," ")</f>
        <v>R032 Booster 3516 engine failure</v>
      </c>
      <c r="L105" s="1" t="str">
        <f>_xlfn.IFNA(VLOOKUP(J105,'MCIA Cases'!$A$2:$R$1091,17,FALSE)," ")</f>
        <v>10/25/2021</v>
      </c>
      <c r="M105" s="7" t="str">
        <f>_xlfn.IFNA(VLOOKUP(J105,'MCIA Cases'!$A$2:$R$1091,3,FALSE)," ")</f>
        <v>Terry Newberry</v>
      </c>
      <c r="N105" s="1">
        <f>IF(COUNTIF('MCIA Corrective Actions'!$A:$A,J105)=0," ",COUNTIF('MCIA Corrective Actions'!$A:$A,J105))</f>
        <v>4</v>
      </c>
      <c r="O105" s="1">
        <f>IF(COUNTIF('MCIA Corrective Actions'!$A:$A,J105)=0," ",COUNTIFS('MCIA Corrective Actions'!$A:$A,J105,'MCIA Corrective Actions'!N:N,"Yes"))</f>
        <v>0</v>
      </c>
      <c r="P105" s="7" t="str">
        <f>_xlfn.IFNA(VLOOKUP(J105,'MCIA Corrective Actions'!$A$2:$R$1092,6,FALSE)," ")</f>
        <v>Everett Reed</v>
      </c>
      <c r="T105" s="176">
        <f t="shared" ref="T105:T106" si="24">IF(N105=" "," ",N105-O105)</f>
        <v>4</v>
      </c>
      <c r="U105" s="176">
        <f t="shared" ref="U105:U106" si="25">IF(D105&gt;0, 1, 0)</f>
        <v>0</v>
      </c>
      <c r="V105" s="176">
        <f t="shared" ref="V105:V106" si="26">IF(L105=" ", 0, 1)</f>
        <v>1</v>
      </c>
      <c r="W105" s="176">
        <f t="shared" ref="W105:W106" si="27">IF(U105+V105=2,1,0)</f>
        <v>0</v>
      </c>
    </row>
    <row r="106" spans="2:23" hidden="1" x14ac:dyDescent="0.25">
      <c r="B106" s="126" t="e">
        <f>VLOOKUP(J106,'MCIA Cases'!$A$2:$AG$1091,29,FALSE)</f>
        <v>#N/A</v>
      </c>
      <c r="C106" s="143" t="str">
        <f>_xlfn.IFNA(VLOOKUP(J106,'MCIA Cases'!$A$2:$AG$1091,11,FALSE)," ")</f>
        <v xml:space="preserve"> </v>
      </c>
      <c r="E106" s="110"/>
      <c r="F106" s="110"/>
      <c r="H106" s="110"/>
      <c r="I106" s="112" t="str">
        <f>_xlfn.IFNA(VLOOKUP(J106,'MCIA Cases'!$A$2:$R$1091,12,FALSE)," ")</f>
        <v xml:space="preserve"> </v>
      </c>
      <c r="J106" s="7">
        <v>420</v>
      </c>
      <c r="K106" s="7" t="str">
        <f>_xlfn.IFNA(VLOOKUP(J106,'MCIA Cases'!$A$2:$AG$1091,2,FALSE)," ")</f>
        <v xml:space="preserve"> </v>
      </c>
      <c r="L106" s="1" t="str">
        <f>_xlfn.IFNA(VLOOKUP(J106,'MCIA Cases'!$A$2:$R$1091,17,FALSE)," ")</f>
        <v xml:space="preserve"> </v>
      </c>
      <c r="M106" s="7" t="str">
        <f>_xlfn.IFNA(VLOOKUP(J106,'MCIA Cases'!$A$2:$R$1091,3,FALSE)," ")</f>
        <v xml:space="preserve"> </v>
      </c>
      <c r="N106" s="1" t="str">
        <f>IF(COUNTIF('MCIA Corrective Actions'!$A:$A,J106)=0," ",COUNTIF('MCIA Corrective Actions'!$A:$A,J106))</f>
        <v xml:space="preserve"> </v>
      </c>
      <c r="O106" s="1" t="str">
        <f>IF(COUNTIF('MCIA Corrective Actions'!$A:$A,J106)=0," ",COUNTIFS('MCIA Corrective Actions'!$A:$A,J106,'MCIA Corrective Actions'!N:N,"Yes"))</f>
        <v xml:space="preserve"> </v>
      </c>
      <c r="P106" s="7" t="str">
        <f>_xlfn.IFNA(VLOOKUP(J106,'MCIA Corrective Actions'!$A$2:$R$1092,6,FALSE)," ")</f>
        <v xml:space="preserve"> </v>
      </c>
      <c r="T106" s="176" t="str">
        <f t="shared" si="24"/>
        <v xml:space="preserve"> </v>
      </c>
      <c r="U106" s="176">
        <f t="shared" si="25"/>
        <v>0</v>
      </c>
      <c r="V106" s="176">
        <f t="shared" si="26"/>
        <v>0</v>
      </c>
      <c r="W106" s="176">
        <f t="shared" si="27"/>
        <v>0</v>
      </c>
    </row>
    <row r="107" spans="2:23" hidden="1" x14ac:dyDescent="0.25">
      <c r="B107" s="126" t="e">
        <f>VLOOKUP(J107,'MCIA Cases'!$A$2:$AG$1091,29,FALSE)</f>
        <v>#N/A</v>
      </c>
      <c r="C107" s="143" t="str">
        <f>_xlfn.IFNA(VLOOKUP(J107,'MCIA Cases'!$A$2:$AG$1091,11,FALSE)," ")</f>
        <v xml:space="preserve"> </v>
      </c>
      <c r="E107" s="110"/>
      <c r="F107" s="110"/>
      <c r="H107" s="110"/>
      <c r="I107" s="112" t="str">
        <f>_xlfn.IFNA(VLOOKUP(J107,'MCIA Cases'!$A$2:$R$1091,12,FALSE)," ")</f>
        <v xml:space="preserve"> </v>
      </c>
      <c r="J107" s="7">
        <v>421</v>
      </c>
      <c r="K107" s="7" t="str">
        <f>_xlfn.IFNA(VLOOKUP(J107,'MCIA Cases'!$A$2:$AG$1091,2,FALSE)," ")</f>
        <v xml:space="preserve"> </v>
      </c>
      <c r="L107" s="1" t="str">
        <f>_xlfn.IFNA(VLOOKUP(J107,'MCIA Cases'!$A$2:$R$1091,17,FALSE)," ")</f>
        <v xml:space="preserve"> </v>
      </c>
      <c r="M107" s="7" t="str">
        <f>_xlfn.IFNA(VLOOKUP(J107,'MCIA Cases'!$A$2:$R$1091,3,FALSE)," ")</f>
        <v xml:space="preserve"> </v>
      </c>
      <c r="N107" s="1" t="str">
        <f>IF(COUNTIF('MCIA Corrective Actions'!$A:$A,J107)=0," ",COUNTIF('MCIA Corrective Actions'!$A:$A,J107))</f>
        <v xml:space="preserve"> </v>
      </c>
      <c r="O107" s="1" t="str">
        <f>IF(COUNTIF('MCIA Corrective Actions'!$A:$A,J107)=0," ",COUNTIFS('MCIA Corrective Actions'!$A:$A,J107,'MCIA Corrective Actions'!N:N,"Yes"))</f>
        <v xml:space="preserve"> </v>
      </c>
    </row>
    <row r="108" spans="2:23" x14ac:dyDescent="0.25">
      <c r="B108" s="126"/>
      <c r="E108" s="110"/>
      <c r="F108" s="110"/>
      <c r="H108" s="110"/>
      <c r="I108" s="112"/>
      <c r="L108" s="1"/>
    </row>
    <row r="109" spans="2:23" x14ac:dyDescent="0.25">
      <c r="B109" s="126"/>
      <c r="E109" s="110"/>
      <c r="F109" s="110"/>
      <c r="H109" s="110"/>
      <c r="I109" s="112"/>
      <c r="L109" s="1"/>
    </row>
    <row r="110" spans="2:23" ht="3.75" customHeight="1" x14ac:dyDescent="0.25">
      <c r="B110" s="184"/>
      <c r="C110" s="185"/>
      <c r="D110" s="186"/>
      <c r="E110" s="186"/>
      <c r="F110" s="186"/>
      <c r="G110" s="187"/>
      <c r="H110" s="186"/>
      <c r="I110" s="188"/>
      <c r="J110" s="188"/>
      <c r="K110" s="188"/>
      <c r="L110" s="189"/>
      <c r="M110" s="188"/>
      <c r="N110" s="189"/>
      <c r="O110" s="189"/>
      <c r="P110" s="188"/>
      <c r="Q110" s="188"/>
      <c r="R110" s="188"/>
    </row>
    <row r="111" spans="2:23" x14ac:dyDescent="0.25">
      <c r="B111" s="126"/>
      <c r="E111" s="110"/>
      <c r="F111" s="110"/>
      <c r="H111" s="110"/>
      <c r="I111" s="112"/>
      <c r="L111" s="1"/>
    </row>
    <row r="112" spans="2:23" ht="15.75" thickBot="1" x14ac:dyDescent="0.3">
      <c r="B112" s="126"/>
      <c r="E112" s="110"/>
      <c r="F112" s="110"/>
      <c r="H112" s="110"/>
      <c r="I112" s="112"/>
      <c r="L112" s="1"/>
    </row>
    <row r="113" spans="2:23" x14ac:dyDescent="0.25">
      <c r="E113" s="111"/>
      <c r="H113" s="169"/>
      <c r="I113" s="293" t="s">
        <v>2878</v>
      </c>
      <c r="J113" s="293"/>
      <c r="K113" s="294"/>
    </row>
    <row r="114" spans="2:23" x14ac:dyDescent="0.25">
      <c r="E114" s="111"/>
      <c r="H114" s="170"/>
      <c r="I114" s="295" t="s">
        <v>2879</v>
      </c>
      <c r="J114" s="295"/>
      <c r="K114" s="296"/>
    </row>
    <row r="115" spans="2:23" x14ac:dyDescent="0.25">
      <c r="E115" s="111"/>
      <c r="H115" s="171"/>
      <c r="I115" s="295" t="s">
        <v>2880</v>
      </c>
      <c r="J115" s="295"/>
      <c r="K115" s="296"/>
    </row>
    <row r="116" spans="2:23" ht="15.75" thickBot="1" x14ac:dyDescent="0.3">
      <c r="H116" s="172"/>
      <c r="I116" s="297" t="s">
        <v>2881</v>
      </c>
      <c r="J116" s="298"/>
      <c r="K116" s="299"/>
      <c r="T116" s="292" t="s">
        <v>2794</v>
      </c>
      <c r="U116" s="292"/>
      <c r="V116" s="292"/>
      <c r="W116" s="292"/>
    </row>
    <row r="117" spans="2:23" x14ac:dyDescent="0.25">
      <c r="E117" s="110"/>
      <c r="F117" s="110"/>
      <c r="H117" s="110"/>
      <c r="I117" s="110"/>
      <c r="P117" s="7" t="str">
        <f>_xlfn.IFNA(VLOOKUP(J117,'MCIA Corrective Actions'!$A$2:$R$1092,6,FALSE)," ")</f>
        <v xml:space="preserve"> </v>
      </c>
    </row>
    <row r="118" spans="2:23" x14ac:dyDescent="0.25">
      <c r="C118" s="1" t="s">
        <v>265</v>
      </c>
      <c r="E118" s="7" t="s">
        <v>2802</v>
      </c>
      <c r="F118" s="110"/>
      <c r="H118" s="7" t="s">
        <v>2795</v>
      </c>
      <c r="N118" s="1" t="str">
        <f>IF(COUNTIF('MCIA Corrective Actions'!$A:$A,#REF!)=0," ",COUNTIF('MCIA Corrective Actions'!$A:$A,#REF!))</f>
        <v xml:space="preserve"> </v>
      </c>
      <c r="O118" s="1" t="str">
        <f>IF(COUNTIF('MCIA Corrective Actions'!$A:$A,#REF!)=0," ",COUNTIFS('MCIA Corrective Actions'!$A:$A,#REF!,'MCIA Corrective Actions'!N:N,"Yes"))</f>
        <v xml:space="preserve"> </v>
      </c>
      <c r="P118" s="7" t="e">
        <f>_xlfn.IFNA(VLOOKUP(#REF!,'MCIA Corrective Actions'!$A$2:$R$1092,6,FALSE)," ")</f>
        <v>#REF!</v>
      </c>
    </row>
    <row r="119" spans="2:23" x14ac:dyDescent="0.25">
      <c r="C119" s="145">
        <f>SUM(C120:C123)</f>
        <v>10</v>
      </c>
      <c r="E119" s="144" t="s">
        <v>2783</v>
      </c>
      <c r="F119" s="110"/>
      <c r="H119" s="153" t="s">
        <v>2797</v>
      </c>
    </row>
    <row r="120" spans="2:23" x14ac:dyDescent="0.25">
      <c r="C120" s="144">
        <f>COUNTIF(I:I,"In Progress")</f>
        <v>3</v>
      </c>
      <c r="E120" s="144" t="s">
        <v>2788</v>
      </c>
      <c r="F120" s="110"/>
      <c r="H120" s="153" t="s">
        <v>2797</v>
      </c>
    </row>
    <row r="121" spans="2:23" x14ac:dyDescent="0.25">
      <c r="C121" s="145">
        <f>COUNTIF(I:I,"Ready for Edits")</f>
        <v>1</v>
      </c>
      <c r="E121" s="144" t="s">
        <v>2804</v>
      </c>
      <c r="F121" s="110"/>
      <c r="H121" s="153" t="s">
        <v>2797</v>
      </c>
    </row>
    <row r="122" spans="2:23" x14ac:dyDescent="0.25">
      <c r="C122" s="145">
        <f>COUNTIF(I:I,"Ready for Review")</f>
        <v>1</v>
      </c>
      <c r="E122" s="144" t="s">
        <v>2803</v>
      </c>
      <c r="F122" s="110"/>
      <c r="H122" s="153" t="s">
        <v>2797</v>
      </c>
    </row>
    <row r="123" spans="2:23" x14ac:dyDescent="0.25">
      <c r="C123" s="145">
        <f>COUNTIF(I:I,"Complete")</f>
        <v>5</v>
      </c>
      <c r="E123" s="144" t="s">
        <v>2784</v>
      </c>
      <c r="F123" s="110"/>
      <c r="H123" s="153" t="s">
        <v>2797</v>
      </c>
    </row>
    <row r="124" spans="2:23" ht="30" x14ac:dyDescent="0.25">
      <c r="C124" s="145">
        <f>(COUNTIF(O:O,0))-(COUNTIF(T:T,0))</f>
        <v>-2</v>
      </c>
      <c r="E124" s="144" t="s">
        <v>2805</v>
      </c>
      <c r="F124" s="110"/>
      <c r="H124" s="153" t="s">
        <v>2798</v>
      </c>
    </row>
    <row r="125" spans="2:23" x14ac:dyDescent="0.25">
      <c r="B125" s="109" t="s">
        <v>2809</v>
      </c>
      <c r="C125" s="147">
        <f>COUNT(D:D)</f>
        <v>82</v>
      </c>
      <c r="E125" s="146" t="s">
        <v>2787</v>
      </c>
      <c r="F125" s="110"/>
      <c r="H125" s="154" t="s">
        <v>2796</v>
      </c>
    </row>
    <row r="126" spans="2:23" x14ac:dyDescent="0.25">
      <c r="C126" s="147">
        <f>C125-C127</f>
        <v>54</v>
      </c>
      <c r="E126" s="146" t="s">
        <v>2785</v>
      </c>
      <c r="F126" s="110"/>
      <c r="H126" s="154" t="s">
        <v>2796</v>
      </c>
    </row>
    <row r="127" spans="2:23" x14ac:dyDescent="0.25">
      <c r="C127" s="147">
        <f>COUNTIFS('EDL Data'!B:B,2021,'EDL Data'!J:J,"None")</f>
        <v>28</v>
      </c>
      <c r="E127" s="146" t="s">
        <v>2786</v>
      </c>
      <c r="F127" s="110"/>
      <c r="H127" s="154" t="s">
        <v>2796</v>
      </c>
    </row>
    <row r="128" spans="2:23" x14ac:dyDescent="0.25">
      <c r="B128" s="109" t="s">
        <v>2809</v>
      </c>
      <c r="C128" s="151">
        <f>SUM(W:W)</f>
        <v>8</v>
      </c>
      <c r="E128" s="150" t="s">
        <v>2793</v>
      </c>
      <c r="F128" s="110"/>
      <c r="H128" s="155" t="s">
        <v>2799</v>
      </c>
    </row>
    <row r="129" spans="2:9" x14ac:dyDescent="0.25">
      <c r="B129" s="109" t="s">
        <v>2809</v>
      </c>
      <c r="C129" s="149">
        <f>COUNTIF(INDEX(Table6[],0,10),"N")</f>
        <v>37</v>
      </c>
      <c r="E129" s="148" t="s">
        <v>2806</v>
      </c>
      <c r="F129" s="110"/>
      <c r="H129" s="156" t="s">
        <v>2800</v>
      </c>
    </row>
    <row r="130" spans="2:9" ht="30" x14ac:dyDescent="0.25">
      <c r="B130" s="109" t="s">
        <v>2809</v>
      </c>
      <c r="C130" s="149">
        <f>COUNTIF(INDEX(Table6[],0,10),"Y")</f>
        <v>2</v>
      </c>
      <c r="E130" s="148" t="s">
        <v>2807</v>
      </c>
      <c r="F130" s="110"/>
      <c r="H130" s="156" t="s">
        <v>2800</v>
      </c>
    </row>
    <row r="131" spans="2:9" x14ac:dyDescent="0.25">
      <c r="B131" s="109" t="s">
        <v>2809</v>
      </c>
      <c r="C131" s="149">
        <f>COUNTIF(INDEX(Table6[],0,10),"")</f>
        <v>34</v>
      </c>
      <c r="E131" s="148" t="s">
        <v>2808</v>
      </c>
      <c r="F131" s="110"/>
      <c r="H131" s="156" t="s">
        <v>2800</v>
      </c>
    </row>
    <row r="132" spans="2:9" x14ac:dyDescent="0.25">
      <c r="B132" s="9">
        <f>SUM(C128:C131)</f>
        <v>81</v>
      </c>
      <c r="E132" s="110"/>
      <c r="F132" s="110"/>
      <c r="H132" s="110"/>
      <c r="I132" s="110"/>
    </row>
    <row r="133" spans="2:9" x14ac:dyDescent="0.25">
      <c r="I133" s="110"/>
    </row>
    <row r="134" spans="2:9" x14ac:dyDescent="0.25">
      <c r="E134" s="110"/>
      <c r="F134" s="110"/>
      <c r="H134" s="110"/>
      <c r="I134" s="110"/>
    </row>
  </sheetData>
  <sheetProtection selectLockedCells="1" selectUnlockedCells="1"/>
  <mergeCells count="5">
    <mergeCell ref="T116:W116"/>
    <mergeCell ref="I113:K113"/>
    <mergeCell ref="I114:K114"/>
    <mergeCell ref="I115:K115"/>
    <mergeCell ref="I116:K116"/>
  </mergeCells>
  <pageMargins left="0.7" right="0.7" top="0.75" bottom="0.75" header="0.3" footer="0.3"/>
  <pageSetup orientation="portrait" horizontalDpi="4294967293" verticalDpi="4294967293" r:id="rId1"/>
  <ignoredErrors>
    <ignoredError sqref="I4:I81" calculatedColumn="1"/>
  </ignoredError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39997558519241921"/>
  </sheetPr>
  <dimension ref="A1:W4238"/>
  <sheetViews>
    <sheetView topLeftCell="B32" zoomScaleNormal="100" workbookViewId="0">
      <selection activeCell="I44" sqref="I44"/>
    </sheetView>
  </sheetViews>
  <sheetFormatPr defaultColWidth="9.140625" defaultRowHeight="15" x14ac:dyDescent="0.25"/>
  <cols>
    <col min="1" max="1" width="17.7109375" style="7" hidden="1" customWidth="1"/>
    <col min="2" max="2" width="12.7109375" style="109" bestFit="1" customWidth="1"/>
    <col min="3" max="3" width="16.5703125" style="143" customWidth="1"/>
    <col min="4" max="4" width="6.85546875" style="110" hidden="1" customWidth="1"/>
    <col min="5" max="5" width="40.42578125" style="7" customWidth="1"/>
    <col min="6" max="6" width="37.5703125" style="7" hidden="1" customWidth="1"/>
    <col min="7" max="7" width="8.5703125" style="109" customWidth="1"/>
    <col min="8" max="8" width="26.7109375" style="7" customWidth="1"/>
    <col min="9" max="9" width="13.85546875" style="7" customWidth="1"/>
    <col min="10" max="10" width="15.140625" style="7" customWidth="1"/>
    <col min="11" max="11" width="37.85546875" style="7" customWidth="1"/>
    <col min="12" max="12" width="17.140625" style="7" hidden="1" customWidth="1"/>
    <col min="13" max="13" width="18.7109375" style="7" hidden="1" customWidth="1"/>
    <col min="14" max="14" width="23" style="1" hidden="1" customWidth="1"/>
    <col min="15" max="15" width="32" style="1" hidden="1" customWidth="1"/>
    <col min="16" max="16" width="11.85546875" style="7" hidden="1" customWidth="1"/>
    <col min="17" max="17" width="34.140625" style="7" hidden="1" customWidth="1"/>
    <col min="18" max="18" width="69" style="7" customWidth="1"/>
    <col min="19" max="19" width="9" style="7" customWidth="1"/>
    <col min="20" max="23" width="9.140625" style="176"/>
    <col min="24" max="16384" width="9.140625" style="1"/>
  </cols>
  <sheetData>
    <row r="1" spans="1:23" x14ac:dyDescent="0.25">
      <c r="E1" s="111" t="s">
        <v>3111</v>
      </c>
    </row>
    <row r="2" spans="1:23" ht="45" x14ac:dyDescent="0.25">
      <c r="A2" s="190" t="s">
        <v>2723</v>
      </c>
      <c r="B2" s="191" t="s">
        <v>588</v>
      </c>
      <c r="C2" s="192" t="s">
        <v>656</v>
      </c>
      <c r="D2" s="193" t="s">
        <v>590</v>
      </c>
      <c r="E2" s="190" t="s">
        <v>591</v>
      </c>
      <c r="F2" s="190" t="s">
        <v>605</v>
      </c>
      <c r="G2" s="191" t="s">
        <v>592</v>
      </c>
      <c r="H2" s="190" t="s">
        <v>274</v>
      </c>
      <c r="I2" s="194" t="s">
        <v>652</v>
      </c>
      <c r="J2" s="194" t="s">
        <v>1276</v>
      </c>
      <c r="K2" s="194" t="s">
        <v>1277</v>
      </c>
      <c r="L2" s="194" t="s">
        <v>657</v>
      </c>
      <c r="M2" s="194" t="s">
        <v>655</v>
      </c>
      <c r="N2" s="194" t="s">
        <v>653</v>
      </c>
      <c r="O2" s="194" t="s">
        <v>654</v>
      </c>
      <c r="P2" s="194" t="s">
        <v>2273</v>
      </c>
      <c r="Q2" s="194" t="s">
        <v>660</v>
      </c>
      <c r="R2" s="195" t="s">
        <v>2884</v>
      </c>
      <c r="S2" s="174"/>
      <c r="T2" s="152" t="s">
        <v>2789</v>
      </c>
      <c r="U2" s="152" t="s">
        <v>2790</v>
      </c>
      <c r="V2" s="152" t="s">
        <v>2791</v>
      </c>
      <c r="W2" s="152" t="s">
        <v>2792</v>
      </c>
    </row>
    <row r="3" spans="1:23" hidden="1" x14ac:dyDescent="0.25">
      <c r="A3" s="7">
        <v>307</v>
      </c>
      <c r="B3" s="109">
        <f>VLOOKUP($A3,Table1[['#]:[Vessel]],4,FALSE)</f>
        <v>55</v>
      </c>
      <c r="C3" s="143">
        <f>VLOOKUP($A3,Table1[['#]:[Date]],3,FALSE)</f>
        <v>44572</v>
      </c>
      <c r="D3" s="110">
        <f>VLOOKUP($A3,Table1[['#]:[Hours]],7,FALSE)</f>
        <v>25.671111111121718</v>
      </c>
      <c r="E3" s="110" t="str">
        <f>VLOOKUP($A3,Table1[['#]:[System]],8,FALSE)&amp;" / "&amp;VLOOKUP($A3,Table1[['#]:[Subsystem]],9,FALSE)</f>
        <v>Auxiliary Systems / Compressed Air</v>
      </c>
      <c r="F3" s="110" t="str">
        <f>VLOOKUP($A3,Table1[['#]:[Delay Log Notes]],11,FALSE)</f>
        <v>Water froze in air lines</v>
      </c>
      <c r="G3" s="109" t="str">
        <f>VLOOKUP($A3,Table1[['#]:[Work Order '#]],10,FALSE)</f>
        <v>N/A</v>
      </c>
      <c r="H3" s="110" t="str">
        <f>IF(G3="None"," ",VLOOKUP($A3,Table1[['#]:[Work Order Title]],12,FALSE))</f>
        <v>No Work Order entered</v>
      </c>
      <c r="I3" s="7" t="str">
        <f>_xlfn.IFNA(VLOOKUP(J3,'MCIA Cases'!$A$2:$R$1091,12,FALSE)," ")</f>
        <v xml:space="preserve"> </v>
      </c>
      <c r="J3" s="7" t="s">
        <v>611</v>
      </c>
      <c r="K3" s="7" t="str">
        <f>_xlfn.IFNA(VLOOKUP(J3,'MCIA Cases'!$A$2:$AG$1091,2,FALSE)," ")</f>
        <v xml:space="preserve"> </v>
      </c>
      <c r="L3" s="1" t="str">
        <f>_xlfn.IFNA(VLOOKUP(J3,'MCIA Cases'!$A$2:$R$1091,17,FALSE)," ")</f>
        <v xml:space="preserve"> </v>
      </c>
      <c r="M3" s="7" t="str">
        <f>_xlfn.IFNA(VLOOKUP(J3,'MCIA Cases'!$A$2:$R$1091,3,FALSE)," ")</f>
        <v xml:space="preserve"> </v>
      </c>
      <c r="N3" s="1" t="str">
        <f>IF(COUNTIF('MCIA Corrective Actions'!$A:$A,J3)=0," ",COUNTIF('MCIA Corrective Actions'!$A:$A,J3))</f>
        <v xml:space="preserve"> </v>
      </c>
      <c r="O3" s="1" t="str">
        <f>IF(COUNTIF('MCIA Corrective Actions'!$A:$A,J3)=0," ",COUNTIFS('MCIA Corrective Actions'!$A:$A,J3,'MCIA Corrective Actions'!N:N,"Yes"))</f>
        <v xml:space="preserve"> </v>
      </c>
      <c r="P3" s="7" t="str">
        <f>_xlfn.IFNA(VLOOKUP(J3,'MCIA Corrective Actions'!$A$2:$R$1092,6,FALSE)," ")</f>
        <v xml:space="preserve"> </v>
      </c>
      <c r="R3" s="7" t="s">
        <v>611</v>
      </c>
      <c r="T3" s="176" t="str">
        <f>IF(N3=" "," ",N3-O3)</f>
        <v xml:space="preserve"> </v>
      </c>
      <c r="U3" s="176">
        <f>IF(D3&gt;0, 1, 0)</f>
        <v>1</v>
      </c>
      <c r="V3" s="176">
        <f t="shared" ref="V3" si="0">IF(L3=" ", 0, 1)</f>
        <v>0</v>
      </c>
      <c r="W3" s="176">
        <f>IF(U3+V3=2,1,0)</f>
        <v>0</v>
      </c>
    </row>
    <row r="4" spans="1:23" ht="45" hidden="1" x14ac:dyDescent="0.25">
      <c r="A4" s="7">
        <v>308</v>
      </c>
      <c r="B4" s="122" t="str">
        <f>VLOOKUP($A4,Table1[['#]:[Vessel]],4,FALSE)</f>
        <v>Carolina</v>
      </c>
      <c r="C4" s="157">
        <f>VLOOKUP($A4,Table1[['#]:[Date]],3,FALSE)</f>
        <v>44576</v>
      </c>
      <c r="D4" s="158">
        <f>VLOOKUP($A4,Table1[['#]:[Hours]],7,FALSE)</f>
        <v>110.85222222207813</v>
      </c>
      <c r="E4" s="158" t="str">
        <f>VLOOKUP($A4,Table1[['#]:[System]],8,FALSE)&amp;" / "&amp;VLOOKUP($A4,Table1[['#]:[Subsystem]],9,FALSE)</f>
        <v>Ladder Pump / Bearings / Shafts</v>
      </c>
      <c r="F4" s="158" t="str">
        <f>VLOOKUP($A4,Table1[['#]:[Delay Log Notes]],11,FALSE)</f>
        <v>None</v>
      </c>
      <c r="G4" s="122">
        <f>VLOOKUP($A4,Table1[['#]:[Work Order '#]],10,FALSE)</f>
        <v>4813489</v>
      </c>
      <c r="H4" s="158" t="str">
        <f>IF(G4="None"," ",VLOOKUP($A4,Table1[['#]:[Work Order Title]],12,FALSE))</f>
        <v>Thrust bearing replacement</v>
      </c>
      <c r="I4" s="112" t="str">
        <f>_xlfn.IFNA(VLOOKUP(J4,'MCIA Cases'!$A$2:$R$1091,12,FALSE)," ")</f>
        <v xml:space="preserve"> </v>
      </c>
      <c r="J4" s="112" t="s">
        <v>611</v>
      </c>
      <c r="K4" s="198" t="str">
        <f>_xlfn.IFNA(VLOOKUP(J4,'MCIA Cases'!$A$2:$AG$1091,2,FALSE)," ")</f>
        <v xml:space="preserve"> </v>
      </c>
      <c r="L4" s="199" t="str">
        <f>_xlfn.IFNA(VLOOKUP(J4,'MCIA Cases'!$A$2:$R$1091,17,FALSE)," ")</f>
        <v xml:space="preserve"> </v>
      </c>
      <c r="M4" s="112" t="str">
        <f>_xlfn.IFNA(VLOOKUP(J4,'MCIA Cases'!$A$2:$R$1091,3,FALSE)," ")</f>
        <v xml:space="preserve"> </v>
      </c>
      <c r="N4" s="71" t="str">
        <f>IF(COUNTIF('MCIA Corrective Actions'!$A:$A,J4)=0," ",COUNTIF('MCIA Corrective Actions'!$A:$A,J4))</f>
        <v xml:space="preserve"> </v>
      </c>
      <c r="O4" s="71" t="str">
        <f>IF(COUNTIF('MCIA Corrective Actions'!$A:$A,J4)=0," ",COUNTIFS('MCIA Corrective Actions'!$A:$A,J4,'MCIA Corrective Actions'!N:N,"Yes"))</f>
        <v xml:space="preserve"> </v>
      </c>
      <c r="P4" s="112"/>
      <c r="Q4" s="112"/>
      <c r="R4" s="217" t="s">
        <v>3217</v>
      </c>
      <c r="T4" s="176" t="str">
        <f t="shared" ref="T4:T51" si="1">IF(N4=" "," ",N4-O4)</f>
        <v xml:space="preserve"> </v>
      </c>
      <c r="U4" s="176">
        <f t="shared" ref="U4:U46" si="2">IF(D4&gt;0, 1, 0)</f>
        <v>1</v>
      </c>
      <c r="V4" s="176">
        <f t="shared" ref="V4:V46" si="3">IF(L4=" ", 0, 1)</f>
        <v>0</v>
      </c>
      <c r="W4" s="176">
        <f t="shared" ref="W4:W46" si="4">IF(U4+V4=2,1,0)</f>
        <v>0</v>
      </c>
    </row>
    <row r="5" spans="1:23" ht="45" hidden="1" x14ac:dyDescent="0.25">
      <c r="A5" s="7">
        <v>309</v>
      </c>
      <c r="B5" s="109" t="str">
        <f>VLOOKUP($A5,Table1[['#]:[Vessel]],4,FALSE)</f>
        <v>Terrapin Island</v>
      </c>
      <c r="C5" s="143">
        <f>VLOOKUP($A5,Table1[['#]:[Date]],3,FALSE)</f>
        <v>44578</v>
      </c>
      <c r="D5" s="110">
        <f>VLOOKUP($A5,Table1[['#]:[Hours]],7,FALSE)</f>
        <v>58.625000000058208</v>
      </c>
      <c r="E5" s="110" t="str">
        <f>VLOOKUP($A5,Table1[['#]:[System]],8,FALSE)&amp;" / "&amp;VLOOKUP($A5,Table1[['#]:[Subsystem]],9,FALSE)</f>
        <v>Dredge Pump / Gland Seal</v>
      </c>
      <c r="F5" s="110" t="str">
        <f>VLOOKUP($A5,Table1[['#]:[Delay Log Notes]],11,FALSE)</f>
        <v>None</v>
      </c>
      <c r="G5" s="109">
        <f>VLOOKUP($A5,Table1[['#]:[Work Order '#]],10,FALSE)</f>
        <v>4184362</v>
      </c>
      <c r="H5" s="110" t="str">
        <f>IF(G5="None"," ",VLOOKUP($A5,Table1[['#]:[Work Order Title]],12,FALSE))</f>
        <v>Replace the  gland seal -  Stbd Pump - Leaking too much water</v>
      </c>
      <c r="I5" s="112" t="str">
        <f>_xlfn.IFNA(VLOOKUP(J5,'MCIA Cases'!$A$2:$R$1091,12,FALSE)," ")</f>
        <v xml:space="preserve"> </v>
      </c>
      <c r="J5" s="112" t="s">
        <v>611</v>
      </c>
      <c r="K5" s="126" t="str">
        <f>_xlfn.IFNA(VLOOKUP(J5,'MCIA Cases'!$A$2:$R$1091,2,FALSE)," ")</f>
        <v xml:space="preserve"> </v>
      </c>
      <c r="L5" s="127" t="str">
        <f>_xlfn.IFNA(VLOOKUP(J5,'MCIA Cases'!$A$2:$R$1091,9,FALSE)," ")</f>
        <v xml:space="preserve"> </v>
      </c>
      <c r="M5" s="7" t="str">
        <f>_xlfn.IFNA(VLOOKUP(J5,'MCIA Cases'!$A$2:$R$1091,3,FALSE)," ")</f>
        <v xml:space="preserve"> </v>
      </c>
      <c r="N5" s="1" t="str">
        <f>IF(COUNTIF('MCIA Corrective Actions'!$A:$A,J5)=0," ",COUNTIF('MCIA Corrective Actions'!$A:$A,J5))</f>
        <v xml:space="preserve"> </v>
      </c>
      <c r="O5" s="1" t="str">
        <f>IF(COUNTIF('MCIA Corrective Actions'!$A:$A,J5)=0," ",COUNTIFS('MCIA Corrective Actions'!$A:$A,J5,'MCIA Corrective Actions'!N:N,"Yes"))</f>
        <v xml:space="preserve"> </v>
      </c>
      <c r="R5" s="7" t="s">
        <v>3171</v>
      </c>
      <c r="T5" s="176" t="str">
        <f t="shared" si="1"/>
        <v xml:space="preserve"> </v>
      </c>
      <c r="U5" s="176">
        <f t="shared" si="2"/>
        <v>1</v>
      </c>
      <c r="V5" s="176">
        <f t="shared" si="3"/>
        <v>0</v>
      </c>
      <c r="W5" s="176">
        <f t="shared" si="4"/>
        <v>0</v>
      </c>
    </row>
    <row r="6" spans="1:23" ht="45" x14ac:dyDescent="0.25">
      <c r="A6" s="7">
        <v>310</v>
      </c>
      <c r="B6" s="109" t="str">
        <f>VLOOKUP($A6,Table1[['#]:[Vessel]],4,FALSE)</f>
        <v>New York</v>
      </c>
      <c r="C6" s="143">
        <f>VLOOKUP($A6,Table1[['#]:[Date]],3,FALSE)</f>
        <v>44582</v>
      </c>
      <c r="D6" s="110">
        <f>VLOOKUP($A6,Table1[['#]:[Hours]],7,FALSE)</f>
        <v>26.194166666711681</v>
      </c>
      <c r="E6" s="110" t="str">
        <f>VLOOKUP($A6,Table1[['#]:[System]],8,FALSE)&amp;" / "&amp;VLOOKUP($A6,Table1[['#]:[Subsystem]],9,FALSE)</f>
        <v>Main/Aux Generators / PP1</v>
      </c>
      <c r="F6" s="110" t="str">
        <f>VLOOKUP($A6,Table1[['#]:[Delay Log Notes]],11,FALSE)</f>
        <v>Work on PP1; Moved to Spud down location outside of office to finish repairs</v>
      </c>
      <c r="G6" s="109">
        <f>VLOOKUP($A6,Table1[['#]:[Work Order '#]],10,FALSE)</f>
        <v>1769537</v>
      </c>
      <c r="H6" s="272" t="str">
        <f>IF(G6="None"," ",VLOOKUP($A6,Table1[['#]:[Work Order Title]],12,FALSE))</f>
        <v>Work Order not found</v>
      </c>
      <c r="I6" s="112" t="str">
        <f>_xlfn.IFNA(VLOOKUP(J6,'MCIA Cases'!$A$2:$R$1091,12,FALSE)," ")</f>
        <v xml:space="preserve"> </v>
      </c>
      <c r="J6" s="175" t="s">
        <v>3172</v>
      </c>
      <c r="K6" s="126" t="str">
        <f>_xlfn.IFNA(VLOOKUP(J6,'MCIA Cases'!$A$2:$R$1091,2,FALSE)," ")</f>
        <v xml:space="preserve"> </v>
      </c>
      <c r="L6" s="127" t="str">
        <f>_xlfn.IFNA(VLOOKUP(J6,'MCIA Cases'!$A$2:$R$1091,9,FALSE)," ")</f>
        <v xml:space="preserve"> </v>
      </c>
      <c r="M6" s="7" t="str">
        <f>_xlfn.IFNA(VLOOKUP(J6,'MCIA Cases'!$A$2:$R$1091,3,FALSE)," ")</f>
        <v xml:space="preserve"> </v>
      </c>
      <c r="N6" s="1" t="str">
        <f>IF(COUNTIF('MCIA Corrective Actions'!$A:$A,J6)=0," ",COUNTIF('MCIA Corrective Actions'!$A:$A,J6))</f>
        <v xml:space="preserve"> </v>
      </c>
      <c r="O6" s="1" t="str">
        <f>IF(COUNTIF('MCIA Corrective Actions'!$A:$A,J6)=0," ",COUNTIFS('MCIA Corrective Actions'!$A:$A,J6,'MCIA Corrective Actions'!N:N,"Yes"))</f>
        <v xml:space="preserve"> </v>
      </c>
      <c r="R6" s="7" t="s">
        <v>3172</v>
      </c>
      <c r="T6" s="176" t="str">
        <f t="shared" si="1"/>
        <v xml:space="preserve"> </v>
      </c>
      <c r="U6" s="176">
        <f t="shared" si="2"/>
        <v>1</v>
      </c>
      <c r="V6" s="176">
        <f t="shared" si="3"/>
        <v>0</v>
      </c>
      <c r="W6" s="176">
        <f t="shared" si="4"/>
        <v>0</v>
      </c>
    </row>
    <row r="7" spans="1:23" ht="30" hidden="1" x14ac:dyDescent="0.25">
      <c r="A7" s="7">
        <v>311</v>
      </c>
      <c r="B7" s="109" t="str">
        <f>VLOOKUP($A7,Table1[['#]:[Vessel]],4,FALSE)</f>
        <v>Carolina</v>
      </c>
      <c r="C7" s="143">
        <f>VLOOKUP($A7,Table1[['#]:[Date]],3,FALSE)</f>
        <v>44587</v>
      </c>
      <c r="D7" s="110">
        <f>VLOOKUP($A7,Table1[['#]:[Hours]],7,FALSE)</f>
        <v>48.756944444321562</v>
      </c>
      <c r="E7" s="110" t="str">
        <f>VLOOKUP($A7,Table1[['#]:[System]],8,FALSE)&amp;" / "&amp;VLOOKUP($A7,Table1[['#]:[Subsystem]],9,FALSE)</f>
        <v>Idler / Spud Barge / GL10</v>
      </c>
      <c r="F7" s="110" t="str">
        <f>VLOOKUP($A7,Table1[['#]:[Delay Log Notes]],11,FALSE)</f>
        <v>None</v>
      </c>
      <c r="G7" s="109">
        <f>VLOOKUP($A7,Table1[['#]:[Work Order '#]],10,FALSE)</f>
        <v>4813835</v>
      </c>
      <c r="H7" s="110" t="str">
        <f>IF(G7="None"," ",VLOOKUP($A7,Table1[['#]:[Work Order Title]],12,FALSE))</f>
        <v>Replace Sprockets and Drive Chain on GL10 Spud Winch</v>
      </c>
      <c r="I7" s="112" t="str">
        <f>_xlfn.IFNA(VLOOKUP(J7,'MCIA Cases'!$A$2:$R$1091,12,FALSE)," ")</f>
        <v xml:space="preserve"> </v>
      </c>
      <c r="J7" s="112" t="s">
        <v>611</v>
      </c>
      <c r="K7" s="126" t="str">
        <f>_xlfn.IFNA(VLOOKUP(J7,'MCIA Cases'!$A$2:$AG$1091,2,FALSE)," ")</f>
        <v xml:space="preserve"> </v>
      </c>
      <c r="L7" s="127" t="str">
        <f>_xlfn.IFNA(VLOOKUP(J7,'MCIA Cases'!$A$2:$R$1091,17,FALSE)," ")</f>
        <v xml:space="preserve"> </v>
      </c>
      <c r="M7" s="7" t="str">
        <f>_xlfn.IFNA(VLOOKUP(J7,'MCIA Cases'!$A$2:$R$1091,3,FALSE)," ")</f>
        <v xml:space="preserve"> </v>
      </c>
      <c r="N7" s="1" t="str">
        <f>IF(COUNTIF('MCIA Corrective Actions'!$A:$A,J7)=0," ",COUNTIF('MCIA Corrective Actions'!$A:$A,J7))</f>
        <v xml:space="preserve"> </v>
      </c>
      <c r="O7" s="1" t="str">
        <f>IF(COUNTIF('MCIA Corrective Actions'!$A:$A,J7)=0," ",COUNTIFS('MCIA Corrective Actions'!$A:$A,J7,'MCIA Corrective Actions'!N:N,"Yes"))</f>
        <v xml:space="preserve"> </v>
      </c>
      <c r="R7" s="7" t="s">
        <v>3165</v>
      </c>
      <c r="T7" s="176" t="str">
        <f t="shared" si="1"/>
        <v xml:space="preserve"> </v>
      </c>
      <c r="U7" s="176">
        <f t="shared" si="2"/>
        <v>1</v>
      </c>
      <c r="V7" s="176">
        <f t="shared" si="3"/>
        <v>0</v>
      </c>
      <c r="W7" s="176">
        <f t="shared" si="4"/>
        <v>0</v>
      </c>
    </row>
    <row r="8" spans="1:23" ht="30" hidden="1" x14ac:dyDescent="0.25">
      <c r="A8" s="7">
        <v>312</v>
      </c>
      <c r="B8" s="109" t="str">
        <f>VLOOKUP($A8,Table1[['#]:[Vessel]],4,FALSE)</f>
        <v>New York</v>
      </c>
      <c r="C8" s="143">
        <f>VLOOKUP($A8,Table1[['#]:[Date]],3,FALSE)</f>
        <v>44601</v>
      </c>
      <c r="D8" s="110">
        <f>VLOOKUP($A8,Table1[['#]:[Hours]],7,FALSE)</f>
        <v>25.199999999895226</v>
      </c>
      <c r="E8" s="110" t="str">
        <f>VLOOKUP($A8,Table1[['#]:[System]],8,FALSE)&amp;" / "&amp;VLOOKUP($A8,Table1[['#]:[Subsystem]],9,FALSE)</f>
        <v>Main/Aux Generators / PP1</v>
      </c>
      <c r="F8" s="110" t="str">
        <f>VLOOKUP($A8,Table1[['#]:[Delay Log Notes]],11,FALSE)</f>
        <v>CHANGE OIL AND FILTERS</v>
      </c>
      <c r="G8" s="109">
        <f>VLOOKUP($A8,Table1[['#]:[Work Order '#]],10,FALSE)</f>
        <v>4814066</v>
      </c>
      <c r="H8" s="110" t="str">
        <f>IF(G8="None"," ",VLOOKUP($A8,Table1[['#]:[Work Order Title]],12,FALSE))</f>
        <v>Troubleshoot boom drift and stick float issues</v>
      </c>
      <c r="I8" s="112" t="str">
        <f>_xlfn.IFNA(VLOOKUP(J8,'MCIA Cases'!$A$2:$R$1091,12,FALSE)," ")</f>
        <v xml:space="preserve"> </v>
      </c>
      <c r="J8" s="112" t="s">
        <v>611</v>
      </c>
      <c r="K8" s="126" t="str">
        <f>_xlfn.IFNA(VLOOKUP(J8,'MCIA Cases'!$A$2:$AG$1091,2,FALSE)," ")</f>
        <v xml:space="preserve"> </v>
      </c>
      <c r="L8" s="127" t="str">
        <f>_xlfn.IFNA(VLOOKUP(J8,'MCIA Cases'!$A$2:$R$1091,17,FALSE)," ")</f>
        <v xml:space="preserve"> </v>
      </c>
      <c r="M8" s="7" t="str">
        <f>_xlfn.IFNA(VLOOKUP(J8,'MCIA Cases'!$A$2:$R$1091,3,FALSE)," ")</f>
        <v xml:space="preserve"> </v>
      </c>
      <c r="N8" s="1" t="str">
        <f>IF(COUNTIF('MCIA Corrective Actions'!$A:$A,J8)=0," ",COUNTIF('MCIA Corrective Actions'!$A:$A,J8))</f>
        <v xml:space="preserve"> </v>
      </c>
      <c r="O8" s="1" t="str">
        <f>IF(COUNTIF('MCIA Corrective Actions'!$A:$A,J8)=0," ",COUNTIFS('MCIA Corrective Actions'!$A:$A,J8,'MCIA Corrective Actions'!N:N,"Yes"))</f>
        <v xml:space="preserve"> </v>
      </c>
      <c r="R8" s="7" t="s">
        <v>3173</v>
      </c>
      <c r="T8" s="176" t="str">
        <f t="shared" si="1"/>
        <v xml:space="preserve"> </v>
      </c>
      <c r="U8" s="176">
        <f t="shared" si="2"/>
        <v>1</v>
      </c>
      <c r="V8" s="176">
        <f t="shared" si="3"/>
        <v>0</v>
      </c>
      <c r="W8" s="176">
        <f t="shared" si="4"/>
        <v>0</v>
      </c>
    </row>
    <row r="9" spans="1:23" ht="30" hidden="1" x14ac:dyDescent="0.25">
      <c r="A9" s="7">
        <v>313</v>
      </c>
      <c r="B9" s="109">
        <f>VLOOKUP($A9,Table1[['#]:[Vessel]],4,FALSE)</f>
        <v>53</v>
      </c>
      <c r="C9" s="143">
        <f>VLOOKUP($A9,Table1[['#]:[Date]],3,FALSE)</f>
        <v>44602</v>
      </c>
      <c r="D9" s="110">
        <f>VLOOKUP($A9,Table1[['#]:[Hours]],7,FALSE)</f>
        <v>69</v>
      </c>
      <c r="E9" s="110" t="str">
        <f>VLOOKUP($A9,Table1[['#]:[System]],8,FALSE)&amp;" / "&amp;VLOOKUP($A9,Table1[['#]:[Subsystem]],9,FALSE)</f>
        <v>Tagline / Tagline Winch (motor, gearbox, etc.)</v>
      </c>
      <c r="F9" s="110" t="str">
        <f>VLOOKUP($A9,Table1[['#]:[Delay Log Notes]],11,FALSE)</f>
        <v>None</v>
      </c>
      <c r="G9" s="109">
        <f>VLOOKUP($A9,Table1[['#]:[Work Order '#]],10,FALSE)</f>
        <v>1770611</v>
      </c>
      <c r="H9" s="110" t="str">
        <f>IF(G9="None"," ",VLOOKUP($A9,Table1[['#]:[Work Order Title]],12,FALSE))</f>
        <v>Work Order not found</v>
      </c>
      <c r="I9" s="112" t="str">
        <f>_xlfn.IFNA(VLOOKUP(J9,'MCIA Cases'!$A$2:$R$1091,12,FALSE)," ")</f>
        <v xml:space="preserve"> </v>
      </c>
      <c r="J9" s="112" t="s">
        <v>611</v>
      </c>
      <c r="K9" s="126" t="str">
        <f>_xlfn.IFNA(VLOOKUP(J9,'MCIA Cases'!$A$2:$AG$1091,2,FALSE)," ")</f>
        <v xml:space="preserve"> </v>
      </c>
      <c r="L9" s="127" t="str">
        <f>_xlfn.IFNA(VLOOKUP(J9,'MCIA Cases'!$A$2:$R$1091,17,FALSE)," ")</f>
        <v xml:space="preserve"> </v>
      </c>
      <c r="M9" s="7" t="str">
        <f>_xlfn.IFNA(VLOOKUP(J9,'MCIA Cases'!$A$2:$R$1091,3,FALSE)," ")</f>
        <v xml:space="preserve"> </v>
      </c>
      <c r="N9" s="1" t="str">
        <f>IF(COUNTIF('MCIA Corrective Actions'!$A:$A,J9)=0," ",COUNTIF('MCIA Corrective Actions'!$A:$A,J9))</f>
        <v xml:space="preserve"> </v>
      </c>
      <c r="O9" s="1" t="str">
        <f>IF(COUNTIF('MCIA Corrective Actions'!$A:$A,J9)=0," ",COUNTIFS('MCIA Corrective Actions'!$A:$A,J9,'MCIA Corrective Actions'!N:N,"Yes"))</f>
        <v xml:space="preserve"> </v>
      </c>
      <c r="R9" s="7" t="s">
        <v>3164</v>
      </c>
      <c r="T9" s="176" t="str">
        <f t="shared" si="1"/>
        <v xml:space="preserve"> </v>
      </c>
      <c r="U9" s="176">
        <f t="shared" si="2"/>
        <v>1</v>
      </c>
      <c r="V9" s="176">
        <f t="shared" si="3"/>
        <v>0</v>
      </c>
      <c r="W9" s="176">
        <f t="shared" si="4"/>
        <v>0</v>
      </c>
    </row>
    <row r="10" spans="1:23" ht="30" hidden="1" x14ac:dyDescent="0.25">
      <c r="A10" s="7">
        <v>314</v>
      </c>
      <c r="B10" s="109" t="str">
        <f>VLOOKUP($A10,Table1[['#]:[Vessel]],4,FALSE)</f>
        <v>Sandpiper</v>
      </c>
      <c r="C10" s="143">
        <f>VLOOKUP($A10,Table1[['#]:[Date]],3,FALSE)</f>
        <v>44605</v>
      </c>
      <c r="D10" s="110">
        <f>VLOOKUP($A10,Table1[['#]:[Hours]],7,FALSE)</f>
        <v>81.916666666686069</v>
      </c>
      <c r="E10" s="110" t="str">
        <f>VLOOKUP($A10,Table1[['#]:[System]],8,FALSE)&amp;" / "&amp;VLOOKUP($A10,Table1[['#]:[Subsystem]],9,FALSE)</f>
        <v>Cutter / Motor</v>
      </c>
      <c r="F10" s="110" t="str">
        <f>VLOOKUP($A10,Table1[['#]:[Delay Log Notes]],11,FALSE)</f>
        <v>replaced k27 pump, pilot pump, and 2 saffer pumps on ladderffer</v>
      </c>
      <c r="G10" s="109">
        <f>VLOOKUP($A10,Table1[['#]:[Work Order '#]],10,FALSE)</f>
        <v>4814293</v>
      </c>
      <c r="H10" s="110" t="str">
        <f>IF(G10="None"," ",VLOOKUP($A10,Table1[['#]:[Work Order Title]],12,FALSE))</f>
        <v>K27 pump failure &amp; Removal</v>
      </c>
      <c r="I10" s="112" t="str">
        <f>_xlfn.IFNA(VLOOKUP(J10,'MCIA Cases'!$A$2:$R$1091,12,FALSE)," ")</f>
        <v xml:space="preserve"> </v>
      </c>
      <c r="J10" s="112" t="s">
        <v>611</v>
      </c>
      <c r="K10" s="126" t="str">
        <f>_xlfn.IFNA(VLOOKUP(J10,'MCIA Cases'!$A$2:$AG$1091,2,FALSE)," ")</f>
        <v xml:space="preserve"> </v>
      </c>
      <c r="L10" s="127" t="str">
        <f>_xlfn.IFNA(VLOOKUP(J10,'MCIA Cases'!$A$2:$R$1091,17,FALSE)," ")</f>
        <v xml:space="preserve"> </v>
      </c>
      <c r="M10" s="7" t="str">
        <f>_xlfn.IFNA(VLOOKUP(J10,'MCIA Cases'!$A$2:$R$1091,3,FALSE)," ")</f>
        <v xml:space="preserve"> </v>
      </c>
      <c r="N10" s="1" t="str">
        <f>IF(COUNTIF('MCIA Corrective Actions'!$A:$A,J10)=0," ",COUNTIF('MCIA Corrective Actions'!$A:$A,J10))</f>
        <v xml:space="preserve"> </v>
      </c>
      <c r="O10" s="1" t="str">
        <f>IF(COUNTIF('MCIA Corrective Actions'!$A:$A,J10)=0," ",COUNTIFS('MCIA Corrective Actions'!$A:$A,J10,'MCIA Corrective Actions'!N:N,"Yes"))</f>
        <v xml:space="preserve"> </v>
      </c>
      <c r="R10" s="7" t="s">
        <v>3174</v>
      </c>
      <c r="T10" s="176" t="str">
        <f t="shared" si="1"/>
        <v xml:space="preserve"> </v>
      </c>
      <c r="U10" s="176">
        <f t="shared" si="2"/>
        <v>1</v>
      </c>
      <c r="V10" s="176">
        <f t="shared" si="3"/>
        <v>0</v>
      </c>
      <c r="W10" s="176">
        <f t="shared" si="4"/>
        <v>0</v>
      </c>
    </row>
    <row r="11" spans="1:23" ht="45" hidden="1" x14ac:dyDescent="0.25">
      <c r="A11" s="7">
        <v>315</v>
      </c>
      <c r="B11" s="109" t="str">
        <f>VLOOKUP($A11,Table1[['#]:[Vessel]],4,FALSE)</f>
        <v>Terrapin Island</v>
      </c>
      <c r="C11" s="143">
        <f>VLOOKUP($A11,Table1[['#]:[Date]],3,FALSE)</f>
        <v>44607</v>
      </c>
      <c r="D11" s="110">
        <f>VLOOKUP($A11,Table1[['#]:[Hours]],7,FALSE)</f>
        <v>120.99999999994179</v>
      </c>
      <c r="E11" s="110" t="str">
        <f>VLOOKUP($A11,Table1[['#]:[System]],8,FALSE)&amp;" / "&amp;VLOOKUP($A11,Table1[['#]:[Subsystem]],9,FALSE)</f>
        <v>Other / Other Mechanical</v>
      </c>
      <c r="F11" s="110" t="str">
        <f>VLOOKUP($A11,Table1[['#]:[Delay Log Notes]],11,FALSE)</f>
        <v>Vessel at anchor surveying the vessel to find the sounce of water and and follw up repairs to the hull.</v>
      </c>
      <c r="G11" s="109">
        <f>VLOOKUP($A11,Table1[['#]:[Work Order '#]],10,FALSE)</f>
        <v>4814218</v>
      </c>
      <c r="H11" s="110" t="str">
        <f>IF(G11="None"," ",VLOOKUP($A11,Table1[['#]:[Work Order Title]],12,FALSE))</f>
        <v>Services for Repairs</v>
      </c>
      <c r="I11" s="112" t="str">
        <f>_xlfn.IFNA(VLOOKUP(J11,'MCIA Cases'!$A$2:$R$1091,12,FALSE)," ")</f>
        <v xml:space="preserve"> </v>
      </c>
      <c r="J11" s="112" t="s">
        <v>611</v>
      </c>
      <c r="K11" s="126" t="str">
        <f>_xlfn.IFNA(VLOOKUP(J11,'MCIA Cases'!$A$2:$AG$1091,2,FALSE)," ")</f>
        <v xml:space="preserve"> </v>
      </c>
      <c r="L11" s="127" t="str">
        <f>_xlfn.IFNA(VLOOKUP(J11,'MCIA Cases'!$A$2:$R$1091,17,FALSE)," ")</f>
        <v xml:space="preserve"> </v>
      </c>
      <c r="M11" s="7" t="str">
        <f>_xlfn.IFNA(VLOOKUP(J11,'MCIA Cases'!$A$2:$R$1091,3,FALSE)," ")</f>
        <v xml:space="preserve"> </v>
      </c>
      <c r="N11" s="1" t="str">
        <f>IF(COUNTIF('MCIA Corrective Actions'!$A:$A,J11)=0," ",COUNTIF('MCIA Corrective Actions'!$A:$A,J11))</f>
        <v xml:space="preserve"> </v>
      </c>
      <c r="O11" s="1" t="str">
        <f>IF(COUNTIF('MCIA Corrective Actions'!$A:$A,J11)=0," ",COUNTIFS('MCIA Corrective Actions'!$A:$A,J11,'MCIA Corrective Actions'!N:N,"Yes"))</f>
        <v xml:space="preserve"> </v>
      </c>
      <c r="R11" s="7" t="s">
        <v>3166</v>
      </c>
      <c r="T11" s="176" t="str">
        <f t="shared" si="1"/>
        <v xml:space="preserve"> </v>
      </c>
      <c r="U11" s="176">
        <f t="shared" si="2"/>
        <v>1</v>
      </c>
      <c r="V11" s="176">
        <f t="shared" si="3"/>
        <v>0</v>
      </c>
      <c r="W11" s="176">
        <f t="shared" si="4"/>
        <v>0</v>
      </c>
    </row>
    <row r="12" spans="1:23" hidden="1" x14ac:dyDescent="0.25">
      <c r="A12" s="7">
        <v>316</v>
      </c>
      <c r="B12" s="109" t="str">
        <f>VLOOKUP($A12,Table1[['#]:[Vessel]],4,FALSE)</f>
        <v>Sandpiper</v>
      </c>
      <c r="C12" s="143">
        <f>VLOOKUP($A12,Table1[['#]:[Date]],3,FALSE)</f>
        <v>44609</v>
      </c>
      <c r="D12" s="110">
        <f>VLOOKUP($A12,Table1[['#]:[Hours]],7,FALSE)</f>
        <v>26.616666666639503</v>
      </c>
      <c r="E12" s="110" t="str">
        <f>VLOOKUP($A12,Table1[['#]:[System]],8,FALSE)&amp;" / "&amp;VLOOKUP($A12,Table1[['#]:[Subsystem]],9,FALSE)</f>
        <v>Cutter / Motor</v>
      </c>
      <c r="F12" s="110" t="str">
        <f>VLOOKUP($A12,Table1[['#]:[Delay Log Notes]],11,FALSE)</f>
        <v>hydraulic pump</v>
      </c>
      <c r="G12" s="109" t="str">
        <f>VLOOKUP($A12,Table1[['#]:[Work Order '#]],10,FALSE)</f>
        <v>None</v>
      </c>
      <c r="H12" s="110" t="str">
        <f>IF(G12="None"," ",VLOOKUP($A12,Table1[['#]:[Work Order Title]],12,FALSE))</f>
        <v xml:space="preserve"> </v>
      </c>
      <c r="I12" s="112" t="str">
        <f>_xlfn.IFNA(VLOOKUP(J12,'MCIA Cases'!$A$2:$R$1091,12,FALSE)," ")</f>
        <v xml:space="preserve"> </v>
      </c>
      <c r="J12" s="112" t="s">
        <v>611</v>
      </c>
      <c r="K12" s="126" t="str">
        <f>_xlfn.IFNA(VLOOKUP(J12,'MCIA Cases'!$A$2:$AG$1091,2,FALSE)," ")</f>
        <v xml:space="preserve"> </v>
      </c>
      <c r="L12" s="127" t="str">
        <f>_xlfn.IFNA(VLOOKUP(J12,'MCIA Cases'!$A$2:$R$1091,17,FALSE)," ")</f>
        <v xml:space="preserve"> </v>
      </c>
      <c r="M12" s="7" t="str">
        <f>_xlfn.IFNA(VLOOKUP(J12,'MCIA Cases'!$A$2:$R$1091,3,FALSE)," ")</f>
        <v xml:space="preserve"> </v>
      </c>
      <c r="N12" s="1" t="str">
        <f>IF(COUNTIF('MCIA Corrective Actions'!$A:$A,J12)=0," ",COUNTIF('MCIA Corrective Actions'!$A:$A,J12))</f>
        <v xml:space="preserve"> </v>
      </c>
      <c r="O12" s="1" t="str">
        <f>IF(COUNTIF('MCIA Corrective Actions'!$A:$A,J12)=0," ",COUNTIFS('MCIA Corrective Actions'!$A:$A,J12,'MCIA Corrective Actions'!N:N,"Yes"))</f>
        <v xml:space="preserve"> </v>
      </c>
      <c r="R12" s="7" t="s">
        <v>3174</v>
      </c>
      <c r="T12" s="176" t="str">
        <f t="shared" si="1"/>
        <v xml:space="preserve"> </v>
      </c>
      <c r="U12" s="176">
        <f t="shared" si="2"/>
        <v>1</v>
      </c>
      <c r="V12" s="176">
        <f t="shared" si="3"/>
        <v>0</v>
      </c>
      <c r="W12" s="176">
        <f t="shared" si="4"/>
        <v>0</v>
      </c>
    </row>
    <row r="13" spans="1:23" hidden="1" x14ac:dyDescent="0.25">
      <c r="A13" s="7">
        <v>317</v>
      </c>
      <c r="B13" s="109" t="str">
        <f>VLOOKUP($A13,Table1[['#]:[Vessel]],4,FALSE)</f>
        <v>Ellis Island</v>
      </c>
      <c r="C13" s="143">
        <f>VLOOKUP($A13,Table1[['#]:[Date]],3,FALSE)</f>
        <v>44610</v>
      </c>
      <c r="D13" s="110">
        <f>VLOOKUP($A13,Table1[['#]:[Hours]],7,FALSE)</f>
        <v>163.18305555568077</v>
      </c>
      <c r="E13" s="110" t="str">
        <f>VLOOKUP($A13,Table1[['#]:[System]],8,FALSE)&amp;" / "&amp;VLOOKUP($A13,Table1[['#]:[Subsystem]],9,FALSE)</f>
        <v>Piping/Hoses / Pump Room Discharge Pipe</v>
      </c>
      <c r="F13" s="110" t="str">
        <f>VLOOKUP($A13,Table1[['#]:[Delay Log Notes]],11,FALSE)</f>
        <v>Repair Bow Connection Elbow Pipe</v>
      </c>
      <c r="G13" s="109" t="str">
        <f>VLOOKUP($A13,Table1[['#]:[Work Order '#]],10,FALSE)</f>
        <v>None</v>
      </c>
      <c r="H13" s="110" t="str">
        <f>IF(G13="None"," ",VLOOKUP($A13,Table1[['#]:[Work Order Title]],12,FALSE))</f>
        <v xml:space="preserve"> </v>
      </c>
      <c r="I13" s="112" t="str">
        <f>_xlfn.IFNA(VLOOKUP(J13,'MCIA Cases'!$A$2:$R$1091,12,FALSE)," ")</f>
        <v>Complete</v>
      </c>
      <c r="J13" s="112">
        <v>425</v>
      </c>
      <c r="K13" s="126" t="str">
        <f>_xlfn.IFNA(VLOOKUP(J13,'MCIA Cases'!$A$2:$AG$1091,2,FALSE)," ")</f>
        <v>Ellis Island Overbow Elbow Failure</v>
      </c>
      <c r="L13" s="127" t="str">
        <f>_xlfn.IFNA(VLOOKUP(J13,'MCIA Cases'!$A$2:$R$1091,17,FALSE)," ")</f>
        <v>02/18/2022</v>
      </c>
      <c r="M13" s="7" t="str">
        <f>_xlfn.IFNA(VLOOKUP(J13,'MCIA Cases'!$A$2:$R$1091,3,FALSE)," ")</f>
        <v>David Dye</v>
      </c>
      <c r="N13" s="1">
        <f>IF(COUNTIF('MCIA Corrective Actions'!$A:$A,J13)=0," ",COUNTIF('MCIA Corrective Actions'!$A:$A,J13))</f>
        <v>1</v>
      </c>
      <c r="O13" s="1">
        <f>IF(COUNTIF('MCIA Corrective Actions'!$A:$A,J13)=0," ",COUNTIFS('MCIA Corrective Actions'!$A:$A,J13,'MCIA Corrective Actions'!N:N,"Yes"))</f>
        <v>1</v>
      </c>
      <c r="R13" s="7">
        <v>425</v>
      </c>
      <c r="T13" s="176">
        <f t="shared" si="1"/>
        <v>0</v>
      </c>
      <c r="U13" s="176">
        <f t="shared" si="2"/>
        <v>1</v>
      </c>
      <c r="V13" s="176">
        <f t="shared" si="3"/>
        <v>1</v>
      </c>
      <c r="W13" s="176">
        <f t="shared" si="4"/>
        <v>1</v>
      </c>
    </row>
    <row r="14" spans="1:23" hidden="1" x14ac:dyDescent="0.25">
      <c r="A14" s="7">
        <v>318</v>
      </c>
      <c r="B14" s="109" t="str">
        <f>VLOOKUP($A14,Table1[['#]:[Vessel]],4,FALSE)</f>
        <v>Sandpiper</v>
      </c>
      <c r="C14" s="143">
        <f>VLOOKUP($A14,Table1[['#]:[Date]],3,FALSE)</f>
        <v>44613</v>
      </c>
      <c r="D14" s="110">
        <f>VLOOKUP($A14,Table1[['#]:[Hours]],7,FALSE)</f>
        <v>35.533055555541068</v>
      </c>
      <c r="E14" s="110" t="str">
        <f>VLOOKUP($A14,Table1[['#]:[System]],8,FALSE)&amp;" / "&amp;VLOOKUP($A14,Table1[['#]:[Subsystem]],9,FALSE)</f>
        <v>Main Pump / Pump Rebuild</v>
      </c>
      <c r="F14" s="110" t="str">
        <f>VLOOKUP($A14,Table1[['#]:[Delay Log Notes]],11,FALSE)</f>
        <v>replace booster pump impeller</v>
      </c>
      <c r="G14" s="109">
        <f>VLOOKUP($A14,Table1[['#]:[Work Order '#]],10,FALSE)</f>
        <v>4814402</v>
      </c>
      <c r="H14" s="110" t="str">
        <f>IF(G14="None"," ",VLOOKUP($A14,Table1[['#]:[Work Order Title]],12,FALSE))</f>
        <v>Repairs to Booster Pump</v>
      </c>
      <c r="I14" s="112" t="str">
        <f>_xlfn.IFNA(VLOOKUP(J14,'MCIA Cases'!$A$2:$R$1091,12,FALSE)," ")</f>
        <v xml:space="preserve"> </v>
      </c>
      <c r="J14" s="112" t="s">
        <v>611</v>
      </c>
      <c r="K14" s="126" t="str">
        <f>_xlfn.IFNA(VLOOKUP(J14,'MCIA Cases'!$A$2:$AG$1091,2,FALSE)," ")</f>
        <v xml:space="preserve"> </v>
      </c>
      <c r="L14" s="127" t="str">
        <f>_xlfn.IFNA(VLOOKUP(J14,'MCIA Cases'!$A$2:$R$1091,17,FALSE)," ")</f>
        <v xml:space="preserve"> </v>
      </c>
      <c r="M14" s="7" t="str">
        <f>_xlfn.IFNA(VLOOKUP(J14,'MCIA Cases'!$A$2:$R$1091,3,FALSE)," ")</f>
        <v xml:space="preserve"> </v>
      </c>
      <c r="N14" s="1" t="str">
        <f>IF(COUNTIF('MCIA Corrective Actions'!$A:$A,J14)=0," ",COUNTIF('MCIA Corrective Actions'!$A:$A,J14))</f>
        <v xml:space="preserve"> </v>
      </c>
      <c r="O14" s="1" t="str">
        <f>IF(COUNTIF('MCIA Corrective Actions'!$A:$A,J14)=0," ",COUNTIFS('MCIA Corrective Actions'!$A:$A,J14,'MCIA Corrective Actions'!N:N,"Yes"))</f>
        <v xml:space="preserve"> </v>
      </c>
      <c r="R14" s="7" t="s">
        <v>3167</v>
      </c>
      <c r="T14" s="176" t="str">
        <f t="shared" si="1"/>
        <v xml:space="preserve"> </v>
      </c>
      <c r="U14" s="176">
        <f t="shared" si="2"/>
        <v>1</v>
      </c>
      <c r="V14" s="176">
        <f t="shared" si="3"/>
        <v>0</v>
      </c>
      <c r="W14" s="176">
        <f t="shared" si="4"/>
        <v>0</v>
      </c>
    </row>
    <row r="15" spans="1:23" ht="30" hidden="1" x14ac:dyDescent="0.25">
      <c r="A15" s="7">
        <v>319</v>
      </c>
      <c r="B15" s="109" t="str">
        <f>VLOOKUP($A15,Table1[['#]:[Vessel]],4,FALSE)</f>
        <v>Carolina</v>
      </c>
      <c r="C15" s="143">
        <f>VLOOKUP($A15,Table1[['#]:[Date]],3,FALSE)</f>
        <v>44616</v>
      </c>
      <c r="D15" s="110">
        <f>VLOOKUP($A15,Table1[['#]:[Hours]],7,FALSE)</f>
        <v>139.69694444455672</v>
      </c>
      <c r="E15" s="110" t="str">
        <f>VLOOKUP($A15,Table1[['#]:[System]],8,FALSE)&amp;" / "&amp;VLOOKUP($A15,Table1[['#]:[Subsystem]],9,FALSE)</f>
        <v>Main Pump / Pump Rebuild</v>
      </c>
      <c r="F15" s="110" t="str">
        <f>VLOOKUP($A15,Table1[['#]:[Delay Log Notes]],11,FALSE)</f>
        <v>Scheduled Maintenance. Opportunity tasks - replace sleeve</v>
      </c>
      <c r="G15" s="109" t="str">
        <f>VLOOKUP($A15,Table1[['#]:[Work Order '#]],10,FALSE)</f>
        <v>4814445, 4814426</v>
      </c>
      <c r="H15" s="110" t="str">
        <f>IF(G15="None"," ",VLOOKUP($A15,Table1[['#]:[Work Order Title]],12,FALSE))</f>
        <v>Stuffing box R&amp;R / Sleave replacement</v>
      </c>
      <c r="I15" s="112" t="str">
        <f>_xlfn.IFNA(VLOOKUP(J15,'MCIA Cases'!$A$2:$R$1091,12,FALSE)," ")</f>
        <v xml:space="preserve"> </v>
      </c>
      <c r="J15" s="112" t="s">
        <v>611</v>
      </c>
      <c r="K15" s="126" t="str">
        <f>_xlfn.IFNA(VLOOKUP(J15,'MCIA Cases'!$A$2:$AG$1091,2,FALSE)," ")</f>
        <v xml:space="preserve"> </v>
      </c>
      <c r="L15" s="127" t="str">
        <f>_xlfn.IFNA(VLOOKUP(J15,'MCIA Cases'!$A$2:$R$1091,17,FALSE)," ")</f>
        <v xml:space="preserve"> </v>
      </c>
      <c r="M15" s="7" t="str">
        <f>_xlfn.IFNA(VLOOKUP(J15,'MCIA Cases'!$A$2:$R$1091,3,FALSE)," ")</f>
        <v xml:space="preserve"> </v>
      </c>
      <c r="N15" s="1" t="str">
        <f>IF(COUNTIF('MCIA Corrective Actions'!$A:$A,J15)=0," ",COUNTIF('MCIA Corrective Actions'!$A:$A,J15))</f>
        <v xml:space="preserve"> </v>
      </c>
      <c r="O15" s="1" t="str">
        <f>IF(COUNTIF('MCIA Corrective Actions'!$A:$A,J15)=0," ",COUNTIFS('MCIA Corrective Actions'!$A:$A,J15,'MCIA Corrective Actions'!N:N,"Yes"))</f>
        <v xml:space="preserve"> </v>
      </c>
      <c r="R15" s="7" t="s">
        <v>3168</v>
      </c>
      <c r="T15" s="176" t="str">
        <f t="shared" si="1"/>
        <v xml:space="preserve"> </v>
      </c>
      <c r="U15" s="176">
        <f t="shared" si="2"/>
        <v>1</v>
      </c>
      <c r="V15" s="176">
        <f t="shared" si="3"/>
        <v>0</v>
      </c>
      <c r="W15" s="176">
        <f t="shared" si="4"/>
        <v>0</v>
      </c>
    </row>
    <row r="16" spans="1:23" hidden="1" x14ac:dyDescent="0.25">
      <c r="A16" s="7">
        <v>320</v>
      </c>
      <c r="B16" s="109">
        <f>VLOOKUP($A16,Table1[['#]:[Vessel]],4,FALSE)</f>
        <v>55</v>
      </c>
      <c r="C16" s="143">
        <f>VLOOKUP($A16,Table1[['#]:[Date]],3,FALSE)</f>
        <v>44619</v>
      </c>
      <c r="D16" s="110">
        <f>VLOOKUP($A16,Table1[['#]:[Hours]],7,FALSE)</f>
        <v>36.226111111056525</v>
      </c>
      <c r="E16" s="110" t="str">
        <f>VLOOKUP($A16,Table1[['#]:[System]],8,FALSE)&amp;" / "&amp;VLOOKUP($A16,Table1[['#]:[Subsystem]],9,FALSE)</f>
        <v>Main Hoist / Holder</v>
      </c>
      <c r="F16" s="110" t="str">
        <f>VLOOKUP($A16,Table1[['#]:[Delay Log Notes]],11,FALSE)</f>
        <v>None</v>
      </c>
      <c r="G16" s="109">
        <f>VLOOKUP($A16,Table1[['#]:[Work Order '#]],10,FALSE)</f>
        <v>4814843</v>
      </c>
      <c r="H16" s="110" t="str">
        <f>IF(G16="None"," ",VLOOKUP($A16,Table1[['#]:[Work Order Title]],12,FALSE))</f>
        <v>Aft Hoist Motor Replaced</v>
      </c>
      <c r="I16" s="112" t="str">
        <f>_xlfn.IFNA(VLOOKUP(J16,'MCIA Cases'!$A$2:$R$1091,12,FALSE)," ")</f>
        <v xml:space="preserve"> </v>
      </c>
      <c r="J16" s="112" t="s">
        <v>611</v>
      </c>
      <c r="K16" s="126" t="str">
        <f>_xlfn.IFNA(VLOOKUP(J16,'MCIA Cases'!$A$2:$AG$1091,2,FALSE)," ")</f>
        <v xml:space="preserve"> </v>
      </c>
      <c r="L16" s="127" t="str">
        <f>_xlfn.IFNA(VLOOKUP(J16,'MCIA Cases'!$A$2:$R$1091,17,FALSE)," ")</f>
        <v xml:space="preserve"> </v>
      </c>
      <c r="M16" s="7" t="str">
        <f>_xlfn.IFNA(VLOOKUP(J16,'MCIA Cases'!$A$2:$R$1091,3,FALSE)," ")</f>
        <v xml:space="preserve"> </v>
      </c>
      <c r="N16" s="1" t="str">
        <f>IF(COUNTIF('MCIA Corrective Actions'!$A:$A,J16)=0," ",COUNTIF('MCIA Corrective Actions'!$A:$A,J16))</f>
        <v xml:space="preserve"> </v>
      </c>
      <c r="O16" s="1" t="str">
        <f>IF(COUNTIF('MCIA Corrective Actions'!$A:$A,J16)=0," ",COUNTIFS('MCIA Corrective Actions'!$A:$A,J16,'MCIA Corrective Actions'!N:N,"Yes"))</f>
        <v xml:space="preserve"> </v>
      </c>
      <c r="R16" s="7" t="s">
        <v>3169</v>
      </c>
      <c r="T16" s="176" t="str">
        <f t="shared" si="1"/>
        <v xml:space="preserve"> </v>
      </c>
      <c r="U16" s="176">
        <f t="shared" si="2"/>
        <v>1</v>
      </c>
      <c r="V16" s="176">
        <f t="shared" si="3"/>
        <v>0</v>
      </c>
      <c r="W16" s="176">
        <f t="shared" si="4"/>
        <v>0</v>
      </c>
    </row>
    <row r="17" spans="1:23" ht="60" hidden="1" x14ac:dyDescent="0.25">
      <c r="A17" s="7">
        <v>321</v>
      </c>
      <c r="B17" s="109">
        <f>VLOOKUP($A17,Table1[['#]:[Vessel]],4,FALSE)</f>
        <v>55</v>
      </c>
      <c r="C17" s="143">
        <f>VLOOKUP($A17,Table1[['#]:[Date]],3,FALSE)</f>
        <v>44630</v>
      </c>
      <c r="D17" s="110">
        <f>VLOOKUP($A17,Table1[['#]:[Hours]],7,FALSE)</f>
        <v>53.649166666727979</v>
      </c>
      <c r="E17" s="110" t="str">
        <f>VLOOKUP($A17,Table1[['#]:[System]],8,FALSE)&amp;" / "&amp;VLOOKUP($A17,Table1[['#]:[Subsystem]],9,FALSE)</f>
        <v>Main Hoist / Holder</v>
      </c>
      <c r="F17" s="110" t="str">
        <f>VLOOKUP($A17,Table1[['#]:[Delay Log Notes]],11,FALSE)</f>
        <v>aft hoist motor failed</v>
      </c>
      <c r="G17" s="109">
        <f>VLOOKUP($A17,Table1[['#]:[Work Order '#]],10,FALSE)</f>
        <v>4814744</v>
      </c>
      <c r="H17" s="110" t="str">
        <f>IF(G17="None"," ",VLOOKUP($A17,Table1[['#]:[Work Order Title]],12,FALSE))</f>
        <v># 2 Hoist DC Motor Removal and Replacement Style Old Style # 27N8958 New Style # 27N8959</v>
      </c>
      <c r="I17" s="112" t="str">
        <f>_xlfn.IFNA(VLOOKUP(J17,'MCIA Cases'!$A$2:$R$1091,12,FALSE)," ")</f>
        <v xml:space="preserve"> </v>
      </c>
      <c r="J17" s="112" t="s">
        <v>611</v>
      </c>
      <c r="K17" s="126" t="str">
        <f>_xlfn.IFNA(VLOOKUP(J17,'MCIA Cases'!$A$2:$AG$1091,2,FALSE)," ")</f>
        <v xml:space="preserve"> </v>
      </c>
      <c r="L17" s="127" t="str">
        <f>_xlfn.IFNA(VLOOKUP(J17,'MCIA Cases'!$A$2:$R$1091,17,FALSE)," ")</f>
        <v xml:space="preserve"> </v>
      </c>
      <c r="M17" s="7" t="str">
        <f>_xlfn.IFNA(VLOOKUP(J17,'MCIA Cases'!$A$2:$R$1091,3,FALSE)," ")</f>
        <v xml:space="preserve"> </v>
      </c>
      <c r="N17" s="1" t="str">
        <f>IF(COUNTIF('MCIA Corrective Actions'!$A:$A,J17)=0," ",COUNTIF('MCIA Corrective Actions'!$A:$A,J17))</f>
        <v xml:space="preserve"> </v>
      </c>
      <c r="O17" s="1" t="str">
        <f>IF(COUNTIF('MCIA Corrective Actions'!$A:$A,J17)=0," ",COUNTIFS('MCIA Corrective Actions'!$A:$A,J17,'MCIA Corrective Actions'!N:N,"Yes"))</f>
        <v xml:space="preserve"> </v>
      </c>
      <c r="R17" s="7" t="s">
        <v>3170</v>
      </c>
      <c r="T17" s="176" t="str">
        <f t="shared" si="1"/>
        <v xml:space="preserve"> </v>
      </c>
      <c r="U17" s="176">
        <f t="shared" si="2"/>
        <v>1</v>
      </c>
      <c r="V17" s="176">
        <f t="shared" si="3"/>
        <v>0</v>
      </c>
      <c r="W17" s="176">
        <f t="shared" si="4"/>
        <v>0</v>
      </c>
    </row>
    <row r="18" spans="1:23" ht="30" x14ac:dyDescent="0.25">
      <c r="A18" s="7">
        <v>322</v>
      </c>
      <c r="B18" s="109" t="str">
        <f>VLOOKUP($A18,Table1[['#]:[Vessel]],4,FALSE)</f>
        <v>Texas</v>
      </c>
      <c r="C18" s="143">
        <f>VLOOKUP($A18,Table1[['#]:[Date]],3,FALSE)</f>
        <v>44635</v>
      </c>
      <c r="D18" s="110">
        <f>VLOOKUP($A18,Table1[['#]:[Hours]],7,FALSE)</f>
        <v>76.390555555466563</v>
      </c>
      <c r="E18" s="110" t="str">
        <f>VLOOKUP($A18,Table1[['#]:[System]],8,FALSE)&amp;" / "&amp;VLOOKUP($A18,Table1[['#]:[Subsystem]],9,FALSE)</f>
        <v>Spuds / Xmass Tree / Tree Structure</v>
      </c>
      <c r="F18" s="110" t="str">
        <f>VLOOKUP($A18,Table1[['#]:[Delay Log Notes]],11,FALSE)</f>
        <v>None</v>
      </c>
      <c r="G18" s="109">
        <f>VLOOKUP($A18,Table1[['#]:[Work Order '#]],10,FALSE)</f>
        <v>4814743</v>
      </c>
      <c r="H18" s="3" t="str">
        <f>IF(G18="None"," ",VLOOKUP($A18,Table1[['#]:[Work Order Title]],12,FALSE))</f>
        <v>Xtree Inspection (ILM)</v>
      </c>
      <c r="I18" s="112" t="str">
        <f>_xlfn.IFNA(VLOOKUP(J18,'MCIA Cases'!$A$2:$R$1091,12,FALSE)," ")</f>
        <v xml:space="preserve"> </v>
      </c>
      <c r="J18" s="112" t="s">
        <v>2682</v>
      </c>
      <c r="K18" s="126" t="str">
        <f>_xlfn.IFNA(VLOOKUP(J18,'MCIA Cases'!$A$2:$AG$1091,2,FALSE)," ")</f>
        <v xml:space="preserve"> </v>
      </c>
      <c r="L18" s="127" t="str">
        <f>_xlfn.IFNA(VLOOKUP(J18,'MCIA Cases'!$A$2:$R$1091,17,FALSE)," ")</f>
        <v xml:space="preserve"> </v>
      </c>
      <c r="M18" s="7" t="str">
        <f>_xlfn.IFNA(VLOOKUP(J18,'MCIA Cases'!$A$2:$R$1091,3,FALSE)," ")</f>
        <v xml:space="preserve"> </v>
      </c>
      <c r="N18" s="1" t="str">
        <f>IF(COUNTIF('MCIA Corrective Actions'!$A:$A,J18)=0," ",COUNTIF('MCIA Corrective Actions'!$A:$A,J18))</f>
        <v xml:space="preserve"> </v>
      </c>
      <c r="O18" s="1" t="str">
        <f>IF(COUNTIF('MCIA Corrective Actions'!$A:$A,J18)=0," ",COUNTIFS('MCIA Corrective Actions'!$A:$A,J18,'MCIA Corrective Actions'!N:N,"Yes"))</f>
        <v xml:space="preserve"> </v>
      </c>
      <c r="R18" s="217" t="s">
        <v>3218</v>
      </c>
      <c r="T18" s="176" t="str">
        <f t="shared" si="1"/>
        <v xml:space="preserve"> </v>
      </c>
      <c r="U18" s="176">
        <f t="shared" si="2"/>
        <v>1</v>
      </c>
      <c r="V18" s="176">
        <f t="shared" si="3"/>
        <v>0</v>
      </c>
      <c r="W18" s="176">
        <f t="shared" si="4"/>
        <v>0</v>
      </c>
    </row>
    <row r="19" spans="1:23" ht="30" hidden="1" x14ac:dyDescent="0.25">
      <c r="A19" s="7">
        <v>323</v>
      </c>
      <c r="B19" s="109" t="str">
        <f>VLOOKUP($A19,Table1[['#]:[Vessel]],4,FALSE)</f>
        <v>Dodge Island</v>
      </c>
      <c r="C19" s="143">
        <f>VLOOKUP($A19,Table1[['#]:[Date]],3,FALSE)</f>
        <v>44653</v>
      </c>
      <c r="D19" s="110">
        <f>VLOOKUP($A19,Table1[['#]:[Hours]],7,FALSE)</f>
        <v>37.099444444407709</v>
      </c>
      <c r="E19" s="110" t="str">
        <f>VLOOKUP($A19,Table1[['#]:[System]],8,FALSE)&amp;" / "&amp;VLOOKUP($A19,Table1[['#]:[Subsystem]],9,FALSE)</f>
        <v>Dredge Pump Engine / Other</v>
      </c>
      <c r="F19" s="110" t="str">
        <f>VLOOKUP($A19,Table1[['#]:[Delay Log Notes]],11,FALSE)</f>
        <v>None</v>
      </c>
      <c r="G19" s="109">
        <f>VLOOKUP($A19,Table1[['#]:[Work Order '#]],10,FALSE)</f>
        <v>4071941</v>
      </c>
      <c r="H19" s="110" t="str">
        <f>IF(G19="None"," ",VLOOKUP($A19,Table1[['#]:[Work Order Title]],12,FALSE))</f>
        <v>Stbd Dredge Engine - Troubleshoot Shutdowns</v>
      </c>
      <c r="I19" s="112" t="str">
        <f>_xlfn.IFNA(VLOOKUP(J19,'MCIA Cases'!$A$2:$R$1091,12,FALSE)," ")</f>
        <v xml:space="preserve"> </v>
      </c>
      <c r="J19" s="175" t="s">
        <v>611</v>
      </c>
      <c r="K19" s="126" t="str">
        <f>_xlfn.IFNA(VLOOKUP(J19,'MCIA Cases'!$A$2:$AG$1091,2,FALSE)," ")</f>
        <v xml:space="preserve"> </v>
      </c>
      <c r="L19" s="127" t="str">
        <f>_xlfn.IFNA(VLOOKUP(J19,'MCIA Cases'!$A$2:$R$1091,17,FALSE)," ")</f>
        <v xml:space="preserve"> </v>
      </c>
      <c r="M19" s="7" t="str">
        <f>_xlfn.IFNA(VLOOKUP(J19,'MCIA Cases'!$A$2:$R$1091,3,FALSE)," ")</f>
        <v xml:space="preserve"> </v>
      </c>
      <c r="N19" s="1" t="str">
        <f>IF(COUNTIF('MCIA Corrective Actions'!$A:$A,J19)=0," ",COUNTIF('MCIA Corrective Actions'!$A:$A,J19))</f>
        <v xml:space="preserve"> </v>
      </c>
      <c r="O19" s="1" t="str">
        <f>IF(COUNTIF('MCIA Corrective Actions'!$A:$A,J19)=0," ",COUNTIFS('MCIA Corrective Actions'!$A:$A,J19,'MCIA Corrective Actions'!N:N,"Yes"))</f>
        <v xml:space="preserve"> </v>
      </c>
      <c r="T19" s="176" t="str">
        <f t="shared" si="1"/>
        <v xml:space="preserve"> </v>
      </c>
      <c r="U19" s="176">
        <f t="shared" si="2"/>
        <v>1</v>
      </c>
      <c r="V19" s="176">
        <f t="shared" si="3"/>
        <v>0</v>
      </c>
      <c r="W19" s="176">
        <f t="shared" si="4"/>
        <v>0</v>
      </c>
    </row>
    <row r="20" spans="1:23" ht="30" hidden="1" x14ac:dyDescent="0.25">
      <c r="A20" s="7">
        <v>324</v>
      </c>
      <c r="B20" s="109">
        <f>VLOOKUP($A20,Table1[['#]:[Vessel]],4,FALSE)</f>
        <v>55</v>
      </c>
      <c r="C20" s="143">
        <f>VLOOKUP($A20,Table1[['#]:[Date]],3,FALSE)</f>
        <v>44658</v>
      </c>
      <c r="D20" s="110">
        <f>VLOOKUP($A20,Table1[['#]:[Hours]],7,FALSE)</f>
        <v>36.183055555564351</v>
      </c>
      <c r="E20" s="110" t="str">
        <f>VLOOKUP($A20,Table1[['#]:[System]],8,FALSE)&amp;" / "&amp;VLOOKUP($A20,Table1[['#]:[Subsystem]],9,FALSE)</f>
        <v>Main Hoist / Holder</v>
      </c>
      <c r="F20" s="110" t="str">
        <f>VLOOKUP($A20,Table1[['#]:[Delay Log Notes]],11,FALSE)</f>
        <v>CRANE TRIPPED, TROUBLE SHOOTING</v>
      </c>
      <c r="G20" s="109">
        <f>VLOOKUP($A20,Table1[['#]:[Work Order '#]],10,FALSE)</f>
        <v>4815483</v>
      </c>
      <c r="H20" s="110" t="str">
        <f>IF(G20="None"," ",VLOOKUP($A20,Table1[['#]:[Work Order Title]],12,FALSE))</f>
        <v>C/O Hoist Motor FWD #1 Drive Transformer</v>
      </c>
      <c r="I20" s="112" t="str">
        <f>_xlfn.IFNA(VLOOKUP(J20,'MCIA Cases'!$A$2:$R$1091,12,FALSE)," ")</f>
        <v xml:space="preserve"> </v>
      </c>
      <c r="J20" s="175" t="s">
        <v>611</v>
      </c>
      <c r="K20" s="126" t="str">
        <f>_xlfn.IFNA(VLOOKUP(J20,'MCIA Cases'!$A$2:$AG$1091,2,FALSE)," ")</f>
        <v xml:space="preserve"> </v>
      </c>
      <c r="L20" s="127" t="str">
        <f>_xlfn.IFNA(VLOOKUP(J20,'MCIA Cases'!$A$2:$R$1091,17,FALSE)," ")</f>
        <v xml:space="preserve"> </v>
      </c>
      <c r="M20" s="7" t="str">
        <f>_xlfn.IFNA(VLOOKUP(J20,'MCIA Cases'!$A$2:$R$1091,3,FALSE)," ")</f>
        <v xml:space="preserve"> </v>
      </c>
      <c r="N20" s="1" t="str">
        <f>IF(COUNTIF('MCIA Corrective Actions'!$A:$A,J20)=0," ",COUNTIF('MCIA Corrective Actions'!$A:$A,J20))</f>
        <v xml:space="preserve"> </v>
      </c>
      <c r="O20" s="1" t="str">
        <f>IF(COUNTIF('MCIA Corrective Actions'!$A:$A,J20)=0," ",COUNTIFS('MCIA Corrective Actions'!$A:$A,J20,'MCIA Corrective Actions'!N:N,"Yes"))</f>
        <v xml:space="preserve"> </v>
      </c>
      <c r="R20" s="7" t="s">
        <v>3262</v>
      </c>
      <c r="T20" s="176" t="str">
        <f t="shared" si="1"/>
        <v xml:space="preserve"> </v>
      </c>
      <c r="U20" s="176">
        <f t="shared" si="2"/>
        <v>1</v>
      </c>
      <c r="V20" s="176">
        <f t="shared" si="3"/>
        <v>0</v>
      </c>
      <c r="W20" s="176">
        <f t="shared" si="4"/>
        <v>0</v>
      </c>
    </row>
    <row r="21" spans="1:23" ht="30" x14ac:dyDescent="0.25">
      <c r="A21" s="7">
        <v>325</v>
      </c>
      <c r="B21" s="109" t="str">
        <f>VLOOKUP($A21,Table1[['#]:[Vessel]],4,FALSE)</f>
        <v>Texas</v>
      </c>
      <c r="C21" s="143">
        <f>VLOOKUP($A21,Table1[['#]:[Date]],3,FALSE)</f>
        <v>44664</v>
      </c>
      <c r="D21" s="110">
        <f>VLOOKUP($A21,Table1[['#]:[Hours]],7,FALSE)</f>
        <v>89.807222222210839</v>
      </c>
      <c r="E21" s="110" t="str">
        <f>VLOOKUP($A21,Table1[['#]:[System]],8,FALSE)&amp;" / "&amp;VLOOKUP($A21,Table1[['#]:[Subsystem]],9,FALSE)</f>
        <v>Ladder Pump / Motor / Engine</v>
      </c>
      <c r="F21" s="110" t="str">
        <f>VLOOKUP($A21,Table1[['#]:[Delay Log Notes]],11,FALSE)</f>
        <v>wire shorted out</v>
      </c>
      <c r="G21" s="109">
        <f>VLOOKUP($A21,Table1[['#]:[Work Order '#]],10,FALSE)</f>
        <v>792995</v>
      </c>
      <c r="H21" s="3" t="str">
        <f>IF(G21="None"," ",VLOOKUP($A21,Table1[['#]:[Work Order Title]],12,FALSE))</f>
        <v>Replace Ladder Pump Motor</v>
      </c>
      <c r="I21" s="112" t="str">
        <f>_xlfn.IFNA(VLOOKUP(J21,'MCIA Cases'!$A$2:$R$1091,12,FALSE)," ")</f>
        <v xml:space="preserve"> </v>
      </c>
      <c r="J21" s="112" t="s">
        <v>2682</v>
      </c>
      <c r="K21" s="126" t="str">
        <f>_xlfn.IFNA(VLOOKUP(J21,'MCIA Cases'!$A$2:$AG$1091,2,FALSE)," ")</f>
        <v xml:space="preserve"> </v>
      </c>
      <c r="L21" s="127" t="str">
        <f>_xlfn.IFNA(VLOOKUP(J21,'MCIA Cases'!$A$2:$R$1091,17,FALSE)," ")</f>
        <v xml:space="preserve"> </v>
      </c>
      <c r="M21" s="7" t="str">
        <f>_xlfn.IFNA(VLOOKUP(J21,'MCIA Cases'!$A$2:$R$1091,3,FALSE)," ")</f>
        <v xml:space="preserve"> </v>
      </c>
      <c r="N21" s="1" t="str">
        <f>IF(COUNTIF('MCIA Corrective Actions'!$A:$A,J21)=0," ",COUNTIF('MCIA Corrective Actions'!$A:$A,J21))</f>
        <v xml:space="preserve"> </v>
      </c>
      <c r="O21" s="1" t="str">
        <f>IF(COUNTIF('MCIA Corrective Actions'!$A:$A,J21)=0," ",COUNTIFS('MCIA Corrective Actions'!$A:$A,J21,'MCIA Corrective Actions'!N:N,"Yes"))</f>
        <v xml:space="preserve"> </v>
      </c>
      <c r="R21" s="218" t="s">
        <v>3219</v>
      </c>
      <c r="T21" s="176" t="str">
        <f t="shared" si="1"/>
        <v xml:space="preserve"> </v>
      </c>
      <c r="U21" s="176">
        <f t="shared" si="2"/>
        <v>1</v>
      </c>
      <c r="V21" s="176">
        <f t="shared" si="3"/>
        <v>0</v>
      </c>
      <c r="W21" s="176">
        <f t="shared" si="4"/>
        <v>0</v>
      </c>
    </row>
    <row r="22" spans="1:23" ht="30" x14ac:dyDescent="0.25">
      <c r="A22" s="7">
        <v>326</v>
      </c>
      <c r="B22" s="109">
        <f>VLOOKUP($A22,Table1[['#]:[Vessel]],4,FALSE)</f>
        <v>53</v>
      </c>
      <c r="C22" s="143">
        <f>VLOOKUP($A22,Table1[['#]:[Date]],3,FALSE)</f>
        <v>44671</v>
      </c>
      <c r="D22" s="110">
        <f>VLOOKUP($A22,Table1[['#]:[Hours]],7,FALSE)</f>
        <v>28.719444444403052</v>
      </c>
      <c r="E22" s="110" t="str">
        <f>VLOOKUP($A22,Table1[['#]:[System]],8,FALSE)&amp;" / "&amp;VLOOKUP($A22,Table1[['#]:[Subsystem]],9,FALSE)</f>
        <v>Main / Aux. Generators / Main Generator Engine</v>
      </c>
      <c r="F22" s="110" t="str">
        <f>VLOOKUP($A22,Table1[['#]:[Delay Log Notes]],11,FALSE)</f>
        <v>None</v>
      </c>
      <c r="G22" s="109">
        <f>VLOOKUP($A22,Table1[['#]:[Work Order '#]],10,FALSE)</f>
        <v>4815650</v>
      </c>
      <c r="H22" s="3" t="str">
        <f>IF(G22="None"," ",VLOOKUP($A22,Table1[['#]:[Work Order Title]],12,FALSE))</f>
        <v>Change out idler pulley pillar block #2 engine</v>
      </c>
      <c r="I22" s="112" t="str">
        <f>_xlfn.IFNA(VLOOKUP(J22,'MCIA Cases'!$A$2:$R$1091,12,FALSE)," ")</f>
        <v xml:space="preserve"> </v>
      </c>
      <c r="J22" s="112" t="s">
        <v>2682</v>
      </c>
      <c r="K22" s="126" t="str">
        <f>_xlfn.IFNA(VLOOKUP(J22,'MCIA Cases'!$A$2:$AG$1091,2,FALSE)," ")</f>
        <v xml:space="preserve"> </v>
      </c>
      <c r="L22" s="127" t="str">
        <f>_xlfn.IFNA(VLOOKUP(J22,'MCIA Cases'!$A$2:$R$1091,17,FALSE)," ")</f>
        <v xml:space="preserve"> </v>
      </c>
      <c r="M22" s="7" t="str">
        <f>_xlfn.IFNA(VLOOKUP(J22,'MCIA Cases'!$A$2:$R$1091,3,FALSE)," ")</f>
        <v xml:space="preserve"> </v>
      </c>
      <c r="N22" s="1" t="str">
        <f>IF(COUNTIF('MCIA Corrective Actions'!$A:$A,J22)=0," ",COUNTIF('MCIA Corrective Actions'!$A:$A,J22))</f>
        <v xml:space="preserve"> </v>
      </c>
      <c r="O22" s="1" t="str">
        <f>IF(COUNTIF('MCIA Corrective Actions'!$A:$A,J22)=0," ",COUNTIFS('MCIA Corrective Actions'!$A:$A,J22,'MCIA Corrective Actions'!N:N,"Yes"))</f>
        <v xml:space="preserve"> </v>
      </c>
      <c r="R22" s="7" t="s">
        <v>3172</v>
      </c>
      <c r="T22" s="176" t="str">
        <f t="shared" si="1"/>
        <v xml:space="preserve"> </v>
      </c>
      <c r="U22" s="176">
        <f t="shared" si="2"/>
        <v>1</v>
      </c>
      <c r="V22" s="176">
        <f t="shared" si="3"/>
        <v>0</v>
      </c>
      <c r="W22" s="176">
        <f t="shared" si="4"/>
        <v>0</v>
      </c>
    </row>
    <row r="23" spans="1:23" ht="60" x14ac:dyDescent="0.25">
      <c r="A23" s="7">
        <v>327</v>
      </c>
      <c r="B23" s="109" t="str">
        <f>VLOOKUP($A23,Table1[['#]:[Vessel]],4,FALSE)</f>
        <v>Padre Island</v>
      </c>
      <c r="C23" s="143">
        <f>VLOOKUP($A23,Table1[['#]:[Date]],3,FALSE)</f>
        <v>44676</v>
      </c>
      <c r="D23" s="110">
        <f>VLOOKUP($A23,Table1[['#]:[Hours]],7,FALSE)</f>
        <v>135.99944444443099</v>
      </c>
      <c r="E23" s="110" t="str">
        <f>VLOOKUP($A23,Table1[['#]:[System]],8,FALSE)&amp;" / "&amp;VLOOKUP($A23,Table1[['#]:[Subsystem]],9,FALSE)</f>
        <v>Dredge Pump / Shafting</v>
      </c>
      <c r="F23" s="110" t="str">
        <f>VLOOKUP($A23,Table1[['#]:[Delay Log Notes]],11,FALSE)</f>
        <v>While adjusting the impellor pump, the shaft and bearings in the gear box assembly broke.</v>
      </c>
      <c r="G23" s="109">
        <f>VLOOKUP($A23,Table1[['#]:[Work Order '#]],10,FALSE)</f>
        <v>4815725</v>
      </c>
      <c r="H23" s="3" t="str">
        <f>IF(G23="None"," ",VLOOKUP($A23,Table1[['#]:[Work Order Title]],12,FALSE))</f>
        <v>Dredge Pump Line Shaft and bearing repair</v>
      </c>
      <c r="I23" s="112" t="str">
        <f>_xlfn.IFNA(VLOOKUP(J23,'MCIA Cases'!$A$2:$R$1091,12,FALSE)," ")</f>
        <v xml:space="preserve"> </v>
      </c>
      <c r="J23" s="112" t="s">
        <v>2682</v>
      </c>
      <c r="K23" s="126" t="str">
        <f>_xlfn.IFNA(VLOOKUP(J23,'MCIA Cases'!$A$2:$AG$1091,2,FALSE)," ")</f>
        <v xml:space="preserve"> </v>
      </c>
      <c r="L23" s="127" t="str">
        <f>_xlfn.IFNA(VLOOKUP(J23,'MCIA Cases'!$A$2:$R$1091,17,FALSE)," ")</f>
        <v xml:space="preserve"> </v>
      </c>
      <c r="M23" s="7" t="str">
        <f>_xlfn.IFNA(VLOOKUP(J23,'MCIA Cases'!$A$2:$R$1091,3,FALSE)," ")</f>
        <v xml:space="preserve"> </v>
      </c>
      <c r="N23" s="1" t="str">
        <f>IF(COUNTIF('MCIA Corrective Actions'!$A:$A,J23)=0," ",COUNTIF('MCIA Corrective Actions'!$A:$A,J23))</f>
        <v xml:space="preserve"> </v>
      </c>
      <c r="O23" s="1" t="str">
        <f>IF(COUNTIF('MCIA Corrective Actions'!$A:$A,J23)=0," ",COUNTIFS('MCIA Corrective Actions'!$A:$A,J23,'MCIA Corrective Actions'!N:N,"Yes"))</f>
        <v xml:space="preserve"> </v>
      </c>
      <c r="R23" s="7" t="s">
        <v>3268</v>
      </c>
      <c r="T23" s="176" t="str">
        <f t="shared" si="1"/>
        <v xml:space="preserve"> </v>
      </c>
      <c r="U23" s="176">
        <f t="shared" si="2"/>
        <v>1</v>
      </c>
      <c r="V23" s="176">
        <f t="shared" si="3"/>
        <v>0</v>
      </c>
      <c r="W23" s="176">
        <f t="shared" si="4"/>
        <v>0</v>
      </c>
    </row>
    <row r="24" spans="1:23" ht="30" hidden="1" x14ac:dyDescent="0.25">
      <c r="A24" s="7">
        <v>328</v>
      </c>
      <c r="B24" s="109" t="str">
        <f>VLOOKUP($A24,Table1[['#]:[Vessel]],4,FALSE)</f>
        <v>Texas</v>
      </c>
      <c r="C24" s="143">
        <f>VLOOKUP($A24,Table1[['#]:[Date]],3,FALSE)</f>
        <v>44677</v>
      </c>
      <c r="D24" s="110">
        <f>VLOOKUP($A24,Table1[['#]:[Hours]],7,FALSE)</f>
        <v>24.466666666790843</v>
      </c>
      <c r="E24" s="110" t="str">
        <f>VLOOKUP($A24,Table1[['#]:[System]],8,FALSE)&amp;" / "&amp;VLOOKUP($A24,Table1[['#]:[Subsystem]],9,FALSE)</f>
        <v>Spuds / Xmass Tree / Wires</v>
      </c>
      <c r="F24" s="110" t="str">
        <f>VLOOKUP($A24,Table1[['#]:[Delay Log Notes]],11,FALSE)</f>
        <v>broke stern wire</v>
      </c>
      <c r="G24" s="109">
        <f>VLOOKUP($A24,Table1[['#]:[Work Order '#]],10,FALSE)</f>
        <v>4815889</v>
      </c>
      <c r="H24" s="110" t="str">
        <f>IF(G24="None"," ",VLOOKUP($A24,Table1[['#]:[Work Order Title]],12,FALSE))</f>
        <v>replace D03 ) bone crusher hose (ILM)</v>
      </c>
      <c r="I24" s="112" t="str">
        <f>_xlfn.IFNA(VLOOKUP(J24,'MCIA Cases'!$A$2:$R$1091,12,FALSE)," ")</f>
        <v xml:space="preserve"> </v>
      </c>
      <c r="J24" s="175" t="s">
        <v>611</v>
      </c>
      <c r="K24" s="126" t="str">
        <f>_xlfn.IFNA(VLOOKUP(J24,'MCIA Cases'!$A$2:$AG$1091,2,FALSE)," ")</f>
        <v xml:space="preserve"> </v>
      </c>
      <c r="L24" s="127" t="str">
        <f>_xlfn.IFNA(VLOOKUP(J24,'MCIA Cases'!$A$2:$R$1091,17,FALSE)," ")</f>
        <v xml:space="preserve"> </v>
      </c>
      <c r="M24" s="7" t="str">
        <f>_xlfn.IFNA(VLOOKUP(J24,'MCIA Cases'!$A$2:$R$1091,3,FALSE)," ")</f>
        <v xml:space="preserve"> </v>
      </c>
      <c r="N24" s="1" t="str">
        <f>IF(COUNTIF('MCIA Corrective Actions'!$A:$A,J24)=0," ",COUNTIF('MCIA Corrective Actions'!$A:$A,J24))</f>
        <v xml:space="preserve"> </v>
      </c>
      <c r="O24" s="1" t="str">
        <f>IF(COUNTIF('MCIA Corrective Actions'!$A:$A,J24)=0," ",COUNTIFS('MCIA Corrective Actions'!$A:$A,J24,'MCIA Corrective Actions'!N:N,"Yes"))</f>
        <v xml:space="preserve"> </v>
      </c>
      <c r="R24" s="7" t="s">
        <v>3279</v>
      </c>
      <c r="T24" s="176" t="str">
        <f t="shared" si="1"/>
        <v xml:space="preserve"> </v>
      </c>
      <c r="U24" s="176">
        <f t="shared" si="2"/>
        <v>1</v>
      </c>
      <c r="V24" s="176">
        <f t="shared" si="3"/>
        <v>0</v>
      </c>
      <c r="W24" s="176">
        <f t="shared" si="4"/>
        <v>0</v>
      </c>
    </row>
    <row r="25" spans="1:23" ht="45" hidden="1" x14ac:dyDescent="0.25">
      <c r="A25" s="7">
        <v>329</v>
      </c>
      <c r="B25" s="109">
        <f>VLOOKUP($A25,Table1[['#]:[Vessel]],4,FALSE)</f>
        <v>54</v>
      </c>
      <c r="C25" s="143">
        <f>VLOOKUP($A25,Table1[['#]:[Date]],3,FALSE)</f>
        <v>44678</v>
      </c>
      <c r="D25" s="110">
        <f>VLOOKUP($A25,Table1[['#]:[Hours]],7,FALSE)</f>
        <v>332.83305555547122</v>
      </c>
      <c r="E25" s="110" t="str">
        <f>VLOOKUP($A25,Table1[['#]:[System]],8,FALSE)&amp;" / "&amp;VLOOKUP($A25,Table1[['#]:[Subsystem]],9,FALSE)</f>
        <v>Spud System / Spud Structure</v>
      </c>
      <c r="F25" s="110" t="str">
        <f>VLOOKUP($A25,Table1[['#]:[Delay Log Notes]],11,FALSE)</f>
        <v>Leak in spud well</v>
      </c>
      <c r="G25" s="109">
        <f>VLOOKUP($A25,Table1[['#]:[Work Order '#]],10,FALSE)</f>
        <v>4815856</v>
      </c>
      <c r="H25" s="110" t="str">
        <f>IF(G25="None"," ",VLOOKUP($A25,Table1[['#]:[Work Order Title]],12,FALSE))</f>
        <v>DryDocking for Repairs to Side Shell of Starboard Spudwell</v>
      </c>
      <c r="I25" s="112" t="str">
        <f>_xlfn.IFNA(VLOOKUP(J25,'MCIA Cases'!$A$2:$R$1091,12,FALSE)," ")</f>
        <v xml:space="preserve"> </v>
      </c>
      <c r="J25" s="175" t="s">
        <v>611</v>
      </c>
      <c r="K25" s="126" t="str">
        <f>_xlfn.IFNA(VLOOKUP(J25,'MCIA Cases'!$A$2:$AG$1091,2,FALSE)," ")</f>
        <v xml:space="preserve"> </v>
      </c>
      <c r="L25" s="127" t="str">
        <f>_xlfn.IFNA(VLOOKUP(J25,'MCIA Cases'!$A$2:$R$1091,17,FALSE)," ")</f>
        <v xml:space="preserve"> </v>
      </c>
      <c r="M25" s="7" t="str">
        <f>_xlfn.IFNA(VLOOKUP(J25,'MCIA Cases'!$A$2:$R$1091,3,FALSE)," ")</f>
        <v xml:space="preserve"> </v>
      </c>
      <c r="N25" s="1" t="str">
        <f>IF(COUNTIF('MCIA Corrective Actions'!$A:$A,J25)=0," ",COUNTIF('MCIA Corrective Actions'!$A:$A,J25))</f>
        <v xml:space="preserve"> </v>
      </c>
      <c r="O25" s="1" t="str">
        <f>IF(COUNTIF('MCIA Corrective Actions'!$A:$A,J25)=0," ",COUNTIFS('MCIA Corrective Actions'!$A:$A,J25,'MCIA Corrective Actions'!N:N,"Yes"))</f>
        <v xml:space="preserve"> </v>
      </c>
      <c r="T25" s="176" t="str">
        <f t="shared" si="1"/>
        <v xml:space="preserve"> </v>
      </c>
      <c r="U25" s="176">
        <f t="shared" si="2"/>
        <v>1</v>
      </c>
      <c r="V25" s="176">
        <f t="shared" si="3"/>
        <v>0</v>
      </c>
      <c r="W25" s="176">
        <f t="shared" si="4"/>
        <v>0</v>
      </c>
    </row>
    <row r="26" spans="1:23" ht="45" hidden="1" x14ac:dyDescent="0.25">
      <c r="A26" s="7">
        <v>330</v>
      </c>
      <c r="B26" s="109" t="str">
        <f>VLOOKUP($A26,Table1[['#]:[Vessel]],4,FALSE)</f>
        <v>New York</v>
      </c>
      <c r="C26" s="143">
        <f>VLOOKUP($A26,Table1[['#]:[Date]],3,FALSE)</f>
        <v>44681</v>
      </c>
      <c r="D26" s="110">
        <f>VLOOKUP($A26,Table1[['#]:[Hours]],7,FALSE)</f>
        <v>64.313333333353512</v>
      </c>
      <c r="E26" s="110" t="str">
        <f>VLOOKUP($A26,Table1[['#]:[System]],8,FALSE)&amp;" / "&amp;VLOOKUP($A26,Table1[['#]:[Subsystem]],9,FALSE)</f>
        <v>Spud System / Spud Wires</v>
      </c>
      <c r="F26" s="110" t="str">
        <f>VLOOKUP($A26,Table1[['#]:[Delay Log Notes]],11,FALSE)</f>
        <v>lifting stern spud to take a step back.....spud started freefalling down... Bottom wire broke</v>
      </c>
      <c r="G26" s="109">
        <f>VLOOKUP($A26,Table1[['#]:[Work Order '#]],10,FALSE)</f>
        <v>4815925</v>
      </c>
      <c r="H26" s="110" t="str">
        <f>IF(G26="None"," ",VLOOKUP($A26,Table1[['#]:[Work Order Title]],12,FALSE))</f>
        <v>Pick and secure</v>
      </c>
      <c r="I26" s="112" t="str">
        <f>_xlfn.IFNA(VLOOKUP(J26,'MCIA Cases'!$A$2:$R$1091,12,FALSE)," ")</f>
        <v xml:space="preserve"> </v>
      </c>
      <c r="J26" s="175" t="s">
        <v>611</v>
      </c>
      <c r="K26" s="126" t="str">
        <f>_xlfn.IFNA(VLOOKUP(J26,'MCIA Cases'!$A$2:$AG$1091,2,FALSE)," ")</f>
        <v xml:space="preserve"> </v>
      </c>
      <c r="L26" s="127" t="str">
        <f>_xlfn.IFNA(VLOOKUP(J26,'MCIA Cases'!$A$2:$R$1091,17,FALSE)," ")</f>
        <v xml:space="preserve"> </v>
      </c>
      <c r="M26" s="7" t="str">
        <f>_xlfn.IFNA(VLOOKUP(J26,'MCIA Cases'!$A$2:$R$1091,3,FALSE)," ")</f>
        <v xml:space="preserve"> </v>
      </c>
      <c r="N26" s="1" t="str">
        <f>IF(COUNTIF('MCIA Corrective Actions'!$A:$A,J26)=0," ",COUNTIF('MCIA Corrective Actions'!$A:$A,J26))</f>
        <v xml:space="preserve"> </v>
      </c>
      <c r="O26" s="1" t="str">
        <f>IF(COUNTIF('MCIA Corrective Actions'!$A:$A,J26)=0," ",COUNTIFS('MCIA Corrective Actions'!$A:$A,J26,'MCIA Corrective Actions'!N:N,"Yes"))</f>
        <v xml:space="preserve"> </v>
      </c>
      <c r="R26" s="7" t="s">
        <v>3280</v>
      </c>
      <c r="T26" s="176" t="str">
        <f t="shared" si="1"/>
        <v xml:space="preserve"> </v>
      </c>
      <c r="U26" s="176">
        <f t="shared" si="2"/>
        <v>1</v>
      </c>
      <c r="V26" s="176">
        <f t="shared" si="3"/>
        <v>0</v>
      </c>
      <c r="W26" s="176">
        <f t="shared" si="4"/>
        <v>0</v>
      </c>
    </row>
    <row r="27" spans="1:23" ht="30" x14ac:dyDescent="0.25">
      <c r="A27" s="7">
        <v>331</v>
      </c>
      <c r="B27" s="109">
        <f>VLOOKUP($A27,Table1[['#]:[Vessel]],4,FALSE)</f>
        <v>58</v>
      </c>
      <c r="C27" s="143">
        <f>VLOOKUP($A27,Table1[['#]:[Date]],3,FALSE)</f>
        <v>44707</v>
      </c>
      <c r="D27" s="110">
        <f>VLOOKUP($A27,Table1[['#]:[Hours]],7,FALSE)</f>
        <v>62.25</v>
      </c>
      <c r="E27" s="110" t="str">
        <f>VLOOKUP($A27,Table1[['#]:[System]],8,FALSE)&amp;" / "&amp;VLOOKUP($A27,Table1[['#]:[Subsystem]],9,FALSE)</f>
        <v>Tagline / Tagline Winch (motor, gearbox, etc.)</v>
      </c>
      <c r="F27" s="110" t="str">
        <f>VLOOKUP($A27,Table1[['#]:[Delay Log Notes]],11,FALSE)</f>
        <v>drum shifted on shaft</v>
      </c>
      <c r="G27" s="109">
        <f>VLOOKUP($A27,Table1[['#]:[Work Order '#]],10,FALSE)</f>
        <v>4816345</v>
      </c>
      <c r="H27" s="3" t="str">
        <f>IF(G27="None"," ",VLOOKUP($A27,Table1[['#]:[Work Order Title]],12,FALSE))</f>
        <v>Repair Drum</v>
      </c>
      <c r="I27" s="112" t="str">
        <f>_xlfn.IFNA(VLOOKUP(J27,'MCIA Cases'!$A$2:$R$1091,12,FALSE)," ")</f>
        <v xml:space="preserve"> </v>
      </c>
      <c r="J27" s="112" t="s">
        <v>2682</v>
      </c>
      <c r="K27" s="126" t="str">
        <f>_xlfn.IFNA(VLOOKUP(J27,'MCIA Cases'!$A$2:$AG$1091,2,FALSE)," ")</f>
        <v xml:space="preserve"> </v>
      </c>
      <c r="L27" s="127" t="str">
        <f>_xlfn.IFNA(VLOOKUP(J27,'MCIA Cases'!$A$2:$R$1091,17,FALSE)," ")</f>
        <v xml:space="preserve"> </v>
      </c>
      <c r="M27" s="7" t="str">
        <f>_xlfn.IFNA(VLOOKUP(J27,'MCIA Cases'!$A$2:$R$1091,3,FALSE)," ")</f>
        <v xml:space="preserve"> </v>
      </c>
      <c r="N27" s="1" t="str">
        <f>IF(COUNTIF('MCIA Corrective Actions'!$A:$A,J27)=0," ",COUNTIF('MCIA Corrective Actions'!$A:$A,J27))</f>
        <v xml:space="preserve"> </v>
      </c>
      <c r="O27" s="1" t="str">
        <f>IF(COUNTIF('MCIA Corrective Actions'!$A:$A,J27)=0," ",COUNTIFS('MCIA Corrective Actions'!$A:$A,J27,'MCIA Corrective Actions'!N:N,"Yes"))</f>
        <v xml:space="preserve"> </v>
      </c>
      <c r="R27" s="7" t="s">
        <v>3281</v>
      </c>
      <c r="T27" s="176" t="str">
        <f t="shared" si="1"/>
        <v xml:space="preserve"> </v>
      </c>
      <c r="U27" s="176">
        <f t="shared" si="2"/>
        <v>1</v>
      </c>
      <c r="V27" s="176">
        <f t="shared" si="3"/>
        <v>0</v>
      </c>
      <c r="W27" s="176">
        <f t="shared" si="4"/>
        <v>0</v>
      </c>
    </row>
    <row r="28" spans="1:23" ht="30" hidden="1" x14ac:dyDescent="0.25">
      <c r="A28" s="7">
        <v>332</v>
      </c>
      <c r="B28" s="109" t="str">
        <f>VLOOKUP($A28,Table1[['#]:[Vessel]],4,FALSE)</f>
        <v>Ohio</v>
      </c>
      <c r="C28" s="143">
        <f>VLOOKUP($A28,Table1[['#]:[Date]],3,FALSE)</f>
        <v>44712</v>
      </c>
      <c r="D28" s="110">
        <f>VLOOKUP($A28,Table1[['#]:[Hours]],7,FALSE)</f>
        <v>151.41666666674428</v>
      </c>
      <c r="E28" s="110" t="str">
        <f>VLOOKUP($A28,Table1[['#]:[System]],8,FALSE)&amp;" / "&amp;VLOOKUP($A28,Table1[['#]:[Subsystem]],9,FALSE)</f>
        <v>Ladder Pump / Gearbox</v>
      </c>
      <c r="F28" s="110" t="str">
        <f>VLOOKUP($A28,Table1[['#]:[Delay Log Notes]],11,FALSE)</f>
        <v>None</v>
      </c>
      <c r="G28" s="109">
        <f>VLOOKUP($A28,Table1[['#]:[Work Order '#]],10,FALSE)</f>
        <v>4816439</v>
      </c>
      <c r="H28" s="110" t="str">
        <f>IF(G28="None"," ",VLOOKUP($A28,Table1[['#]:[Work Order Title]],12,FALSE))</f>
        <v>UWP gearbox oil leak</v>
      </c>
      <c r="I28" s="112" t="str">
        <f>_xlfn.IFNA(VLOOKUP(J28,'MCIA Cases'!$A$2:$R$1091,12,FALSE)," ")</f>
        <v>In Progress</v>
      </c>
      <c r="J28" s="175">
        <v>437</v>
      </c>
      <c r="K28" s="126" t="str">
        <f>_xlfn.IFNA(VLOOKUP(J28,'MCIA Cases'!$A$2:$AG$1091,2,FALSE)," ")</f>
        <v>Ohio UWP Gearbox &amp; Thrust Bearing Failures</v>
      </c>
      <c r="L28" s="127" t="str">
        <f>_xlfn.IFNA(VLOOKUP(J28,'MCIA Cases'!$A$2:$R$1091,17,FALSE)," ")</f>
        <v>05/31/2022</v>
      </c>
      <c r="M28" s="7" t="str">
        <f>_xlfn.IFNA(VLOOKUP(J28,'MCIA Cases'!$A$2:$R$1091,3,FALSE)," ")</f>
        <v>Brandon Suire</v>
      </c>
      <c r="N28" s="1" t="str">
        <f>IF(COUNTIF('MCIA Corrective Actions'!$A:$A,J28)=0," ",COUNTIF('MCIA Corrective Actions'!$A:$A,J28))</f>
        <v xml:space="preserve"> </v>
      </c>
      <c r="O28" s="1" t="str">
        <f>IF(COUNTIF('MCIA Corrective Actions'!$A:$A,J28)=0," ",COUNTIFS('MCIA Corrective Actions'!$A:$A,J28,'MCIA Corrective Actions'!N:N,"Yes"))</f>
        <v xml:space="preserve"> </v>
      </c>
      <c r="T28" s="176" t="str">
        <f t="shared" si="1"/>
        <v xml:space="preserve"> </v>
      </c>
      <c r="U28" s="176">
        <f t="shared" si="2"/>
        <v>1</v>
      </c>
      <c r="V28" s="176">
        <f t="shared" si="3"/>
        <v>1</v>
      </c>
      <c r="W28" s="176">
        <f t="shared" si="4"/>
        <v>1</v>
      </c>
    </row>
    <row r="29" spans="1:23" ht="30" x14ac:dyDescent="0.25">
      <c r="A29" s="7">
        <v>333</v>
      </c>
      <c r="B29" s="109">
        <f>VLOOKUP($A29,Table1[['#]:[Vessel]],4,FALSE)</f>
        <v>54</v>
      </c>
      <c r="C29" s="143">
        <f>VLOOKUP($A29,Table1[['#]:[Date]],3,FALSE)</f>
        <v>44712</v>
      </c>
      <c r="D29" s="110">
        <f>VLOOKUP($A29,Table1[['#]:[Hours]],7,FALSE)</f>
        <v>108.48333333333721</v>
      </c>
      <c r="E29" s="110" t="str">
        <f>VLOOKUP($A29,Table1[['#]:[System]],8,FALSE)&amp;" / "&amp;VLOOKUP($A29,Table1[['#]:[Subsystem]],9,FALSE)</f>
        <v>Crane Boom / Boom Wires</v>
      </c>
      <c r="F29" s="110" t="str">
        <f>VLOOKUP($A29,Table1[['#]:[Delay Log Notes]],11,FALSE)</f>
        <v>remove broken wire rubber rest on boom</v>
      </c>
      <c r="G29" s="109">
        <f>VLOOKUP($A29,Table1[['#]:[Work Order '#]],10,FALSE)</f>
        <v>4816411</v>
      </c>
      <c r="H29" s="110" t="str">
        <f>IF(G29="None"," ",VLOOKUP($A29,Table1[['#]:[Work Order Title]],12,FALSE))</f>
        <v>Crop and renew Lacing on Boom</v>
      </c>
      <c r="I29" s="112" t="str">
        <f>_xlfn.IFNA(VLOOKUP(J29,'MCIA Cases'!$A$2:$R$1091,12,FALSE)," ")</f>
        <v xml:space="preserve"> </v>
      </c>
      <c r="J29" s="112" t="s">
        <v>3261</v>
      </c>
      <c r="K29" s="126" t="str">
        <f>_xlfn.IFNA(VLOOKUP(J29,'MCIA Cases'!$A$2:$AG$1091,2,FALSE)," ")</f>
        <v xml:space="preserve"> </v>
      </c>
      <c r="L29" s="127" t="str">
        <f>_xlfn.IFNA(VLOOKUP(J29,'MCIA Cases'!$A$2:$R$1091,17,FALSE)," ")</f>
        <v xml:space="preserve"> </v>
      </c>
      <c r="M29" s="7" t="str">
        <f>_xlfn.IFNA(VLOOKUP(J29,'MCIA Cases'!$A$2:$R$1091,3,FALSE)," ")</f>
        <v xml:space="preserve"> </v>
      </c>
      <c r="N29" s="1" t="str">
        <f>IF(COUNTIF('MCIA Corrective Actions'!$A:$A,J29)=0," ",COUNTIF('MCIA Corrective Actions'!$A:$A,J29))</f>
        <v xml:space="preserve"> </v>
      </c>
      <c r="O29" s="1" t="str">
        <f>IF(COUNTIF('MCIA Corrective Actions'!$A:$A,J29)=0," ",COUNTIFS('MCIA Corrective Actions'!$A:$A,J29,'MCIA Corrective Actions'!N:N,"Yes"))</f>
        <v xml:space="preserve"> </v>
      </c>
      <c r="T29" s="176" t="str">
        <f t="shared" si="1"/>
        <v xml:space="preserve"> </v>
      </c>
      <c r="U29" s="176">
        <f t="shared" si="2"/>
        <v>1</v>
      </c>
      <c r="V29" s="176">
        <f t="shared" si="3"/>
        <v>0</v>
      </c>
      <c r="W29" s="176">
        <f t="shared" si="4"/>
        <v>0</v>
      </c>
    </row>
    <row r="30" spans="1:23" hidden="1" x14ac:dyDescent="0.25">
      <c r="A30" s="7">
        <v>334</v>
      </c>
      <c r="B30" s="109">
        <f>VLOOKUP($A30,Table1[['#]:[Vessel]],4,FALSE)</f>
        <v>53</v>
      </c>
      <c r="C30" s="143">
        <f>VLOOKUP($A30,Table1[['#]:[Date]],3,FALSE)</f>
        <v>44717</v>
      </c>
      <c r="D30" s="110">
        <f>VLOOKUP($A30,Table1[['#]:[Hours]],7,FALSE)</f>
        <v>31.566388888866641</v>
      </c>
      <c r="E30" s="110" t="str">
        <f>VLOOKUP($A30,Table1[['#]:[System]],8,FALSE)&amp;" / "&amp;VLOOKUP($A30,Table1[['#]:[Subsystem]],9,FALSE)</f>
        <v>Crane Swing / Swing Circle (rollers, etc.)</v>
      </c>
      <c r="F30" s="110" t="str">
        <f>VLOOKUP($A30,Table1[['#]:[Delay Log Notes]],11,FALSE)</f>
        <v>Crane rail tabs breaking off</v>
      </c>
      <c r="G30" s="109">
        <f>VLOOKUP($A30,Table1[['#]:[Work Order '#]],10,FALSE)</f>
        <v>1776468</v>
      </c>
      <c r="H30" s="270" t="str">
        <f>IF(G30="None"," ",VLOOKUP($A30,Table1[['#]:[Work Order Title]],12,FALSE))</f>
        <v>Work Order not found</v>
      </c>
      <c r="I30" s="112" t="str">
        <f>_xlfn.IFNA(VLOOKUP(J30,'MCIA Cases'!$A$2:$R$1091,12,FALSE)," ")</f>
        <v xml:space="preserve"> </v>
      </c>
      <c r="J30" s="175" t="s">
        <v>611</v>
      </c>
      <c r="K30" s="126" t="str">
        <f>_xlfn.IFNA(VLOOKUP(J30,'MCIA Cases'!$A$2:$AG$1091,2,FALSE)," ")</f>
        <v xml:space="preserve"> </v>
      </c>
      <c r="L30" s="127" t="str">
        <f>_xlfn.IFNA(VLOOKUP(J30,'MCIA Cases'!$A$2:$R$1091,17,FALSE)," ")</f>
        <v xml:space="preserve"> </v>
      </c>
      <c r="M30" s="7" t="str">
        <f>_xlfn.IFNA(VLOOKUP(J30,'MCIA Cases'!$A$2:$R$1091,3,FALSE)," ")</f>
        <v xml:space="preserve"> </v>
      </c>
      <c r="N30" s="1" t="str">
        <f>IF(COUNTIF('MCIA Corrective Actions'!$A:$A,J30)=0," ",COUNTIF('MCIA Corrective Actions'!$A:$A,J30))</f>
        <v xml:space="preserve"> </v>
      </c>
      <c r="O30" s="1" t="str">
        <f>IF(COUNTIF('MCIA Corrective Actions'!$A:$A,J30)=0," ",COUNTIFS('MCIA Corrective Actions'!$A:$A,J30,'MCIA Corrective Actions'!N:N,"Yes"))</f>
        <v xml:space="preserve"> </v>
      </c>
      <c r="R30" s="7" t="s">
        <v>3282</v>
      </c>
      <c r="T30" s="176" t="str">
        <f t="shared" si="1"/>
        <v xml:space="preserve"> </v>
      </c>
      <c r="U30" s="176">
        <f t="shared" si="2"/>
        <v>1</v>
      </c>
      <c r="V30" s="176">
        <f t="shared" si="3"/>
        <v>0</v>
      </c>
      <c r="W30" s="176">
        <f t="shared" si="4"/>
        <v>0</v>
      </c>
    </row>
    <row r="31" spans="1:23" ht="30" hidden="1" x14ac:dyDescent="0.25">
      <c r="A31" s="7">
        <v>335</v>
      </c>
      <c r="B31" s="109">
        <f>VLOOKUP($A31,Table1[['#]:[Vessel]],4,FALSE)</f>
        <v>53</v>
      </c>
      <c r="C31" s="143">
        <f>VLOOKUP($A31,Table1[['#]:[Date]],3,FALSE)</f>
        <v>44719</v>
      </c>
      <c r="D31" s="110">
        <f>VLOOKUP($A31,Table1[['#]:[Hours]],7,FALSE)</f>
        <v>72.149999999965075</v>
      </c>
      <c r="E31" s="110" t="str">
        <f>VLOOKUP($A31,Table1[['#]:[System]],8,FALSE)&amp;" / "&amp;VLOOKUP($A31,Table1[['#]:[Subsystem]],9,FALSE)</f>
        <v>Main / Aux. Generators / Main Generator Engine</v>
      </c>
      <c r="F31" s="110" t="str">
        <f>VLOOKUP($A31,Table1[['#]:[Delay Log Notes]],11,FALSE)</f>
        <v>Planned CAT engine work</v>
      </c>
      <c r="G31" s="109">
        <f>VLOOKUP($A31,Table1[['#]:[Work Order '#]],10,FALSE)</f>
        <v>1776476</v>
      </c>
      <c r="H31" s="270" t="str">
        <f>IF(G31="None"," ",VLOOKUP($A31,Table1[['#]:[Work Order Title]],12,FALSE))</f>
        <v>Work Order not found</v>
      </c>
      <c r="I31" s="112" t="str">
        <f>_xlfn.IFNA(VLOOKUP(J31,'MCIA Cases'!$A$2:$R$1091,12,FALSE)," ")</f>
        <v xml:space="preserve"> </v>
      </c>
      <c r="J31" s="175" t="s">
        <v>611</v>
      </c>
      <c r="K31" s="126" t="str">
        <f>_xlfn.IFNA(VLOOKUP(J31,'MCIA Cases'!$A$2:$AG$1091,2,FALSE)," ")</f>
        <v xml:space="preserve"> </v>
      </c>
      <c r="L31" s="127" t="str">
        <f>_xlfn.IFNA(VLOOKUP(J31,'MCIA Cases'!$A$2:$R$1091,17,FALSE)," ")</f>
        <v xml:space="preserve"> </v>
      </c>
      <c r="M31" s="7" t="str">
        <f>_xlfn.IFNA(VLOOKUP(J31,'MCIA Cases'!$A$2:$R$1091,3,FALSE)," ")</f>
        <v xml:space="preserve"> </v>
      </c>
      <c r="N31" s="1" t="str">
        <f>IF(COUNTIF('MCIA Corrective Actions'!$A:$A,J31)=0," ",COUNTIF('MCIA Corrective Actions'!$A:$A,J31))</f>
        <v xml:space="preserve"> </v>
      </c>
      <c r="O31" s="1" t="str">
        <f>IF(COUNTIF('MCIA Corrective Actions'!$A:$A,J31)=0," ",COUNTIFS('MCIA Corrective Actions'!$A:$A,J31,'MCIA Corrective Actions'!N:N,"Yes"))</f>
        <v xml:space="preserve"> </v>
      </c>
      <c r="R31" s="7" t="s">
        <v>3282</v>
      </c>
      <c r="T31" s="176" t="str">
        <f t="shared" si="1"/>
        <v xml:space="preserve"> </v>
      </c>
      <c r="U31" s="176">
        <f t="shared" si="2"/>
        <v>1</v>
      </c>
      <c r="V31" s="176">
        <f t="shared" si="3"/>
        <v>0</v>
      </c>
      <c r="W31" s="176">
        <f t="shared" si="4"/>
        <v>0</v>
      </c>
    </row>
    <row r="32" spans="1:23" ht="30" x14ac:dyDescent="0.25">
      <c r="A32" s="7">
        <v>336</v>
      </c>
      <c r="B32" s="109">
        <f>VLOOKUP($A32,Table1[['#]:[Vessel]],4,FALSE)</f>
        <v>54</v>
      </c>
      <c r="C32" s="143">
        <f>VLOOKUP($A32,Table1[['#]:[Date]],3,FALSE)</f>
        <v>44724</v>
      </c>
      <c r="D32" s="110">
        <f>VLOOKUP($A32,Table1[['#]:[Hours]],7,FALSE)</f>
        <v>82.716666666674428</v>
      </c>
      <c r="E32" s="110" t="str">
        <f>VLOOKUP($A32,Table1[['#]:[System]],8,FALSE)&amp;" / "&amp;VLOOKUP($A32,Table1[['#]:[Subsystem]],9,FALSE)</f>
        <v>Crane Boom / Boom / Gantry Sheaves</v>
      </c>
      <c r="F32" s="110" t="str">
        <f>VLOOKUP($A32,Table1[['#]:[Delay Log Notes]],11,FALSE)</f>
        <v>Bearing on holding wire tip sheave failed</v>
      </c>
      <c r="G32" s="109">
        <f>VLOOKUP($A32,Table1[['#]:[Work Order '#]],10,FALSE)</f>
        <v>4251945</v>
      </c>
      <c r="H32" s="110" t="str">
        <f>IF(G32="None"," ",VLOOKUP($A32,Table1[['#]:[Work Order Title]],12,FALSE))</f>
        <v>Boom Point Sheave asem removal</v>
      </c>
      <c r="I32" s="112" t="str">
        <f>_xlfn.IFNA(VLOOKUP(J32,'MCIA Cases'!$A$2:$R$1091,12,FALSE)," ")</f>
        <v xml:space="preserve"> </v>
      </c>
      <c r="J32" s="112" t="s">
        <v>2682</v>
      </c>
      <c r="K32" s="126" t="str">
        <f>_xlfn.IFNA(VLOOKUP(J32,'MCIA Cases'!$A$2:$AG$1091,2,FALSE)," ")</f>
        <v xml:space="preserve"> </v>
      </c>
      <c r="L32" s="127" t="str">
        <f>_xlfn.IFNA(VLOOKUP(J32,'MCIA Cases'!$A$2:$R$1091,17,FALSE)," ")</f>
        <v xml:space="preserve"> </v>
      </c>
      <c r="M32" s="7" t="str">
        <f>_xlfn.IFNA(VLOOKUP(J32,'MCIA Cases'!$A$2:$R$1091,3,FALSE)," ")</f>
        <v xml:space="preserve"> </v>
      </c>
      <c r="N32" s="1" t="str">
        <f>IF(COUNTIF('MCIA Corrective Actions'!$A:$A,J32)=0," ",COUNTIF('MCIA Corrective Actions'!$A:$A,J32))</f>
        <v xml:space="preserve"> </v>
      </c>
      <c r="O32" s="1" t="str">
        <f>IF(COUNTIF('MCIA Corrective Actions'!$A:$A,J32)=0," ",COUNTIFS('MCIA Corrective Actions'!$A:$A,J32,'MCIA Corrective Actions'!N:N,"Yes"))</f>
        <v xml:space="preserve"> </v>
      </c>
      <c r="R32" s="7" t="s">
        <v>3283</v>
      </c>
      <c r="T32" s="176" t="str">
        <f t="shared" si="1"/>
        <v xml:space="preserve"> </v>
      </c>
      <c r="U32" s="176">
        <f t="shared" si="2"/>
        <v>1</v>
      </c>
      <c r="V32" s="176">
        <f t="shared" si="3"/>
        <v>0</v>
      </c>
      <c r="W32" s="176">
        <f t="shared" si="4"/>
        <v>0</v>
      </c>
    </row>
    <row r="33" spans="1:23" ht="30" hidden="1" x14ac:dyDescent="0.25">
      <c r="A33" s="7">
        <v>337</v>
      </c>
      <c r="B33" s="109">
        <f>VLOOKUP($A33,Table1[['#]:[Vessel]],4,FALSE)</f>
        <v>53</v>
      </c>
      <c r="C33" s="143">
        <f>VLOOKUP($A33,Table1[['#]:[Date]],3,FALSE)</f>
        <v>44724</v>
      </c>
      <c r="D33" s="110">
        <f>VLOOKUP($A33,Table1[['#]:[Hours]],7,FALSE)</f>
        <v>45.899999999965075</v>
      </c>
      <c r="E33" s="110" t="str">
        <f>VLOOKUP($A33,Table1[['#]:[System]],8,FALSE)&amp;" / "&amp;VLOOKUP($A33,Table1[['#]:[Subsystem]],9,FALSE)</f>
        <v>Electrical/Electronics / PLC</v>
      </c>
      <c r="F33" s="110" t="str">
        <f>VLOOKUP($A33,Table1[['#]:[Delay Log Notes]],11,FALSE)</f>
        <v>None</v>
      </c>
      <c r="G33" s="109">
        <f>VLOOKUP($A33,Table1[['#]:[Work Order '#]],10,FALSE)</f>
        <v>4816621</v>
      </c>
      <c r="H33" s="110" t="str">
        <f>IF(G33="None"," ",VLOOKUP($A33,Table1[['#]:[Work Order Title]],12,FALSE))</f>
        <v>Troubleshoot closing drive tripping</v>
      </c>
      <c r="I33" s="112" t="str">
        <f>_xlfn.IFNA(VLOOKUP(J33,'MCIA Cases'!$A$2:$R$1091,12,FALSE)," ")</f>
        <v xml:space="preserve"> </v>
      </c>
      <c r="J33" s="175" t="s">
        <v>611</v>
      </c>
      <c r="K33" s="126" t="str">
        <f>_xlfn.IFNA(VLOOKUP(J33,'MCIA Cases'!$A$2:$AG$1091,2,FALSE)," ")</f>
        <v xml:space="preserve"> </v>
      </c>
      <c r="L33" s="127" t="str">
        <f>_xlfn.IFNA(VLOOKUP(J33,'MCIA Cases'!$A$2:$R$1091,17,FALSE)," ")</f>
        <v xml:space="preserve"> </v>
      </c>
      <c r="M33" s="7" t="str">
        <f>_xlfn.IFNA(VLOOKUP(J33,'MCIA Cases'!$A$2:$R$1091,3,FALSE)," ")</f>
        <v xml:space="preserve"> </v>
      </c>
      <c r="N33" s="1" t="str">
        <f>IF(COUNTIF('MCIA Corrective Actions'!$A:$A,J33)=0," ",COUNTIF('MCIA Corrective Actions'!$A:$A,J33))</f>
        <v xml:space="preserve"> </v>
      </c>
      <c r="O33" s="1" t="str">
        <f>IF(COUNTIF('MCIA Corrective Actions'!$A:$A,J33)=0," ",COUNTIFS('MCIA Corrective Actions'!$A:$A,J33,'MCIA Corrective Actions'!N:N,"Yes"))</f>
        <v xml:space="preserve"> </v>
      </c>
      <c r="R33" s="7" t="s">
        <v>3284</v>
      </c>
      <c r="T33" s="176" t="str">
        <f t="shared" si="1"/>
        <v xml:space="preserve"> </v>
      </c>
      <c r="U33" s="176">
        <f t="shared" si="2"/>
        <v>1</v>
      </c>
      <c r="V33" s="176">
        <f t="shared" si="3"/>
        <v>0</v>
      </c>
      <c r="W33" s="176">
        <f t="shared" si="4"/>
        <v>0</v>
      </c>
    </row>
    <row r="34" spans="1:23" hidden="1" x14ac:dyDescent="0.25">
      <c r="A34" s="7">
        <v>339</v>
      </c>
      <c r="B34" s="109">
        <f>VLOOKUP($A34,Table1[['#]:[Vessel]],4,FALSE)</f>
        <v>54</v>
      </c>
      <c r="C34" s="143">
        <f>VLOOKUP($A34,Table1[['#]:[Date]],3,FALSE)</f>
        <v>44732</v>
      </c>
      <c r="D34" s="110">
        <f>VLOOKUP($A34,Table1[['#]:[Hours]],7,FALSE)</f>
        <v>25.583333333430346</v>
      </c>
      <c r="E34" s="110" t="str">
        <f>VLOOKUP($A34,Table1[['#]:[System]],8,FALSE)&amp;" / "&amp;VLOOKUP($A34,Table1[['#]:[Subsystem]],9,FALSE)</f>
        <v>Crane Swing / Drive (motor, gear box, etc.)</v>
      </c>
      <c r="F34" s="110" t="str">
        <f>VLOOKUP($A34,Table1[['#]:[Delay Log Notes]],11,FALSE)</f>
        <v>AC Drive Motor, check end time.</v>
      </c>
      <c r="G34" s="109">
        <f>VLOOKUP($A34,Table1[['#]:[Work Order '#]],10,FALSE)</f>
        <v>4251951</v>
      </c>
      <c r="H34" s="110" t="str">
        <f>IF(G34="None"," ",VLOOKUP($A34,Table1[['#]:[Work Order Title]],12,FALSE))</f>
        <v>Benshaw 2400 repair</v>
      </c>
      <c r="I34" s="112" t="str">
        <f>_xlfn.IFNA(VLOOKUP(J34,'MCIA Cases'!$A$2:$R$1091,12,FALSE)," ")</f>
        <v xml:space="preserve"> </v>
      </c>
      <c r="J34" s="175" t="s">
        <v>611</v>
      </c>
      <c r="K34" s="126" t="str">
        <f>_xlfn.IFNA(VLOOKUP(J34,'MCIA Cases'!$A$2:$AG$1091,2,FALSE)," ")</f>
        <v xml:space="preserve"> </v>
      </c>
      <c r="L34" s="127" t="str">
        <f>_xlfn.IFNA(VLOOKUP(J34,'MCIA Cases'!$A$2:$R$1091,17,FALSE)," ")</f>
        <v xml:space="preserve"> </v>
      </c>
      <c r="M34" s="7" t="str">
        <f>_xlfn.IFNA(VLOOKUP(J34,'MCIA Cases'!$A$2:$R$1091,3,FALSE)," ")</f>
        <v xml:space="preserve"> </v>
      </c>
      <c r="N34" s="1" t="str">
        <f>IF(COUNTIF('MCIA Corrective Actions'!$A:$A,J34)=0," ",COUNTIF('MCIA Corrective Actions'!$A:$A,J34))</f>
        <v xml:space="preserve"> </v>
      </c>
      <c r="O34" s="1" t="str">
        <f>IF(COUNTIF('MCIA Corrective Actions'!$A:$A,J34)=0," ",COUNTIFS('MCIA Corrective Actions'!$A:$A,J34,'MCIA Corrective Actions'!N:N,"Yes"))</f>
        <v xml:space="preserve"> </v>
      </c>
      <c r="R34" s="7" t="s">
        <v>3285</v>
      </c>
      <c r="T34" s="176" t="str">
        <f t="shared" si="1"/>
        <v xml:space="preserve"> </v>
      </c>
      <c r="U34" s="176">
        <f t="shared" si="2"/>
        <v>1</v>
      </c>
      <c r="V34" s="176">
        <f t="shared" si="3"/>
        <v>0</v>
      </c>
      <c r="W34" s="176">
        <f t="shared" si="4"/>
        <v>0</v>
      </c>
    </row>
    <row r="35" spans="1:23" ht="30" hidden="1" x14ac:dyDescent="0.25">
      <c r="A35" s="7">
        <v>340</v>
      </c>
      <c r="B35" s="109" t="str">
        <f>VLOOKUP($A35,Table1[['#]:[Vessel]],4,FALSE)</f>
        <v>Ohio</v>
      </c>
      <c r="C35" s="143">
        <f>VLOOKUP($A35,Table1[['#]:[Date]],3,FALSE)</f>
        <v>44737</v>
      </c>
      <c r="D35" s="110">
        <f>VLOOKUP($A35,Table1[['#]:[Hours]],7,FALSE)</f>
        <v>124.2666666667792</v>
      </c>
      <c r="E35" s="110" t="str">
        <f>VLOOKUP($A35,Table1[['#]:[System]],8,FALSE)&amp;" / "&amp;VLOOKUP($A35,Table1[['#]:[Subsystem]],9,FALSE)</f>
        <v>Ladder Pump / Gearbox</v>
      </c>
      <c r="F35" s="110" t="str">
        <f>VLOOKUP($A35,Table1[['#]:[Delay Log Notes]],11,FALSE)</f>
        <v>None</v>
      </c>
      <c r="G35" s="109">
        <f>VLOOKUP($A35,Table1[['#]:[Work Order '#]],10,FALSE)</f>
        <v>4816439</v>
      </c>
      <c r="H35" s="110" t="str">
        <f>IF(G35="None"," ",VLOOKUP($A35,Table1[['#]:[Work Order Title]],12,FALSE))</f>
        <v>UWP gearbox oil leak</v>
      </c>
      <c r="I35" s="112" t="str">
        <f>_xlfn.IFNA(VLOOKUP(J35,'MCIA Cases'!$A$2:$R$1091,12,FALSE)," ")</f>
        <v>In Progress</v>
      </c>
      <c r="J35" s="175">
        <v>438</v>
      </c>
      <c r="K35" s="126" t="str">
        <f>_xlfn.IFNA(VLOOKUP(J35,'MCIA Cases'!$A$2:$AG$1091,2,FALSE)," ")</f>
        <v>Ohio UWP GB Intermediate Bearing Failure</v>
      </c>
      <c r="L35" s="127" t="str">
        <f>_xlfn.IFNA(VLOOKUP(J35,'MCIA Cases'!$A$2:$R$1091,17,FALSE)," ")</f>
        <v>06/25/2022</v>
      </c>
      <c r="M35" s="7" t="str">
        <f>_xlfn.IFNA(VLOOKUP(J35,'MCIA Cases'!$A$2:$R$1091,3,FALSE)," ")</f>
        <v>Brandon Suire</v>
      </c>
      <c r="N35" s="1" t="str">
        <f>IF(COUNTIF('MCIA Corrective Actions'!$A:$A,J35)=0," ",COUNTIF('MCIA Corrective Actions'!$A:$A,J35))</f>
        <v xml:space="preserve"> </v>
      </c>
      <c r="O35" s="1" t="str">
        <f>IF(COUNTIF('MCIA Corrective Actions'!$A:$A,J35)=0," ",COUNTIFS('MCIA Corrective Actions'!$A:$A,J35,'MCIA Corrective Actions'!N:N,"Yes"))</f>
        <v xml:space="preserve"> </v>
      </c>
      <c r="T35" s="176" t="str">
        <f t="shared" si="1"/>
        <v xml:space="preserve"> </v>
      </c>
      <c r="U35" s="176">
        <f t="shared" si="2"/>
        <v>1</v>
      </c>
      <c r="V35" s="176">
        <f t="shared" si="3"/>
        <v>1</v>
      </c>
      <c r="W35" s="176">
        <f t="shared" si="4"/>
        <v>1</v>
      </c>
    </row>
    <row r="36" spans="1:23" ht="30" hidden="1" x14ac:dyDescent="0.25">
      <c r="A36" s="7">
        <v>341</v>
      </c>
      <c r="B36" s="109">
        <f>VLOOKUP($A36,Table1[['#]:[Vessel]],4,FALSE)</f>
        <v>53</v>
      </c>
      <c r="C36" s="143">
        <f>VLOOKUP($A36,Table1[['#]:[Date]],3,FALSE)</f>
        <v>44737</v>
      </c>
      <c r="D36" s="110">
        <f>VLOOKUP($A36,Table1[['#]:[Hours]],7,FALSE)</f>
        <v>62.733333333337214</v>
      </c>
      <c r="E36" s="110" t="str">
        <f>VLOOKUP($A36,Table1[['#]:[System]],8,FALSE)&amp;" / "&amp;VLOOKUP($A36,Table1[['#]:[Subsystem]],9,FALSE)</f>
        <v>Electrical/Electronics / MCC / Switch Gear</v>
      </c>
      <c r="F36" s="110" t="str">
        <f>VLOOKUP($A36,Table1[['#]:[Delay Log Notes]],11,FALSE)</f>
        <v>Choke coil burnt up</v>
      </c>
      <c r="G36" s="109">
        <f>VLOOKUP($A36,Table1[['#]:[Work Order '#]],10,FALSE)</f>
        <v>4816907</v>
      </c>
      <c r="H36" s="110" t="str">
        <f>IF(G36="None"," ",VLOOKUP($A36,Table1[['#]:[Work Order Title]],12,FALSE))</f>
        <v>Change out burnt up coil on Closer phase</v>
      </c>
      <c r="I36" s="112" t="str">
        <f>_xlfn.IFNA(VLOOKUP(J36,'MCIA Cases'!$A$2:$R$1091,12,FALSE)," ")</f>
        <v xml:space="preserve"> </v>
      </c>
      <c r="J36" s="175" t="s">
        <v>611</v>
      </c>
      <c r="K36" s="126" t="str">
        <f>_xlfn.IFNA(VLOOKUP(J36,'MCIA Cases'!$A$2:$AG$1091,2,FALSE)," ")</f>
        <v xml:space="preserve"> </v>
      </c>
      <c r="L36" s="127" t="str">
        <f>_xlfn.IFNA(VLOOKUP(J36,'MCIA Cases'!$A$2:$R$1091,17,FALSE)," ")</f>
        <v xml:space="preserve"> </v>
      </c>
      <c r="M36" s="7" t="str">
        <f>_xlfn.IFNA(VLOOKUP(J36,'MCIA Cases'!$A$2:$R$1091,3,FALSE)," ")</f>
        <v xml:space="preserve"> </v>
      </c>
      <c r="N36" s="1" t="str">
        <f>IF(COUNTIF('MCIA Corrective Actions'!$A:$A,J36)=0," ",COUNTIF('MCIA Corrective Actions'!$A:$A,J36))</f>
        <v xml:space="preserve"> </v>
      </c>
      <c r="O36" s="1" t="str">
        <f>IF(COUNTIF('MCIA Corrective Actions'!$A:$A,J36)=0," ",COUNTIFS('MCIA Corrective Actions'!$A:$A,J36,'MCIA Corrective Actions'!N:N,"Yes"))</f>
        <v xml:space="preserve"> </v>
      </c>
      <c r="R36" s="7" t="s">
        <v>3286</v>
      </c>
      <c r="T36" s="176" t="str">
        <f t="shared" si="1"/>
        <v xml:space="preserve"> </v>
      </c>
      <c r="U36" s="176">
        <f t="shared" si="2"/>
        <v>1</v>
      </c>
      <c r="V36" s="176">
        <f t="shared" si="3"/>
        <v>0</v>
      </c>
      <c r="W36" s="176">
        <f t="shared" si="4"/>
        <v>0</v>
      </c>
    </row>
    <row r="37" spans="1:23" ht="30" hidden="1" x14ac:dyDescent="0.25">
      <c r="A37" s="7">
        <v>342</v>
      </c>
      <c r="B37" s="109" t="str">
        <f>VLOOKUP($A37,Table1[['#]:[Vessel]],4,FALSE)</f>
        <v>Ohio</v>
      </c>
      <c r="C37" s="143">
        <f>VLOOKUP($A37,Table1[['#]:[Date]],3,FALSE)</f>
        <v>44751</v>
      </c>
      <c r="D37" s="110">
        <f>VLOOKUP($A37,Table1[['#]:[Hours]],7,FALSE)</f>
        <v>195</v>
      </c>
      <c r="E37" s="110" t="str">
        <f>VLOOKUP($A37,Table1[['#]:[System]],8,FALSE)&amp;" / "&amp;VLOOKUP($A37,Table1[['#]:[Subsystem]],9,FALSE)</f>
        <v>Ladder Pump / Motor / Engine</v>
      </c>
      <c r="F37" s="110" t="str">
        <f>VLOOKUP($A37,Table1[['#]:[Delay Log Notes]],11,FALSE)</f>
        <v>None</v>
      </c>
      <c r="G37" s="109">
        <f>VLOOKUP($A37,Table1[['#]:[Work Order '#]],10,FALSE)</f>
        <v>4532599</v>
      </c>
      <c r="H37" s="110" t="str">
        <f>IF(G37="None"," ",VLOOKUP($A37,Table1[['#]:[Work Order Title]],12,FALSE))</f>
        <v>Ladder Pump Gearbox Quarterly PM/Inspection</v>
      </c>
      <c r="I37" s="112" t="str">
        <f>_xlfn.IFNA(VLOOKUP(J37,'MCIA Cases'!$A$2:$R$1091,12,FALSE)," ")</f>
        <v>In Progress</v>
      </c>
      <c r="J37" s="175">
        <v>438</v>
      </c>
      <c r="K37" s="126" t="str">
        <f>_xlfn.IFNA(VLOOKUP(J37,'MCIA Cases'!$A$2:$AG$1091,2,FALSE)," ")</f>
        <v>Ohio UWP GB Intermediate Bearing Failure</v>
      </c>
      <c r="L37" s="127" t="str">
        <f>_xlfn.IFNA(VLOOKUP(J37,'MCIA Cases'!$A$2:$R$1091,17,FALSE)," ")</f>
        <v>06/25/2022</v>
      </c>
      <c r="M37" s="7" t="str">
        <f>_xlfn.IFNA(VLOOKUP(J37,'MCIA Cases'!$A$2:$R$1091,3,FALSE)," ")</f>
        <v>Brandon Suire</v>
      </c>
      <c r="N37" s="1" t="str">
        <f>IF(COUNTIF('MCIA Corrective Actions'!$A:$A,J37)=0," ",COUNTIF('MCIA Corrective Actions'!$A:$A,J37))</f>
        <v xml:space="preserve"> </v>
      </c>
      <c r="O37" s="1" t="str">
        <f>IF(COUNTIF('MCIA Corrective Actions'!$A:$A,J37)=0," ",COUNTIFS('MCIA Corrective Actions'!$A:$A,J37,'MCIA Corrective Actions'!N:N,"Yes"))</f>
        <v xml:space="preserve"> </v>
      </c>
      <c r="T37" s="176" t="str">
        <f t="shared" si="1"/>
        <v xml:space="preserve"> </v>
      </c>
      <c r="U37" s="176">
        <f t="shared" si="2"/>
        <v>1</v>
      </c>
      <c r="V37" s="176">
        <f t="shared" si="3"/>
        <v>1</v>
      </c>
      <c r="W37" s="176">
        <f t="shared" si="4"/>
        <v>1</v>
      </c>
    </row>
    <row r="38" spans="1:23" ht="30" hidden="1" x14ac:dyDescent="0.25">
      <c r="A38" s="7">
        <v>343</v>
      </c>
      <c r="B38" s="109" t="str">
        <f>VLOOKUP($A38,Table1[['#]:[Vessel]],4,FALSE)</f>
        <v>Dodge Island</v>
      </c>
      <c r="C38" s="143">
        <f>VLOOKUP($A38,Table1[['#]:[Date]],3,FALSE)</f>
        <v>44762</v>
      </c>
      <c r="D38" s="110">
        <f>VLOOKUP($A38,Table1[['#]:[Hours]],7,FALSE)</f>
        <v>28.5</v>
      </c>
      <c r="E38" s="110" t="str">
        <f>VLOOKUP($A38,Table1[['#]:[System]],8,FALSE)&amp;" / "&amp;VLOOKUP($A38,Table1[['#]:[Subsystem]],9,FALSE)</f>
        <v>Generator Engine / Other</v>
      </c>
      <c r="F38" s="110" t="str">
        <f>VLOOKUP($A38,Table1[['#]:[Delay Log Notes]],11,FALSE)</f>
        <v>None</v>
      </c>
      <c r="G38" s="109">
        <f>VLOOKUP($A38,Table1[['#]:[Work Order '#]],10,FALSE)</f>
        <v>4072127</v>
      </c>
      <c r="H38" s="110" t="str">
        <f>IF(G38="None"," ",VLOOKUP($A38,Table1[['#]:[Work Order Title]],12,FALSE))</f>
        <v>Port Generator - Replace air starter</v>
      </c>
      <c r="I38" s="112" t="str">
        <f>_xlfn.IFNA(VLOOKUP(J38,'MCIA Cases'!$A$2:$R$1091,12,FALSE)," ")</f>
        <v xml:space="preserve"> </v>
      </c>
      <c r="J38" s="175" t="s">
        <v>611</v>
      </c>
      <c r="K38" s="126" t="str">
        <f>_xlfn.IFNA(VLOOKUP(J38,'MCIA Cases'!$A$2:$AG$1091,2,FALSE)," ")</f>
        <v xml:space="preserve"> </v>
      </c>
      <c r="L38" s="127" t="str">
        <f>_xlfn.IFNA(VLOOKUP(J38,'MCIA Cases'!$A$2:$R$1091,17,FALSE)," ")</f>
        <v xml:space="preserve"> </v>
      </c>
      <c r="M38" s="7" t="str">
        <f>_xlfn.IFNA(VLOOKUP(J38,'MCIA Cases'!$A$2:$R$1091,3,FALSE)," ")</f>
        <v xml:space="preserve"> </v>
      </c>
      <c r="N38" s="1" t="str">
        <f>IF(COUNTIF('MCIA Corrective Actions'!$A:$A,J38)=0," ",COUNTIF('MCIA Corrective Actions'!$A:$A,J38))</f>
        <v xml:space="preserve"> </v>
      </c>
      <c r="O38" s="1" t="str">
        <f>IF(COUNTIF('MCIA Corrective Actions'!$A:$A,J38)=0," ",COUNTIFS('MCIA Corrective Actions'!$A:$A,J38,'MCIA Corrective Actions'!N:N,"Yes"))</f>
        <v xml:space="preserve"> </v>
      </c>
      <c r="R38" s="7" t="s">
        <v>3279</v>
      </c>
      <c r="T38" s="176" t="str">
        <f t="shared" si="1"/>
        <v xml:space="preserve"> </v>
      </c>
      <c r="U38" s="176">
        <f t="shared" si="2"/>
        <v>1</v>
      </c>
      <c r="V38" s="176">
        <f t="shared" si="3"/>
        <v>0</v>
      </c>
      <c r="W38" s="176">
        <f t="shared" si="4"/>
        <v>0</v>
      </c>
    </row>
    <row r="39" spans="1:23" ht="75" x14ac:dyDescent="0.25">
      <c r="A39" s="7">
        <v>344</v>
      </c>
      <c r="B39" s="109">
        <f>VLOOKUP($A39,Table1[['#]:[Vessel]],4,FALSE)</f>
        <v>54</v>
      </c>
      <c r="C39" s="143">
        <f>VLOOKUP($A39,Table1[['#]:[Date]],3,FALSE)</f>
        <v>44768</v>
      </c>
      <c r="D39" s="110">
        <f>VLOOKUP($A39,Table1[['#]:[Hours]],7,FALSE)</f>
        <v>116.20000000001164</v>
      </c>
      <c r="E39" s="110" t="str">
        <f>VLOOKUP($A39,Table1[['#]:[System]],8,FALSE)&amp;" / "&amp;VLOOKUP($A39,Table1[['#]:[Subsystem]],9,FALSE)</f>
        <v>Crane Boom / Boom Winch</v>
      </c>
      <c r="F39" s="110" t="str">
        <f>VLOOKUP($A39,Table1[['#]:[Delay Log Notes]],11,FALSE)</f>
        <v>Boom motor failure</v>
      </c>
      <c r="G39" s="109">
        <f>VLOOKUP($A39,Table1[['#]:[Work Order '#]],10,FALSE)</f>
        <v>4817452</v>
      </c>
      <c r="H39" s="110" t="str">
        <f>IF(G39="None"," ",VLOOKUP($A39,Table1[['#]:[Work Order Title]],12,FALSE))</f>
        <v>Complete Inspection of all DC Motors / Generators brushes/holders and commutators associated with Crane Boom Operation</v>
      </c>
      <c r="I39" s="112" t="str">
        <f>_xlfn.IFNA(VLOOKUP(J39,'MCIA Cases'!$A$2:$R$1091,12,FALSE)," ")</f>
        <v xml:space="preserve"> </v>
      </c>
      <c r="J39" s="175"/>
      <c r="K39" s="126" t="str">
        <f>_xlfn.IFNA(VLOOKUP(J39,'MCIA Cases'!$A$2:$AG$1091,2,FALSE)," ")</f>
        <v xml:space="preserve"> </v>
      </c>
      <c r="L39" s="127" t="str">
        <f>_xlfn.IFNA(VLOOKUP(J39,'MCIA Cases'!$A$2:$R$1091,17,FALSE)," ")</f>
        <v xml:space="preserve"> </v>
      </c>
      <c r="M39" s="7" t="str">
        <f>_xlfn.IFNA(VLOOKUP(J39,'MCIA Cases'!$A$2:$R$1091,3,FALSE)," ")</f>
        <v xml:space="preserve"> </v>
      </c>
      <c r="N39" s="1" t="str">
        <f>IF(COUNTIF('MCIA Corrective Actions'!$A:$A,J39)=0," ",COUNTIF('MCIA Corrective Actions'!$A:$A,J39))</f>
        <v xml:space="preserve"> </v>
      </c>
      <c r="O39" s="1" t="str">
        <f>IF(COUNTIF('MCIA Corrective Actions'!$A:$A,J39)=0," ",COUNTIFS('MCIA Corrective Actions'!$A:$A,J39,'MCIA Corrective Actions'!N:N,"Yes"))</f>
        <v xml:space="preserve"> </v>
      </c>
      <c r="T39" s="176" t="str">
        <f t="shared" si="1"/>
        <v xml:space="preserve"> </v>
      </c>
      <c r="U39" s="176">
        <f t="shared" si="2"/>
        <v>1</v>
      </c>
      <c r="V39" s="176">
        <f t="shared" si="3"/>
        <v>0</v>
      </c>
      <c r="W39" s="176">
        <f t="shared" si="4"/>
        <v>0</v>
      </c>
    </row>
    <row r="40" spans="1:23" ht="30" x14ac:dyDescent="0.25">
      <c r="A40" s="7">
        <v>345</v>
      </c>
      <c r="B40" s="109" t="str">
        <f>VLOOKUP($A40,Table1[['#]:[Vessel]],4,FALSE)</f>
        <v>Ohio</v>
      </c>
      <c r="C40" s="143">
        <f>VLOOKUP($A40,Table1[['#]:[Date]],3,FALSE)</f>
        <v>44778</v>
      </c>
      <c r="D40" s="110">
        <f>VLOOKUP($A40,Table1[['#]:[Hours]],7,FALSE)</f>
        <v>46.816666666651145</v>
      </c>
      <c r="E40" s="110" t="str">
        <f>VLOOKUP($A40,Table1[['#]:[System]],8,FALSE)&amp;" / "&amp;VLOOKUP($A40,Table1[['#]:[Subsystem]],9,FALSE)</f>
        <v>Main Pump / Engine / Motor</v>
      </c>
      <c r="F40" s="110" t="str">
        <f>VLOOKUP($A40,Table1[['#]:[Delay Log Notes]],11,FALSE)</f>
        <v>None</v>
      </c>
      <c r="G40" s="109">
        <f>VLOOKUP($A40,Table1[['#]:[Work Order '#]],10,FALSE)</f>
        <v>4817827</v>
      </c>
      <c r="H40" s="110" t="str">
        <f>IF(G40="None"," ",VLOOKUP($A40,Table1[['#]:[Work Order Title]],12,FALSE))</f>
        <v>Inspect and repair vibration in STBD pump Driveline</v>
      </c>
      <c r="I40" s="112" t="str">
        <f>_xlfn.IFNA(VLOOKUP(J40,'MCIA Cases'!$A$2:$R$1091,12,FALSE)," ")</f>
        <v xml:space="preserve"> </v>
      </c>
      <c r="J40" s="175"/>
      <c r="K40" s="126" t="str">
        <f>_xlfn.IFNA(VLOOKUP(J40,'MCIA Cases'!$A$2:$AG$1091,2,FALSE)," ")</f>
        <v xml:space="preserve"> </v>
      </c>
      <c r="L40" s="127" t="str">
        <f>_xlfn.IFNA(VLOOKUP(J40,'MCIA Cases'!$A$2:$R$1091,17,FALSE)," ")</f>
        <v xml:space="preserve"> </v>
      </c>
      <c r="M40" s="7" t="str">
        <f>_xlfn.IFNA(VLOOKUP(J40,'MCIA Cases'!$A$2:$R$1091,3,FALSE)," ")</f>
        <v xml:space="preserve"> </v>
      </c>
      <c r="N40" s="1" t="str">
        <f>IF(COUNTIF('MCIA Corrective Actions'!$A:$A,J40)=0," ",COUNTIF('MCIA Corrective Actions'!$A:$A,J40))</f>
        <v xml:space="preserve"> </v>
      </c>
      <c r="O40" s="1" t="str">
        <f>IF(COUNTIF('MCIA Corrective Actions'!$A:$A,J40)=0," ",COUNTIFS('MCIA Corrective Actions'!$A:$A,J40,'MCIA Corrective Actions'!N:N,"Yes"))</f>
        <v xml:space="preserve"> </v>
      </c>
      <c r="T40" s="176" t="str">
        <f t="shared" si="1"/>
        <v xml:space="preserve"> </v>
      </c>
      <c r="U40" s="176">
        <f t="shared" si="2"/>
        <v>1</v>
      </c>
      <c r="V40" s="176">
        <f t="shared" si="3"/>
        <v>0</v>
      </c>
      <c r="W40" s="176">
        <f t="shared" si="4"/>
        <v>0</v>
      </c>
    </row>
    <row r="41" spans="1:23" x14ac:dyDescent="0.25">
      <c r="A41" s="7">
        <v>346</v>
      </c>
      <c r="B41" s="109" t="str">
        <f>VLOOKUP($A41,Table1[['#]:[Vessel]],4,FALSE)</f>
        <v>Alaska</v>
      </c>
      <c r="C41" s="143">
        <f>VLOOKUP($A41,Table1[['#]:[Date]],3,FALSE)</f>
        <v>44781</v>
      </c>
      <c r="D41" s="110">
        <f>VLOOKUP($A41,Table1[['#]:[Hours]],7,FALSE)</f>
        <v>169.88333333318587</v>
      </c>
      <c r="E41" s="110" t="str">
        <f>VLOOKUP($A41,Table1[['#]:[System]],8,FALSE)&amp;" / "&amp;VLOOKUP($A41,Table1[['#]:[Subsystem]],9,FALSE)</f>
        <v>Spuds / Xmass Tree / Tree Structure</v>
      </c>
      <c r="F41" s="110" t="str">
        <f>VLOOKUP($A41,Table1[['#]:[Delay Log Notes]],11,FALSE)</f>
        <v>Installing xmas tree before starting up</v>
      </c>
      <c r="G41" s="109">
        <f>VLOOKUP($A41,Table1[['#]:[Work Order '#]],10,FALSE)</f>
        <v>1779011</v>
      </c>
      <c r="H41" s="110" t="str">
        <f>IF(G41="None"," ",VLOOKUP($A41,Table1[['#]:[Work Order Title]],12,FALSE))</f>
        <v>Work Order not found</v>
      </c>
      <c r="I41" s="112" t="str">
        <f>_xlfn.IFNA(VLOOKUP(J41,'MCIA Cases'!$A$2:$R$1091,12,FALSE)," ")</f>
        <v xml:space="preserve"> </v>
      </c>
      <c r="J41" s="175"/>
      <c r="K41" s="126" t="str">
        <f>_xlfn.IFNA(VLOOKUP(J41,'MCIA Cases'!$A$2:$AG$1091,2,FALSE)," ")</f>
        <v xml:space="preserve"> </v>
      </c>
      <c r="L41" s="127" t="str">
        <f>_xlfn.IFNA(VLOOKUP(J41,'MCIA Cases'!$A$2:$R$1091,17,FALSE)," ")</f>
        <v xml:space="preserve"> </v>
      </c>
      <c r="M41" s="7" t="str">
        <f>_xlfn.IFNA(VLOOKUP(J41,'MCIA Cases'!$A$2:$R$1091,3,FALSE)," ")</f>
        <v xml:space="preserve"> </v>
      </c>
      <c r="N41" s="1" t="str">
        <f>IF(COUNTIF('MCIA Corrective Actions'!$A:$A,J41)=0," ",COUNTIF('MCIA Corrective Actions'!$A:$A,J41))</f>
        <v xml:space="preserve"> </v>
      </c>
      <c r="O41" s="1" t="str">
        <f>IF(COUNTIF('MCIA Corrective Actions'!$A:$A,J41)=0," ",COUNTIFS('MCIA Corrective Actions'!$A:$A,J41,'MCIA Corrective Actions'!N:N,"Yes"))</f>
        <v xml:space="preserve"> </v>
      </c>
      <c r="T41" s="176" t="str">
        <f t="shared" si="1"/>
        <v xml:space="preserve"> </v>
      </c>
      <c r="U41" s="176">
        <f t="shared" si="2"/>
        <v>1</v>
      </c>
      <c r="V41" s="176">
        <f t="shared" si="3"/>
        <v>0</v>
      </c>
      <c r="W41" s="176">
        <f t="shared" si="4"/>
        <v>0</v>
      </c>
    </row>
    <row r="42" spans="1:23" ht="45" x14ac:dyDescent="0.25">
      <c r="A42" s="7">
        <v>347</v>
      </c>
      <c r="B42" s="109" t="str">
        <f>VLOOKUP($A42,Table1[['#]:[Vessel]],4,FALSE)</f>
        <v>Ohio</v>
      </c>
      <c r="C42" s="143">
        <f>VLOOKUP($A42,Table1[['#]:[Date]],3,FALSE)</f>
        <v>44784</v>
      </c>
      <c r="D42" s="110">
        <f>VLOOKUP($A42,Table1[['#]:[Hours]],7,FALSE)</f>
        <v>78.133333333244082</v>
      </c>
      <c r="E42" s="110" t="str">
        <f>VLOOKUP($A42,Table1[['#]:[System]],8,FALSE)&amp;" / "&amp;VLOOKUP($A42,Table1[['#]:[Subsystem]],9,FALSE)</f>
        <v>Generators / Main Generator</v>
      </c>
      <c r="F42" s="110" t="str">
        <f>VLOOKUP($A42,Table1[['#]:[Delay Log Notes]],11,FALSE)</f>
        <v>None</v>
      </c>
      <c r="G42" s="109">
        <f>VLOOKUP($A42,Table1[['#]:[Work Order '#]],10,FALSE)</f>
        <v>4817430</v>
      </c>
      <c r="H42" s="110" t="str">
        <f>IF(G42="None"," ",VLOOKUP($A42,Table1[['#]:[Work Order Title]],12,FALSE))</f>
        <v>Condut the UT Survey as Required for ABS LL Renewal</v>
      </c>
      <c r="I42" s="112" t="str">
        <f>_xlfn.IFNA(VLOOKUP(J42,'MCIA Cases'!$A$2:$R$1091,12,FALSE)," ")</f>
        <v xml:space="preserve"> </v>
      </c>
      <c r="J42" s="175"/>
      <c r="K42" s="126" t="str">
        <f>_xlfn.IFNA(VLOOKUP(J42,'MCIA Cases'!$A$2:$AG$1091,2,FALSE)," ")</f>
        <v xml:space="preserve"> </v>
      </c>
      <c r="L42" s="127" t="str">
        <f>_xlfn.IFNA(VLOOKUP(J42,'MCIA Cases'!$A$2:$R$1091,17,FALSE)," ")</f>
        <v xml:space="preserve"> </v>
      </c>
      <c r="M42" s="7" t="str">
        <f>_xlfn.IFNA(VLOOKUP(J42,'MCIA Cases'!$A$2:$R$1091,3,FALSE)," ")</f>
        <v xml:space="preserve"> </v>
      </c>
      <c r="N42" s="1" t="str">
        <f>IF(COUNTIF('MCIA Corrective Actions'!$A:$A,J42)=0," ",COUNTIF('MCIA Corrective Actions'!$A:$A,J42))</f>
        <v xml:space="preserve"> </v>
      </c>
      <c r="O42" s="1" t="str">
        <f>IF(COUNTIF('MCIA Corrective Actions'!$A:$A,J42)=0," ",COUNTIFS('MCIA Corrective Actions'!$A:$A,J42,'MCIA Corrective Actions'!N:N,"Yes"))</f>
        <v xml:space="preserve"> </v>
      </c>
      <c r="T42" s="176" t="str">
        <f t="shared" si="1"/>
        <v xml:space="preserve"> </v>
      </c>
      <c r="U42" s="176">
        <f t="shared" si="2"/>
        <v>1</v>
      </c>
      <c r="V42" s="176">
        <f t="shared" si="3"/>
        <v>0</v>
      </c>
      <c r="W42" s="176">
        <f t="shared" si="4"/>
        <v>0</v>
      </c>
    </row>
    <row r="43" spans="1:23" ht="45" x14ac:dyDescent="0.25">
      <c r="A43" s="7">
        <v>348</v>
      </c>
      <c r="B43" s="109" t="str">
        <f>VLOOKUP($A43,Table1[['#]:[Vessel]],4,FALSE)</f>
        <v>Liberty Island</v>
      </c>
      <c r="C43" s="143">
        <f>VLOOKUP($A43,Table1[['#]:[Date]],3,FALSE)</f>
        <v>44786</v>
      </c>
      <c r="D43" s="110">
        <f>VLOOKUP($A43,Table1[['#]:[Hours]],7,FALSE)</f>
        <v>44.150000000023283</v>
      </c>
      <c r="E43" s="110" t="str">
        <f>VLOOKUP($A43,Table1[['#]:[System]],8,FALSE)&amp;" / "&amp;VLOOKUP($A43,Table1[['#]:[Subsystem]],9,FALSE)</f>
        <v>Main Engine/Propulsion / Other</v>
      </c>
      <c r="F43" s="110" t="str">
        <f>VLOOKUP($A43,Table1[['#]:[Delay Log Notes]],11,FALSE)</f>
        <v>Starboard Turbo Overheated/Failure - Repair</v>
      </c>
      <c r="G43" s="109">
        <f>VLOOKUP($A43,Table1[['#]:[Work Order '#]],10,FALSE)</f>
        <v>851900</v>
      </c>
      <c r="H43" s="110" t="str">
        <f>IF(G43="None"," ",VLOOKUP($A43,Table1[['#]:[Work Order Title]],12,FALSE))</f>
        <v>Stbd Propulsion engine inboard turbo failure and Exhaust bellows</v>
      </c>
      <c r="I43" s="112" t="str">
        <f>_xlfn.IFNA(VLOOKUP(J43,'MCIA Cases'!$A$2:$R$1091,12,FALSE)," ")</f>
        <v xml:space="preserve"> </v>
      </c>
      <c r="J43" s="175"/>
      <c r="K43" s="126" t="str">
        <f>_xlfn.IFNA(VLOOKUP(J43,'MCIA Cases'!$A$2:$AG$1091,2,FALSE)," ")</f>
        <v xml:space="preserve"> </v>
      </c>
      <c r="L43" s="127" t="str">
        <f>_xlfn.IFNA(VLOOKUP(J43,'MCIA Cases'!$A$2:$R$1091,17,FALSE)," ")</f>
        <v xml:space="preserve"> </v>
      </c>
      <c r="M43" s="7" t="str">
        <f>_xlfn.IFNA(VLOOKUP(J43,'MCIA Cases'!$A$2:$R$1091,3,FALSE)," ")</f>
        <v xml:space="preserve"> </v>
      </c>
      <c r="N43" s="1" t="str">
        <f>IF(COUNTIF('MCIA Corrective Actions'!$A:$A,J43)=0," ",COUNTIF('MCIA Corrective Actions'!$A:$A,J43))</f>
        <v xml:space="preserve"> </v>
      </c>
      <c r="O43" s="1" t="str">
        <f>IF(COUNTIF('MCIA Corrective Actions'!$A:$A,J43)=0," ",COUNTIFS('MCIA Corrective Actions'!$A:$A,J43,'MCIA Corrective Actions'!N:N,"Yes"))</f>
        <v xml:space="preserve"> </v>
      </c>
      <c r="T43" s="176" t="str">
        <f t="shared" si="1"/>
        <v xml:space="preserve"> </v>
      </c>
      <c r="U43" s="176">
        <f t="shared" si="2"/>
        <v>1</v>
      </c>
      <c r="V43" s="176">
        <f t="shared" si="3"/>
        <v>0</v>
      </c>
      <c r="W43" s="176">
        <f t="shared" si="4"/>
        <v>0</v>
      </c>
    </row>
    <row r="44" spans="1:23" ht="30" x14ac:dyDescent="0.25">
      <c r="A44" s="7">
        <v>349</v>
      </c>
      <c r="B44" s="109" t="str">
        <f>VLOOKUP($A44,Table1[['#]:[Vessel]],4,FALSE)</f>
        <v>Liberty Island</v>
      </c>
      <c r="C44" s="143">
        <f>VLOOKUP($A44,Table1[['#]:[Date]],3,FALSE)</f>
        <v>44790</v>
      </c>
      <c r="D44" s="110">
        <f>VLOOKUP($A44,Table1[['#]:[Hours]],7,FALSE)</f>
        <v>34.266666666604578</v>
      </c>
      <c r="E44" s="110" t="str">
        <f>VLOOKUP($A44,Table1[['#]:[System]],8,FALSE)&amp;" / "&amp;VLOOKUP($A44,Table1[['#]:[Subsystem]],9,FALSE)</f>
        <v>Gimbal Hoist / Other</v>
      </c>
      <c r="F44" s="110" t="str">
        <f>VLOOKUP($A44,Table1[['#]:[Delay Log Notes]],11,FALSE)</f>
        <v>Gimbal bolts sheared</v>
      </c>
      <c r="G44" s="109">
        <f>VLOOKUP($A44,Table1[['#]:[Work Order '#]],10,FALSE)</f>
        <v>851907</v>
      </c>
      <c r="H44" s="110" t="str">
        <f>IF(G44="None"," ",VLOOKUP($A44,Table1[['#]:[Work Order Title]],12,FALSE))</f>
        <v>Remove and replace stbd gimble from damage</v>
      </c>
      <c r="I44" s="112" t="str">
        <f>_xlfn.IFNA(VLOOKUP(J44,'MCIA Cases'!$A$2:$R$1091,12,FALSE)," ")</f>
        <v xml:space="preserve"> </v>
      </c>
      <c r="J44" s="175"/>
      <c r="K44" s="126" t="str">
        <f>_xlfn.IFNA(VLOOKUP(J44,'MCIA Cases'!$A$2:$AG$1091,2,FALSE)," ")</f>
        <v xml:space="preserve"> </v>
      </c>
      <c r="L44" s="127" t="str">
        <f>_xlfn.IFNA(VLOOKUP(J44,'MCIA Cases'!$A$2:$R$1091,17,FALSE)," ")</f>
        <v xml:space="preserve"> </v>
      </c>
      <c r="M44" s="7" t="str">
        <f>_xlfn.IFNA(VLOOKUP(J44,'MCIA Cases'!$A$2:$R$1091,3,FALSE)," ")</f>
        <v xml:space="preserve"> </v>
      </c>
      <c r="N44" s="1" t="str">
        <f>IF(COUNTIF('MCIA Corrective Actions'!$A:$A,J44)=0," ",COUNTIF('MCIA Corrective Actions'!$A:$A,J44))</f>
        <v xml:space="preserve"> </v>
      </c>
      <c r="O44" s="1" t="str">
        <f>IF(COUNTIF('MCIA Corrective Actions'!$A:$A,J44)=0," ",COUNTIFS('MCIA Corrective Actions'!$A:$A,J44,'MCIA Corrective Actions'!N:N,"Yes"))</f>
        <v xml:space="preserve"> </v>
      </c>
      <c r="T44" s="176" t="str">
        <f t="shared" si="1"/>
        <v xml:space="preserve"> </v>
      </c>
      <c r="U44" s="176">
        <f t="shared" si="2"/>
        <v>1</v>
      </c>
      <c r="V44" s="176">
        <f t="shared" si="3"/>
        <v>0</v>
      </c>
      <c r="W44" s="176">
        <f t="shared" si="4"/>
        <v>0</v>
      </c>
    </row>
    <row r="45" spans="1:23" ht="30" hidden="1" x14ac:dyDescent="0.25">
      <c r="A45" s="7">
        <v>350</v>
      </c>
      <c r="B45" s="109" t="str">
        <f>VLOOKUP($A45,Table1[['#]:[Vessel]],4,FALSE)</f>
        <v>Ohio</v>
      </c>
      <c r="C45" s="143">
        <f>VLOOKUP($A45,Table1[['#]:[Date]],3,FALSE)</f>
        <v>44800</v>
      </c>
      <c r="D45" s="110">
        <f>VLOOKUP($A45,Table1[['#]:[Hours]],7,FALSE)</f>
        <v>35.566666666651145</v>
      </c>
      <c r="E45" s="110" t="str">
        <f>VLOOKUP($A45,Table1[['#]:[System]],8,FALSE)&amp;" / "&amp;VLOOKUP($A45,Table1[['#]:[Subsystem]],9,FALSE)</f>
        <v>Ladder / Ladder Structure</v>
      </c>
      <c r="F45" s="110" t="str">
        <f>VLOOKUP($A45,Table1[['#]:[Delay Log Notes]],11,FALSE)</f>
        <v>None</v>
      </c>
      <c r="G45" s="109">
        <f>VLOOKUP($A45,Table1[['#]:[Work Order '#]],10,FALSE)</f>
        <v>4818043</v>
      </c>
      <c r="H45" s="110" t="str">
        <f>IF(G45="None"," ",VLOOKUP($A45,Table1[['#]:[Work Order Title]],12,FALSE))</f>
        <v>Damaged ladder service water lines and air lines</v>
      </c>
      <c r="I45" s="112" t="str">
        <f>_xlfn.IFNA(VLOOKUP(J45,'MCIA Cases'!$A$2:$R$1091,12,FALSE)," ")</f>
        <v>In Progress</v>
      </c>
      <c r="J45" s="175">
        <v>446</v>
      </c>
      <c r="K45" s="126" t="str">
        <f>_xlfn.IFNA(VLOOKUP(J45,'MCIA Cases'!$A$2:$AG$1091,2,FALSE)," ")</f>
        <v>Ohio Ladder Damage from Swing Wire</v>
      </c>
      <c r="L45" s="127" t="str">
        <f>_xlfn.IFNA(VLOOKUP(J45,'MCIA Cases'!$A$2:$R$1091,17,FALSE)," ")</f>
        <v>08/27/2022</v>
      </c>
      <c r="M45" s="7" t="str">
        <f>_xlfn.IFNA(VLOOKUP(J45,'MCIA Cases'!$A$2:$R$1091,3,FALSE)," ")</f>
        <v>Wade Smith</v>
      </c>
      <c r="N45" s="1" t="str">
        <f>IF(COUNTIF('MCIA Corrective Actions'!$A:$A,J45)=0," ",COUNTIF('MCIA Corrective Actions'!$A:$A,J45))</f>
        <v xml:space="preserve"> </v>
      </c>
      <c r="O45" s="1" t="str">
        <f>IF(COUNTIF('MCIA Corrective Actions'!$A:$A,J45)=0," ",COUNTIFS('MCIA Corrective Actions'!$A:$A,J45,'MCIA Corrective Actions'!N:N,"Yes"))</f>
        <v xml:space="preserve"> </v>
      </c>
      <c r="T45" s="176" t="str">
        <f t="shared" si="1"/>
        <v xml:space="preserve"> </v>
      </c>
      <c r="U45" s="176">
        <f t="shared" si="2"/>
        <v>1</v>
      </c>
      <c r="V45" s="176">
        <f t="shared" si="3"/>
        <v>1</v>
      </c>
      <c r="W45" s="176">
        <f t="shared" si="4"/>
        <v>1</v>
      </c>
    </row>
    <row r="46" spans="1:23" ht="30" x14ac:dyDescent="0.25">
      <c r="A46" s="7">
        <v>351</v>
      </c>
      <c r="B46" s="109" t="str">
        <f>VLOOKUP($A46,Table1[['#]:[Vessel]],4,FALSE)</f>
        <v>Alaska</v>
      </c>
      <c r="C46" s="143">
        <f>VLOOKUP($A46,Table1[['#]:[Date]],3,FALSE)</f>
        <v>44801</v>
      </c>
      <c r="D46" s="110">
        <f>VLOOKUP($A46,Table1[['#]:[Hours]],7,FALSE)</f>
        <v>25.050000000104774</v>
      </c>
      <c r="E46" s="110" t="str">
        <f>VLOOKUP($A46,Table1[['#]:[System]],8,FALSE)&amp;" / "&amp;VLOOKUP($A46,Table1[['#]:[Subsystem]],9,FALSE)</f>
        <v>Generators / Main Generator</v>
      </c>
      <c r="F46" s="110" t="str">
        <f>VLOOKUP($A46,Table1[['#]:[Delay Log Notes]],11,FALSE)</f>
        <v>changing the power pack</v>
      </c>
      <c r="G46" s="109">
        <f>VLOOKUP($A46,Table1[['#]:[Work Order '#]],10,FALSE)</f>
        <v>1729214</v>
      </c>
      <c r="H46" s="110" t="str">
        <f>IF(G46="None"," ",VLOOKUP($A46,Table1[['#]:[Work Order Title]],12,FALSE))</f>
        <v>Change Out EMD Injector #1 cylinder on main gen.</v>
      </c>
      <c r="I46" s="112" t="str">
        <f>_xlfn.IFNA(VLOOKUP(J46,'MCIA Cases'!$A$2:$R$1091,12,FALSE)," ")</f>
        <v xml:space="preserve"> </v>
      </c>
      <c r="J46" s="175"/>
      <c r="K46" s="126" t="str">
        <f>_xlfn.IFNA(VLOOKUP(J46,'MCIA Cases'!$A$2:$AG$1091,2,FALSE)," ")</f>
        <v xml:space="preserve"> </v>
      </c>
      <c r="L46" s="127" t="str">
        <f>_xlfn.IFNA(VLOOKUP(J46,'MCIA Cases'!$A$2:$R$1091,17,FALSE)," ")</f>
        <v xml:space="preserve"> </v>
      </c>
      <c r="M46" s="7" t="str">
        <f>_xlfn.IFNA(VLOOKUP(J46,'MCIA Cases'!$A$2:$R$1091,3,FALSE)," ")</f>
        <v xml:space="preserve"> </v>
      </c>
      <c r="N46" s="1" t="str">
        <f>IF(COUNTIF('MCIA Corrective Actions'!$A:$A,J46)=0," ",COUNTIF('MCIA Corrective Actions'!$A:$A,J46))</f>
        <v xml:space="preserve"> </v>
      </c>
      <c r="O46" s="1" t="str">
        <f>IF(COUNTIF('MCIA Corrective Actions'!$A:$A,J46)=0," ",COUNTIFS('MCIA Corrective Actions'!$A:$A,J46,'MCIA Corrective Actions'!N:N,"Yes"))</f>
        <v xml:space="preserve"> </v>
      </c>
      <c r="T46" s="176" t="str">
        <f t="shared" si="1"/>
        <v xml:space="preserve"> </v>
      </c>
      <c r="U46" s="176">
        <f t="shared" si="2"/>
        <v>1</v>
      </c>
      <c r="V46" s="176">
        <f t="shared" si="3"/>
        <v>0</v>
      </c>
      <c r="W46" s="176">
        <f t="shared" si="4"/>
        <v>0</v>
      </c>
    </row>
    <row r="47" spans="1:23" x14ac:dyDescent="0.25">
      <c r="E47" s="110"/>
      <c r="F47" s="110"/>
      <c r="H47" s="110"/>
      <c r="I47" s="112"/>
      <c r="J47" s="112"/>
      <c r="K47" s="126"/>
      <c r="L47" s="127"/>
      <c r="T47" s="176">
        <f t="shared" si="1"/>
        <v>0</v>
      </c>
    </row>
    <row r="48" spans="1:23" x14ac:dyDescent="0.25">
      <c r="A48" s="164"/>
      <c r="B48" s="165"/>
      <c r="C48" s="166"/>
      <c r="D48" s="167"/>
      <c r="E48" s="167"/>
      <c r="F48" s="167"/>
      <c r="G48" s="165"/>
      <c r="H48" s="167"/>
      <c r="I48" s="167"/>
      <c r="J48" s="164"/>
      <c r="K48" s="164"/>
      <c r="L48" s="168"/>
      <c r="M48" s="164"/>
      <c r="N48" s="168"/>
      <c r="O48" s="168"/>
      <c r="P48" s="164"/>
      <c r="Q48" s="164"/>
      <c r="R48" s="164"/>
      <c r="T48" s="176">
        <f t="shared" si="1"/>
        <v>0</v>
      </c>
      <c r="U48" s="176">
        <f>IF(D53&gt;0, 1, 0)</f>
        <v>0</v>
      </c>
      <c r="V48" s="176">
        <f>IF(L53=" ", 0, 1)</f>
        <v>1</v>
      </c>
      <c r="W48" s="176">
        <f t="shared" ref="W48:W51" si="5">IF(U48+V48=2,1,0)</f>
        <v>0</v>
      </c>
    </row>
    <row r="49" spans="1:23" x14ac:dyDescent="0.25">
      <c r="A49" s="136"/>
      <c r="B49" s="159"/>
      <c r="C49" s="160"/>
      <c r="D49" s="161"/>
      <c r="E49" s="161" t="s">
        <v>2877</v>
      </c>
      <c r="F49" s="161"/>
      <c r="G49" s="159"/>
      <c r="H49" s="161"/>
      <c r="I49" s="161"/>
      <c r="J49" s="162"/>
      <c r="K49" s="162"/>
      <c r="L49" s="163"/>
      <c r="M49" s="162"/>
      <c r="N49" s="163"/>
      <c r="O49" s="163"/>
      <c r="P49" s="162"/>
      <c r="Q49" s="162"/>
      <c r="R49" s="162"/>
      <c r="T49" s="176">
        <f t="shared" si="1"/>
        <v>0</v>
      </c>
      <c r="U49" s="176">
        <f>IF(D54&gt;0, 1, 0)</f>
        <v>0</v>
      </c>
      <c r="V49" s="176">
        <f>IF(L54=" ", 0, 1)</f>
        <v>1</v>
      </c>
      <c r="W49" s="176">
        <f t="shared" si="5"/>
        <v>0</v>
      </c>
    </row>
    <row r="50" spans="1:23" ht="30" hidden="1" x14ac:dyDescent="0.25">
      <c r="B50" s="126" t="str">
        <f>VLOOKUP(J50,'MCIA Cases'!$A$2:$AG$1091,29,FALSE)</f>
        <v>Ohio</v>
      </c>
      <c r="C50" s="143" t="str">
        <f>_xlfn.IFNA(VLOOKUP(J50,'MCIA Cases'!$A$2:$R$1091,17,FALSE)," ")</f>
        <v>06/17/2022</v>
      </c>
      <c r="E50" s="110"/>
      <c r="F50" s="110"/>
      <c r="H50" s="110"/>
      <c r="I50" s="112" t="str">
        <f>_xlfn.IFNA(VLOOKUP(J50,'MCIA Cases'!$A$2:$R$1091,12,FALSE)," ")</f>
        <v>Complete</v>
      </c>
      <c r="J50" s="112">
        <v>436</v>
      </c>
      <c r="K50" s="7" t="str">
        <f>_xlfn.IFNA(VLOOKUP(J50,'MCIA Cases'!$A$2:$R$1091,2,FALSE)," ")</f>
        <v>Ohio Plugged Subline</v>
      </c>
      <c r="L50" s="1" t="str">
        <f>_xlfn.IFNA(VLOOKUP(J50,'MCIA Cases'!$A$2:$R$1091,17,FALSE)," ")</f>
        <v>06/17/2022</v>
      </c>
      <c r="M50" s="7" t="str">
        <f>_xlfn.IFNA(VLOOKUP(J50,'MCIA Cases'!$A$2:$R$1091,3,FALSE)," ")</f>
        <v>Brandon Suire</v>
      </c>
      <c r="N50" s="1">
        <f>IF(COUNTIF('MCIA Corrective Actions'!$A:$A,J50)=0," ",COUNTIF('MCIA Corrective Actions'!$A:$A,J50))</f>
        <v>3</v>
      </c>
      <c r="O50" s="1">
        <f>IF(COUNTIF('MCIA Corrective Actions'!$A:$A,J50)=0," ",COUNTIFS('MCIA Corrective Actions'!$A:$A,J50,'MCIA Corrective Actions'!N:N,"Yes"))</f>
        <v>3</v>
      </c>
      <c r="P50" s="7" t="str">
        <f>_xlfn.IFNA(VLOOKUP(J50,'MCIA Corrective Actions'!$A$2:$R$1092,6,FALSE)," ")</f>
        <v>Scott Baumann</v>
      </c>
      <c r="T50" s="176">
        <f t="shared" si="1"/>
        <v>0</v>
      </c>
      <c r="U50" s="176">
        <f>IF(D56&gt;0, 1, 0)</f>
        <v>0</v>
      </c>
      <c r="V50" s="176">
        <f>IF(L56=" ", 0, 1)</f>
        <v>1</v>
      </c>
      <c r="W50" s="176">
        <f t="shared" si="5"/>
        <v>0</v>
      </c>
    </row>
    <row r="51" spans="1:23" x14ac:dyDescent="0.25">
      <c r="B51" s="126"/>
      <c r="E51" s="110"/>
      <c r="F51" s="110"/>
      <c r="H51" s="110"/>
      <c r="I51" s="112"/>
      <c r="L51" s="1"/>
      <c r="T51" s="176">
        <f t="shared" si="1"/>
        <v>0</v>
      </c>
      <c r="U51" s="176">
        <f t="shared" ref="U51" si="6">IF(D59&gt;0, 1, 0)</f>
        <v>0</v>
      </c>
      <c r="V51" s="176">
        <f t="shared" ref="V51" si="7">IF(L59=" ", 0, 1)</f>
        <v>1</v>
      </c>
      <c r="W51" s="176">
        <f t="shared" si="5"/>
        <v>0</v>
      </c>
    </row>
    <row r="52" spans="1:23" ht="3" customHeight="1" x14ac:dyDescent="0.25">
      <c r="B52" s="184"/>
      <c r="C52" s="185"/>
      <c r="D52" s="186"/>
      <c r="E52" s="186"/>
      <c r="F52" s="186"/>
      <c r="G52" s="187"/>
      <c r="H52" s="186"/>
      <c r="I52" s="188"/>
      <c r="J52" s="188"/>
      <c r="K52" s="188"/>
      <c r="L52" s="189"/>
      <c r="M52" s="188"/>
      <c r="N52" s="189"/>
      <c r="O52" s="189"/>
      <c r="P52" s="188"/>
      <c r="Q52" s="188"/>
      <c r="R52" s="188"/>
      <c r="T52" s="71"/>
      <c r="U52" s="71"/>
      <c r="V52" s="71"/>
      <c r="W52" s="71"/>
    </row>
    <row r="53" spans="1:23" x14ac:dyDescent="0.25">
      <c r="B53" s="126"/>
      <c r="E53" s="110"/>
      <c r="F53" s="110"/>
      <c r="H53" s="110"/>
      <c r="I53" s="112"/>
      <c r="L53" s="1"/>
      <c r="T53" s="71"/>
      <c r="U53" s="71"/>
      <c r="V53" s="71"/>
      <c r="W53" s="71"/>
    </row>
    <row r="54" spans="1:23" ht="15.75" thickBot="1" x14ac:dyDescent="0.3">
      <c r="B54" s="126"/>
      <c r="E54" s="110"/>
      <c r="F54" s="110"/>
      <c r="H54" s="110"/>
      <c r="I54" s="112"/>
      <c r="L54" s="1"/>
      <c r="T54" s="71"/>
      <c r="U54" s="71"/>
      <c r="V54" s="71"/>
      <c r="W54" s="71"/>
    </row>
    <row r="55" spans="1:23" x14ac:dyDescent="0.25">
      <c r="E55" s="111"/>
      <c r="H55" s="169"/>
      <c r="I55" s="293" t="s">
        <v>2878</v>
      </c>
      <c r="J55" s="293"/>
      <c r="K55" s="294"/>
      <c r="T55" s="71"/>
      <c r="U55" s="71"/>
      <c r="V55" s="71"/>
      <c r="W55" s="71"/>
    </row>
    <row r="56" spans="1:23" x14ac:dyDescent="0.25">
      <c r="E56" s="111"/>
      <c r="H56" s="170"/>
      <c r="I56" s="295" t="s">
        <v>2879</v>
      </c>
      <c r="J56" s="295"/>
      <c r="K56" s="296"/>
      <c r="T56" s="71"/>
      <c r="U56" s="71"/>
      <c r="V56" s="71"/>
      <c r="W56" s="71"/>
    </row>
    <row r="57" spans="1:23" x14ac:dyDescent="0.25">
      <c r="E57" s="111"/>
      <c r="H57" s="171"/>
      <c r="I57" s="295" t="s">
        <v>2880</v>
      </c>
      <c r="J57" s="295"/>
      <c r="K57" s="296"/>
      <c r="T57" s="71"/>
      <c r="U57" s="71"/>
      <c r="V57" s="71"/>
      <c r="W57" s="71"/>
    </row>
    <row r="58" spans="1:23" ht="15.75" thickBot="1" x14ac:dyDescent="0.3">
      <c r="H58" s="172"/>
      <c r="I58" s="297" t="s">
        <v>2881</v>
      </c>
      <c r="J58" s="298"/>
      <c r="K58" s="299"/>
      <c r="T58" s="71"/>
      <c r="U58" s="71"/>
      <c r="V58" s="71"/>
      <c r="W58" s="71"/>
    </row>
    <row r="59" spans="1:23" x14ac:dyDescent="0.25">
      <c r="E59" s="110"/>
      <c r="F59" s="110"/>
      <c r="H59" s="110"/>
      <c r="I59" s="110"/>
      <c r="T59" s="71"/>
      <c r="U59" s="71"/>
      <c r="V59" s="71"/>
      <c r="W59" s="71"/>
    </row>
    <row r="60" spans="1:23" x14ac:dyDescent="0.25">
      <c r="C60" s="1" t="s">
        <v>265</v>
      </c>
      <c r="E60" s="7" t="s">
        <v>2802</v>
      </c>
      <c r="F60" s="110"/>
      <c r="H60" s="7" t="s">
        <v>2795</v>
      </c>
      <c r="T60" s="71"/>
      <c r="U60" s="71"/>
      <c r="V60" s="71"/>
      <c r="W60" s="71"/>
    </row>
    <row r="61" spans="1:23" x14ac:dyDescent="0.25">
      <c r="C61" s="145">
        <f>SUM(C62:C65)</f>
        <v>6</v>
      </c>
      <c r="E61" s="144" t="s">
        <v>2783</v>
      </c>
      <c r="F61" s="110"/>
      <c r="H61" s="153" t="s">
        <v>2797</v>
      </c>
      <c r="T61" s="71"/>
      <c r="U61" s="71"/>
      <c r="V61" s="71"/>
      <c r="W61" s="71"/>
    </row>
    <row r="62" spans="1:23" x14ac:dyDescent="0.25">
      <c r="C62" s="144">
        <f>COUNTIF(I:I,"In Progress")</f>
        <v>4</v>
      </c>
      <c r="E62" s="144" t="s">
        <v>2788</v>
      </c>
      <c r="F62" s="110"/>
      <c r="H62" s="153" t="s">
        <v>2797</v>
      </c>
      <c r="T62" s="71"/>
      <c r="U62" s="71"/>
      <c r="V62" s="71"/>
      <c r="W62" s="71"/>
    </row>
    <row r="63" spans="1:23" x14ac:dyDescent="0.25">
      <c r="C63" s="145">
        <f>COUNTIF(I:I,"Ready for Edits")</f>
        <v>0</v>
      </c>
      <c r="E63" s="144" t="s">
        <v>2804</v>
      </c>
      <c r="F63" s="110"/>
      <c r="H63" s="153" t="s">
        <v>2797</v>
      </c>
      <c r="T63" s="71"/>
      <c r="U63" s="71"/>
      <c r="V63" s="71"/>
      <c r="W63" s="71"/>
    </row>
    <row r="64" spans="1:23" x14ac:dyDescent="0.25">
      <c r="C64" s="145">
        <f>COUNTIF(I:I,"Ready for Review")</f>
        <v>0</v>
      </c>
      <c r="E64" s="144" t="s">
        <v>2803</v>
      </c>
      <c r="F64" s="110"/>
      <c r="H64" s="153" t="s">
        <v>2797</v>
      </c>
      <c r="T64" s="71"/>
      <c r="U64" s="71"/>
      <c r="V64" s="71"/>
      <c r="W64" s="71"/>
    </row>
    <row r="65" spans="2:23" x14ac:dyDescent="0.25">
      <c r="C65" s="145">
        <f>COUNTIF(I:I,"Complete")</f>
        <v>2</v>
      </c>
      <c r="E65" s="144" t="s">
        <v>2784</v>
      </c>
      <c r="F65" s="110"/>
      <c r="H65" s="153" t="s">
        <v>2797</v>
      </c>
      <c r="T65" s="71"/>
      <c r="U65" s="71"/>
      <c r="V65" s="71"/>
      <c r="W65" s="71"/>
    </row>
    <row r="66" spans="2:23" ht="30" x14ac:dyDescent="0.25">
      <c r="C66" s="145">
        <f>(COUNTIF(O:O,0))</f>
        <v>0</v>
      </c>
      <c r="E66" s="144" t="s">
        <v>2805</v>
      </c>
      <c r="F66" s="110"/>
      <c r="H66" s="153" t="s">
        <v>2798</v>
      </c>
      <c r="T66" s="71"/>
      <c r="U66" s="71"/>
      <c r="V66" s="71"/>
      <c r="W66" s="71"/>
    </row>
    <row r="67" spans="2:23" x14ac:dyDescent="0.25">
      <c r="B67" s="109" t="s">
        <v>2809</v>
      </c>
      <c r="C67" s="147">
        <f>COUNT(D:D)</f>
        <v>44</v>
      </c>
      <c r="E67" s="146" t="s">
        <v>2787</v>
      </c>
      <c r="F67" s="110"/>
      <c r="H67" s="154" t="s">
        <v>2796</v>
      </c>
      <c r="T67" s="71"/>
      <c r="U67" s="71"/>
      <c r="V67" s="71"/>
      <c r="W67" s="71"/>
    </row>
    <row r="68" spans="2:23" x14ac:dyDescent="0.25">
      <c r="C68" s="147">
        <f>C67-C69</f>
        <v>40</v>
      </c>
      <c r="E68" s="146" t="s">
        <v>2785</v>
      </c>
      <c r="F68" s="110"/>
      <c r="H68" s="154" t="s">
        <v>2796</v>
      </c>
      <c r="T68" s="71"/>
      <c r="U68" s="71"/>
      <c r="V68" s="71"/>
      <c r="W68" s="71"/>
    </row>
    <row r="69" spans="2:23" x14ac:dyDescent="0.25">
      <c r="C69" s="147">
        <f>COUNTIFS('EDL Data'!B:B,2022,'EDL Data'!J:J,"None")</f>
        <v>4</v>
      </c>
      <c r="E69" s="146" t="s">
        <v>2786</v>
      </c>
      <c r="F69" s="110"/>
      <c r="H69" s="154" t="s">
        <v>2796</v>
      </c>
      <c r="T69" s="71"/>
      <c r="U69" s="71"/>
      <c r="V69" s="71"/>
      <c r="W69" s="71"/>
    </row>
    <row r="70" spans="2:23" x14ac:dyDescent="0.25">
      <c r="B70" s="269" t="s">
        <v>2809</v>
      </c>
      <c r="C70" s="151">
        <f>SUM(W2:W36)</f>
        <v>3</v>
      </c>
      <c r="E70" s="150" t="s">
        <v>2793</v>
      </c>
      <c r="F70" s="110"/>
      <c r="H70" s="155" t="s">
        <v>2799</v>
      </c>
      <c r="T70" s="71"/>
      <c r="U70" s="71"/>
      <c r="V70" s="71"/>
      <c r="W70" s="71"/>
    </row>
    <row r="71" spans="2:23" x14ac:dyDescent="0.25">
      <c r="B71" s="269" t="s">
        <v>2809</v>
      </c>
      <c r="C71" s="149">
        <f>COUNTIF(INDEX(Table63[],0,10),"N")</f>
        <v>24</v>
      </c>
      <c r="E71" s="148" t="s">
        <v>2806</v>
      </c>
      <c r="F71" s="110"/>
      <c r="H71" s="156" t="s">
        <v>2800</v>
      </c>
      <c r="T71" s="71"/>
      <c r="U71" s="71"/>
      <c r="V71" s="71"/>
      <c r="W71" s="71"/>
    </row>
    <row r="72" spans="2:23" ht="30" x14ac:dyDescent="0.25">
      <c r="B72" s="269" t="s">
        <v>2809</v>
      </c>
      <c r="C72" s="149">
        <f>COUNTIF(INDEX(Table63[],0,10),"Y")</f>
        <v>7</v>
      </c>
      <c r="E72" s="148" t="s">
        <v>2807</v>
      </c>
      <c r="F72" s="110"/>
      <c r="H72" s="156" t="s">
        <v>2800</v>
      </c>
      <c r="T72" s="71"/>
      <c r="U72" s="71"/>
      <c r="V72" s="71"/>
      <c r="W72" s="71"/>
    </row>
    <row r="73" spans="2:23" x14ac:dyDescent="0.25">
      <c r="B73" s="269" t="s">
        <v>2809</v>
      </c>
      <c r="C73" s="149">
        <f>COUNTIF(INDEX(Table63[],0,10),"")</f>
        <v>7</v>
      </c>
      <c r="E73" s="148" t="s">
        <v>2808</v>
      </c>
      <c r="F73" s="110"/>
      <c r="H73" s="156" t="s">
        <v>2800</v>
      </c>
      <c r="T73" s="71"/>
      <c r="U73" s="71"/>
      <c r="V73" s="71"/>
      <c r="W73" s="71"/>
    </row>
    <row r="74" spans="2:23" x14ac:dyDescent="0.25">
      <c r="B74" s="8">
        <f>SUM(C70:C73)</f>
        <v>41</v>
      </c>
      <c r="E74" s="110"/>
      <c r="F74" s="110"/>
      <c r="H74" s="110"/>
      <c r="I74" s="110"/>
      <c r="T74" s="71"/>
      <c r="U74" s="71"/>
      <c r="V74" s="71"/>
      <c r="W74" s="71"/>
    </row>
    <row r="75" spans="2:23" x14ac:dyDescent="0.25">
      <c r="H75" s="7" t="s">
        <v>3221</v>
      </c>
      <c r="I75" s="301">
        <v>2022</v>
      </c>
      <c r="J75" s="301"/>
      <c r="T75" s="71"/>
      <c r="U75" s="71"/>
      <c r="V75" s="71"/>
      <c r="W75" s="71"/>
    </row>
    <row r="76" spans="2:23" x14ac:dyDescent="0.25">
      <c r="E76" s="110"/>
      <c r="F76" s="110"/>
      <c r="H76" s="219"/>
      <c r="I76" s="300" t="s">
        <v>3220</v>
      </c>
      <c r="J76" s="300"/>
      <c r="K76" s="1"/>
      <c r="L76" s="1"/>
      <c r="T76" s="71"/>
      <c r="U76" s="71"/>
      <c r="V76" s="71"/>
      <c r="W76" s="71"/>
    </row>
    <row r="77" spans="2:23" ht="15.75" thickBot="1" x14ac:dyDescent="0.3">
      <c r="H77" s="220"/>
      <c r="I77" s="1"/>
      <c r="J77" s="1"/>
      <c r="K77" s="1"/>
      <c r="L77" s="1"/>
      <c r="T77" s="71"/>
      <c r="U77" s="71"/>
      <c r="V77" s="71"/>
      <c r="W77" s="71"/>
    </row>
    <row r="78" spans="2:23" ht="14.25" customHeight="1" thickBot="1" x14ac:dyDescent="0.3">
      <c r="H78" s="220"/>
      <c r="I78" s="221" t="s">
        <v>7</v>
      </c>
      <c r="J78" s="222" t="s">
        <v>12</v>
      </c>
      <c r="M78" s="1"/>
      <c r="O78" s="7"/>
      <c r="T78" s="71"/>
      <c r="U78" s="71"/>
      <c r="V78" s="71"/>
      <c r="W78" s="71"/>
    </row>
    <row r="79" spans="2:23" ht="2.25" customHeight="1" x14ac:dyDescent="0.25">
      <c r="H79" s="223"/>
      <c r="I79" s="224"/>
      <c r="J79" s="224"/>
      <c r="M79" s="1"/>
      <c r="O79" s="7"/>
      <c r="T79" s="71"/>
      <c r="U79" s="71"/>
      <c r="V79" s="71"/>
      <c r="W79" s="71"/>
    </row>
    <row r="80" spans="2:23" x14ac:dyDescent="0.25">
      <c r="H80" s="225">
        <v>53</v>
      </c>
      <c r="I80" s="226">
        <f>COUNTIFS('EDL Data'!$B:$B,$I$75,'EDL Data'!$D:$D,'2022'!$H80)</f>
        <v>6</v>
      </c>
      <c r="J80" s="253">
        <f>SUMIFS('EDL Data'!G:G,'EDL Data'!$B:$B,$I$75,'EDL Data'!$D:$D,'2022'!$H80)</f>
        <v>310.06916666653706</v>
      </c>
      <c r="M80" s="1"/>
      <c r="O80" s="7"/>
      <c r="T80" s="71"/>
      <c r="U80" s="71"/>
      <c r="V80" s="71"/>
      <c r="W80" s="71"/>
    </row>
    <row r="81" spans="8:23" x14ac:dyDescent="0.25">
      <c r="H81" s="227">
        <v>54</v>
      </c>
      <c r="I81" s="216">
        <f>COUNTIFS('EDL Data'!$B:$B,$I$75,'EDL Data'!$D:$D,'2022'!$H81)</f>
        <v>6</v>
      </c>
      <c r="J81" s="254">
        <f>SUMIFS('EDL Data'!G:G,'EDL Data'!$B:$B,$I$75,'EDL Data'!$D:$D,'2022'!$H81)</f>
        <v>692.53305555554107</v>
      </c>
      <c r="M81" s="1"/>
      <c r="O81" s="7"/>
      <c r="T81" s="71"/>
      <c r="U81" s="71"/>
      <c r="V81" s="71"/>
      <c r="W81" s="71"/>
    </row>
    <row r="82" spans="8:23" x14ac:dyDescent="0.25">
      <c r="H82" s="227">
        <v>55</v>
      </c>
      <c r="I82" s="216">
        <f>COUNTIFS('EDL Data'!$B:$B,$I$75,'EDL Data'!$D:$D,'2022'!$H82)</f>
        <v>4</v>
      </c>
      <c r="J82" s="254">
        <f>SUMIFS('EDL Data'!G:G,'EDL Data'!$B:$B,$I$75,'EDL Data'!$D:$D,'2022'!$H82)</f>
        <v>151.72944444447057</v>
      </c>
      <c r="M82" s="1"/>
      <c r="O82" s="7"/>
      <c r="T82" s="71"/>
      <c r="U82" s="71"/>
      <c r="V82" s="71"/>
      <c r="W82" s="71"/>
    </row>
    <row r="83" spans="8:23" x14ac:dyDescent="0.25">
      <c r="H83" s="227">
        <v>58</v>
      </c>
      <c r="I83" s="216">
        <f>COUNTIFS('EDL Data'!$B:$B,$I$75,'EDL Data'!$D:$D,'2022'!$H83)</f>
        <v>1</v>
      </c>
      <c r="J83" s="254">
        <f>SUMIFS('EDL Data'!G:G,'EDL Data'!$B:$B,$I$75,'EDL Data'!$D:$D,'2022'!$H83)</f>
        <v>62.25</v>
      </c>
      <c r="M83" s="1"/>
      <c r="O83" s="7"/>
      <c r="T83" s="71"/>
      <c r="U83" s="71"/>
      <c r="V83" s="71"/>
      <c r="W83" s="71"/>
    </row>
    <row r="84" spans="8:23" x14ac:dyDescent="0.25">
      <c r="H84" s="228" t="s">
        <v>626</v>
      </c>
      <c r="I84" s="216">
        <f>COUNTIFS('EDL Data'!$B:$B,$I$75,'EDL Data'!$D:$D,'2022'!$H84)</f>
        <v>3</v>
      </c>
      <c r="J84" s="254">
        <f>SUMIFS('EDL Data'!G:G,'EDL Data'!$B:$B,$I$75,'EDL Data'!$D:$D,'2022'!$H84)</f>
        <v>115.70749999996042</v>
      </c>
      <c r="M84" s="1"/>
      <c r="O84" s="7"/>
      <c r="T84" s="71"/>
      <c r="U84" s="71"/>
      <c r="V84" s="71"/>
      <c r="W84" s="71"/>
    </row>
    <row r="85" spans="8:23" x14ac:dyDescent="0.25">
      <c r="H85" s="229" t="s">
        <v>3263</v>
      </c>
      <c r="I85" s="230">
        <f>SUM(I80:I84)</f>
        <v>20</v>
      </c>
      <c r="J85" s="255">
        <f>SUM(J80:J84)</f>
        <v>1332.2891666665091</v>
      </c>
      <c r="M85" s="1"/>
      <c r="O85" s="7"/>
      <c r="T85" s="71"/>
      <c r="U85" s="71"/>
      <c r="V85" s="71"/>
      <c r="W85" s="71"/>
    </row>
    <row r="86" spans="8:23" ht="3.75" customHeight="1" thickBot="1" x14ac:dyDescent="0.3">
      <c r="H86" s="231"/>
      <c r="I86" s="232"/>
      <c r="J86" s="256"/>
      <c r="M86" s="1"/>
      <c r="O86" s="7"/>
      <c r="T86" s="71"/>
      <c r="U86" s="71"/>
      <c r="V86" s="71"/>
      <c r="W86" s="71"/>
    </row>
    <row r="87" spans="8:23" ht="3.75" customHeight="1" x14ac:dyDescent="0.25">
      <c r="H87" s="247"/>
      <c r="I87" s="248"/>
      <c r="J87" s="257"/>
      <c r="M87" s="1"/>
      <c r="O87" s="7"/>
      <c r="T87" s="71"/>
      <c r="U87" s="71"/>
      <c r="V87" s="71"/>
      <c r="W87" s="71"/>
    </row>
    <row r="88" spans="8:23" x14ac:dyDescent="0.25">
      <c r="H88" s="249" t="s">
        <v>2</v>
      </c>
      <c r="I88" s="226">
        <f>COUNTIFS('EDL Data'!$B:$B,$I$75,'EDL Data'!$D:$D,'2022'!$H88)</f>
        <v>2</v>
      </c>
      <c r="J88" s="253">
        <f>SUMIFS('EDL Data'!G:G,'EDL Data'!$B:$B,$I$75,'EDL Data'!$D:$D,'2022'!$H88)</f>
        <v>194.93333333329065</v>
      </c>
      <c r="M88" s="1"/>
      <c r="O88" s="7"/>
      <c r="T88" s="71"/>
      <c r="U88" s="71"/>
      <c r="V88" s="71"/>
      <c r="W88" s="71"/>
    </row>
    <row r="89" spans="8:23" x14ac:dyDescent="0.25">
      <c r="H89" s="250" t="s">
        <v>9</v>
      </c>
      <c r="I89" s="216">
        <f>COUNTIFS('EDL Data'!$B:$B,$I$75,'EDL Data'!$D:$D,'2022'!$H89)</f>
        <v>3</v>
      </c>
      <c r="J89" s="254">
        <f>SUMIFS('EDL Data'!G:G,'EDL Data'!$B:$B,$I$75,'EDL Data'!$D:$D,'2022'!$H89)</f>
        <v>299.30611111095641</v>
      </c>
      <c r="M89" s="1"/>
      <c r="O89" s="7"/>
      <c r="T89" s="71"/>
      <c r="U89" s="71"/>
      <c r="V89" s="71"/>
      <c r="W89" s="71"/>
    </row>
    <row r="90" spans="8:23" x14ac:dyDescent="0.25">
      <c r="H90" s="250" t="s">
        <v>4</v>
      </c>
      <c r="I90" s="216">
        <f>COUNTIFS('EDL Data'!$B:$B,$I$75,'EDL Data'!$D:$D,'2022'!$H90)</f>
        <v>1</v>
      </c>
      <c r="J90" s="254">
        <f>SUMIFS('EDL Data'!G:G,'EDL Data'!$B:$B,$I$75,'EDL Data'!$D:$D,'2022'!$H90)</f>
        <v>120.96666666667443</v>
      </c>
      <c r="M90" s="1"/>
      <c r="O90" s="7"/>
      <c r="T90" s="71"/>
      <c r="U90" s="71"/>
      <c r="V90" s="71"/>
      <c r="W90" s="71"/>
    </row>
    <row r="91" spans="8:23" x14ac:dyDescent="0.25">
      <c r="H91" s="250" t="s">
        <v>10</v>
      </c>
      <c r="I91" s="216">
        <f>COUNTIFS('EDL Data'!$B:$B,$I$75,'EDL Data'!$D:$D,'2022'!$H91)</f>
        <v>8</v>
      </c>
      <c r="J91" s="254">
        <f>SUMIFS('EDL Data'!G:G,'EDL Data'!$B:$B,$I$75,'EDL Data'!$D:$D,'2022'!$H91)</f>
        <v>690.55000000004657</v>
      </c>
      <c r="M91" s="1"/>
      <c r="O91" s="7"/>
      <c r="T91" s="71"/>
      <c r="U91" s="71"/>
      <c r="V91" s="71"/>
      <c r="W91" s="71"/>
    </row>
    <row r="92" spans="8:23" x14ac:dyDescent="0.25">
      <c r="H92" s="250" t="s">
        <v>3</v>
      </c>
      <c r="I92" s="216">
        <f>COUNTIFS('EDL Data'!$B:$B,$I$75,'EDL Data'!$D:$D,'2022'!$H92)</f>
        <v>3</v>
      </c>
      <c r="J92" s="254">
        <f>SUMIFS('EDL Data'!G:G,'EDL Data'!$B:$B,$I$75,'EDL Data'!$D:$D,'2022'!$H92)</f>
        <v>190.66444444446824</v>
      </c>
      <c r="M92" s="1"/>
      <c r="O92" s="7"/>
      <c r="T92" s="71"/>
      <c r="U92" s="71"/>
      <c r="V92" s="71"/>
      <c r="W92" s="71"/>
    </row>
    <row r="93" spans="8:23" x14ac:dyDescent="0.25">
      <c r="H93" s="251" t="s">
        <v>3264</v>
      </c>
      <c r="I93" s="252">
        <f>SUM(I88:I92)</f>
        <v>17</v>
      </c>
      <c r="J93" s="258">
        <f>SUM(J88:J92)</f>
        <v>1496.4205555554363</v>
      </c>
      <c r="M93" s="1"/>
      <c r="O93" s="7"/>
      <c r="T93" s="71"/>
      <c r="U93" s="71"/>
      <c r="V93" s="71"/>
      <c r="W93" s="71"/>
    </row>
    <row r="94" spans="8:23" ht="3.75" customHeight="1" thickBot="1" x14ac:dyDescent="0.3">
      <c r="H94" s="231"/>
      <c r="I94" s="232"/>
      <c r="J94" s="256"/>
      <c r="M94" s="1"/>
      <c r="O94" s="7"/>
      <c r="T94" s="71"/>
      <c r="U94" s="71"/>
      <c r="V94" s="71"/>
      <c r="W94" s="71"/>
    </row>
    <row r="95" spans="8:23" ht="3.75" customHeight="1" x14ac:dyDescent="0.25">
      <c r="H95" s="233"/>
      <c r="I95" s="234"/>
      <c r="J95" s="259"/>
      <c r="M95" s="1"/>
      <c r="O95" s="7"/>
      <c r="T95" s="71"/>
      <c r="U95" s="71"/>
      <c r="V95" s="71"/>
      <c r="W95" s="71"/>
    </row>
    <row r="96" spans="8:23" x14ac:dyDescent="0.25">
      <c r="H96" s="235" t="s">
        <v>17</v>
      </c>
      <c r="I96" s="226">
        <f>COUNTIFS('EDL Data'!$B:$B,$I$75,'EDL Data'!$D:$D,'2022'!$H96)</f>
        <v>2</v>
      </c>
      <c r="J96" s="253">
        <f>SUMIFS('EDL Data'!G:G,'EDL Data'!$B:$B,$I$75,'EDL Data'!$D:$D,'2022'!$H96)</f>
        <v>65.599444444407709</v>
      </c>
      <c r="M96" s="1"/>
      <c r="O96" s="7"/>
      <c r="T96" s="71"/>
      <c r="U96" s="71"/>
      <c r="V96" s="71"/>
      <c r="W96" s="71"/>
    </row>
    <row r="97" spans="8:23" x14ac:dyDescent="0.25">
      <c r="H97" s="236" t="s">
        <v>18</v>
      </c>
      <c r="I97" s="216">
        <f>COUNTIFS('EDL Data'!$B:$B,$I$75,'EDL Data'!$D:$D,'2022'!$H97)</f>
        <v>1</v>
      </c>
      <c r="J97" s="254">
        <f>SUMIFS('EDL Data'!G:G,'EDL Data'!$B:$B,$I$75,'EDL Data'!$D:$D,'2022'!$H97)</f>
        <v>163.18305555568077</v>
      </c>
      <c r="M97" s="1"/>
      <c r="O97" s="7"/>
      <c r="T97" s="71"/>
      <c r="U97" s="71"/>
      <c r="V97" s="71"/>
      <c r="W97" s="71"/>
    </row>
    <row r="98" spans="8:23" x14ac:dyDescent="0.25">
      <c r="H98" s="236" t="s">
        <v>19</v>
      </c>
      <c r="I98" s="216">
        <f>COUNTIFS('EDL Data'!$B:$B,$I$75,'EDL Data'!$D:$D,'2022'!$H98)</f>
        <v>2</v>
      </c>
      <c r="J98" s="254">
        <f>SUMIFS('EDL Data'!G:G,'EDL Data'!$B:$B,$I$75,'EDL Data'!$D:$D,'2022'!$H98)</f>
        <v>78.416666666627862</v>
      </c>
      <c r="M98" s="1"/>
      <c r="O98" s="7"/>
      <c r="T98" s="71"/>
      <c r="U98" s="71"/>
      <c r="V98" s="71"/>
      <c r="W98" s="71"/>
    </row>
    <row r="99" spans="8:23" x14ac:dyDescent="0.25">
      <c r="H99" s="236" t="s">
        <v>20</v>
      </c>
      <c r="I99" s="216">
        <f>COUNTIFS('EDL Data'!$B:$B,$I$75,'EDL Data'!$D:$D,'2022'!$H99)</f>
        <v>1</v>
      </c>
      <c r="J99" s="254">
        <f>SUMIFS('EDL Data'!G:G,'EDL Data'!$B:$B,$I$75,'EDL Data'!$D:$D,'2022'!$H99)</f>
        <v>135.99944444443099</v>
      </c>
      <c r="M99" s="1"/>
      <c r="O99" s="7"/>
      <c r="T99" s="71"/>
      <c r="U99" s="71"/>
      <c r="V99" s="71"/>
      <c r="W99" s="71"/>
    </row>
    <row r="100" spans="8:23" x14ac:dyDescent="0.25">
      <c r="H100" s="236" t="s">
        <v>22</v>
      </c>
      <c r="I100" s="216">
        <f>COUNTIFS('EDL Data'!$B:$B,$I$75,'EDL Data'!$D:$D,'2022'!$H100)</f>
        <v>2</v>
      </c>
      <c r="J100" s="254">
        <f>SUMIFS('EDL Data'!G:G,'EDL Data'!$B:$B,$I$75,'EDL Data'!$D:$D,'2022'!$H100)</f>
        <v>179.625</v>
      </c>
      <c r="M100" s="1"/>
      <c r="O100" s="7"/>
      <c r="T100" s="71"/>
      <c r="U100" s="71"/>
      <c r="V100" s="71"/>
      <c r="W100" s="71"/>
    </row>
    <row r="101" spans="8:23" x14ac:dyDescent="0.25">
      <c r="H101" s="237" t="s">
        <v>3265</v>
      </c>
      <c r="I101" s="238">
        <f>SUM(I96:I100)</f>
        <v>8</v>
      </c>
      <c r="J101" s="260">
        <f>SUM(J96:J100)</f>
        <v>622.82361111114733</v>
      </c>
      <c r="M101" s="1"/>
      <c r="O101" s="7"/>
      <c r="T101" s="71"/>
      <c r="U101" s="71"/>
      <c r="V101" s="71"/>
      <c r="W101" s="71"/>
    </row>
    <row r="102" spans="8:23" ht="15.75" thickBot="1" x14ac:dyDescent="0.3">
      <c r="H102" s="231"/>
      <c r="I102" s="232"/>
      <c r="J102" s="256"/>
      <c r="M102" s="1"/>
      <c r="O102" s="7"/>
      <c r="T102" s="71"/>
      <c r="U102" s="71"/>
      <c r="V102" s="71"/>
      <c r="W102" s="71"/>
    </row>
    <row r="103" spans="8:23" ht="4.5" customHeight="1" x14ac:dyDescent="0.25">
      <c r="H103" s="239"/>
      <c r="I103" s="240"/>
      <c r="J103" s="261"/>
      <c r="M103" s="1"/>
      <c r="O103" s="7"/>
      <c r="T103" s="71"/>
      <c r="U103" s="71"/>
      <c r="V103" s="71"/>
      <c r="W103" s="71"/>
    </row>
    <row r="104" spans="8:23" x14ac:dyDescent="0.25">
      <c r="H104" s="241" t="s">
        <v>2605</v>
      </c>
      <c r="I104" s="226">
        <f>COUNTIFS('EDL Data'!$B:$B,$I$75,'EDL Data'!$D:$D,'2022'!$H104)</f>
        <v>1</v>
      </c>
      <c r="J104" s="253">
        <f>SUMIFS('EDL Data'!G:G,'EDL Data'!$B:$B,$I$75,'EDL Data'!$D:$D,'2022'!$H104)</f>
        <v>70.850000000093132</v>
      </c>
      <c r="M104" s="1"/>
      <c r="O104" s="7"/>
      <c r="T104" s="71"/>
      <c r="U104" s="71"/>
      <c r="V104" s="71"/>
      <c r="W104" s="71"/>
    </row>
    <row r="105" spans="8:23" x14ac:dyDescent="0.25">
      <c r="H105" s="242" t="s">
        <v>2606</v>
      </c>
      <c r="I105" s="216">
        <f>COUNTIFS('EDL Data'!$B:$B,$I$75,'EDL Data'!$D:$D,'2022'!$H105)</f>
        <v>3</v>
      </c>
      <c r="J105" s="254">
        <f>SUMIFS('EDL Data'!G:G,'EDL Data'!$B:$B,$I$75,'EDL Data'!$D:$D,'2022'!$H105)</f>
        <v>144.06638888886664</v>
      </c>
      <c r="M105" s="1"/>
      <c r="O105" s="7"/>
      <c r="T105" s="71"/>
      <c r="U105" s="71"/>
      <c r="V105" s="71"/>
      <c r="W105" s="71"/>
    </row>
    <row r="106" spans="8:23" x14ac:dyDescent="0.25">
      <c r="H106" s="243" t="s">
        <v>3266</v>
      </c>
      <c r="I106" s="244">
        <f>SUM(I104:I105)</f>
        <v>4</v>
      </c>
      <c r="J106" s="262">
        <f>SUM(J104:J105)</f>
        <v>214.91638888895977</v>
      </c>
      <c r="M106" s="1"/>
      <c r="O106" s="7"/>
      <c r="T106" s="71"/>
      <c r="U106" s="71"/>
      <c r="V106" s="71"/>
      <c r="W106" s="71"/>
    </row>
    <row r="107" spans="8:23" ht="15.75" thickBot="1" x14ac:dyDescent="0.3">
      <c r="H107" s="231"/>
      <c r="I107" s="232"/>
      <c r="J107" s="256"/>
      <c r="M107" s="1"/>
      <c r="O107" s="7"/>
      <c r="T107" s="71"/>
      <c r="U107" s="71"/>
      <c r="V107" s="71"/>
      <c r="W107" s="71"/>
    </row>
    <row r="108" spans="8:23" ht="15.75" thickBot="1" x14ac:dyDescent="0.3">
      <c r="H108" s="245" t="s">
        <v>3267</v>
      </c>
      <c r="I108" s="246">
        <f>SUM(I85,I93,I101,I106)</f>
        <v>49</v>
      </c>
      <c r="J108" s="263">
        <f>SUM(J85,J93,J101,J106)</f>
        <v>3666.4497222220525</v>
      </c>
      <c r="M108" s="1"/>
      <c r="O108" s="7"/>
      <c r="T108" s="71"/>
      <c r="U108" s="71"/>
      <c r="V108" s="71"/>
      <c r="W108" s="71"/>
    </row>
    <row r="109" spans="8:23" x14ac:dyDescent="0.25">
      <c r="T109" s="71"/>
      <c r="U109" s="71"/>
      <c r="V109" s="71"/>
      <c r="W109" s="71"/>
    </row>
    <row r="110" spans="8:23" x14ac:dyDescent="0.25">
      <c r="H110" s="7" t="s">
        <v>1388</v>
      </c>
      <c r="I110" s="7" t="s">
        <v>3222</v>
      </c>
      <c r="J110" s="7" t="s">
        <v>12</v>
      </c>
      <c r="T110" s="71"/>
      <c r="U110" s="71"/>
      <c r="V110" s="71"/>
      <c r="W110" s="71"/>
    </row>
    <row r="111" spans="8:23" x14ac:dyDescent="0.25">
      <c r="H111" s="7">
        <f>H80</f>
        <v>53</v>
      </c>
      <c r="I111" s="7">
        <f t="shared" ref="I111:J111" si="8">I80</f>
        <v>6</v>
      </c>
      <c r="J111" s="264">
        <f t="shared" si="8"/>
        <v>310.06916666653706</v>
      </c>
      <c r="T111" s="71"/>
      <c r="U111" s="71"/>
      <c r="V111" s="71"/>
      <c r="W111" s="71"/>
    </row>
    <row r="112" spans="8:23" x14ac:dyDescent="0.25">
      <c r="H112" s="7">
        <f t="shared" ref="H112:J115" si="9">H81</f>
        <v>54</v>
      </c>
      <c r="I112" s="7">
        <f t="shared" si="9"/>
        <v>6</v>
      </c>
      <c r="J112" s="264">
        <f t="shared" si="9"/>
        <v>692.53305555554107</v>
      </c>
      <c r="T112" s="71"/>
      <c r="U112" s="71"/>
      <c r="V112" s="71"/>
      <c r="W112" s="71"/>
    </row>
    <row r="113" spans="8:23" x14ac:dyDescent="0.25">
      <c r="H113" s="7">
        <f t="shared" si="9"/>
        <v>55</v>
      </c>
      <c r="I113" s="7">
        <f t="shared" si="9"/>
        <v>4</v>
      </c>
      <c r="J113" s="264">
        <f t="shared" si="9"/>
        <v>151.72944444447057</v>
      </c>
      <c r="T113" s="71"/>
      <c r="U113" s="71"/>
      <c r="V113" s="71"/>
      <c r="W113" s="71"/>
    </row>
    <row r="114" spans="8:23" x14ac:dyDescent="0.25">
      <c r="H114" s="7">
        <f t="shared" si="9"/>
        <v>58</v>
      </c>
      <c r="I114" s="7">
        <f t="shared" si="9"/>
        <v>1</v>
      </c>
      <c r="J114" s="264">
        <f t="shared" si="9"/>
        <v>62.25</v>
      </c>
      <c r="T114" s="71"/>
      <c r="U114" s="71"/>
      <c r="V114" s="71"/>
      <c r="W114" s="71"/>
    </row>
    <row r="115" spans="8:23" x14ac:dyDescent="0.25">
      <c r="H115" s="7" t="str">
        <f t="shared" si="9"/>
        <v>New York</v>
      </c>
      <c r="I115" s="7">
        <f t="shared" si="9"/>
        <v>3</v>
      </c>
      <c r="J115" s="264">
        <f t="shared" si="9"/>
        <v>115.70749999996042</v>
      </c>
      <c r="T115" s="71"/>
      <c r="U115" s="71"/>
      <c r="V115" s="71"/>
      <c r="W115" s="71"/>
    </row>
    <row r="116" spans="8:23" x14ac:dyDescent="0.25">
      <c r="H116" s="7" t="str">
        <f>H88</f>
        <v>Alaska</v>
      </c>
      <c r="I116" s="7">
        <f>I88</f>
        <v>2</v>
      </c>
      <c r="J116" s="264">
        <f>J88</f>
        <v>194.93333333329065</v>
      </c>
      <c r="T116" s="71"/>
      <c r="U116" s="71"/>
      <c r="V116" s="71"/>
      <c r="W116" s="71"/>
    </row>
    <row r="117" spans="8:23" x14ac:dyDescent="0.25">
      <c r="H117" s="7" t="str">
        <f t="shared" ref="H117:J120" si="10">H89</f>
        <v>Carolina</v>
      </c>
      <c r="I117" s="7">
        <f t="shared" si="10"/>
        <v>3</v>
      </c>
      <c r="J117" s="264">
        <f t="shared" si="10"/>
        <v>299.30611111095641</v>
      </c>
      <c r="T117" s="71"/>
      <c r="U117" s="71"/>
      <c r="V117" s="71"/>
      <c r="W117" s="71"/>
    </row>
    <row r="118" spans="8:23" x14ac:dyDescent="0.25">
      <c r="H118" s="7" t="str">
        <f t="shared" si="10"/>
        <v>Illinois</v>
      </c>
      <c r="I118" s="7">
        <f t="shared" si="10"/>
        <v>1</v>
      </c>
      <c r="J118" s="264">
        <f t="shared" si="10"/>
        <v>120.96666666667443</v>
      </c>
      <c r="T118" s="71"/>
      <c r="U118" s="71"/>
      <c r="V118" s="71"/>
      <c r="W118" s="71"/>
    </row>
    <row r="119" spans="8:23" x14ac:dyDescent="0.25">
      <c r="H119" s="7" t="str">
        <f t="shared" si="10"/>
        <v>Ohio</v>
      </c>
      <c r="I119" s="7">
        <f t="shared" si="10"/>
        <v>8</v>
      </c>
      <c r="J119" s="264">
        <f t="shared" si="10"/>
        <v>690.55000000004657</v>
      </c>
      <c r="T119" s="71"/>
      <c r="U119" s="71"/>
      <c r="V119" s="71"/>
      <c r="W119" s="71"/>
    </row>
    <row r="120" spans="8:23" x14ac:dyDescent="0.25">
      <c r="H120" s="7" t="str">
        <f t="shared" si="10"/>
        <v>Texas</v>
      </c>
      <c r="I120" s="7">
        <f t="shared" si="10"/>
        <v>3</v>
      </c>
      <c r="J120" s="264">
        <f t="shared" si="10"/>
        <v>190.66444444446824</v>
      </c>
      <c r="T120" s="71"/>
      <c r="U120" s="71"/>
      <c r="V120" s="71"/>
      <c r="W120" s="71"/>
    </row>
    <row r="121" spans="8:23" x14ac:dyDescent="0.25">
      <c r="H121" s="7" t="str">
        <f>H96</f>
        <v>Dodge Island</v>
      </c>
      <c r="I121" s="7">
        <f>I96</f>
        <v>2</v>
      </c>
      <c r="J121" s="264">
        <f t="shared" ref="J121" si="11">J96</f>
        <v>65.599444444407709</v>
      </c>
      <c r="T121" s="71"/>
      <c r="U121" s="71"/>
      <c r="V121" s="71"/>
      <c r="W121" s="71"/>
    </row>
    <row r="122" spans="8:23" x14ac:dyDescent="0.25">
      <c r="H122" s="7" t="str">
        <f t="shared" ref="H122:J125" si="12">H97</f>
        <v>Ellis Island</v>
      </c>
      <c r="I122" s="7">
        <f t="shared" si="12"/>
        <v>1</v>
      </c>
      <c r="J122" s="264">
        <f t="shared" si="12"/>
        <v>163.18305555568077</v>
      </c>
      <c r="T122" s="71"/>
      <c r="U122" s="71"/>
      <c r="V122" s="71"/>
      <c r="W122" s="71"/>
    </row>
    <row r="123" spans="8:23" x14ac:dyDescent="0.25">
      <c r="H123" s="7" t="str">
        <f t="shared" si="12"/>
        <v>Liberty Island</v>
      </c>
      <c r="I123" s="7">
        <f t="shared" si="12"/>
        <v>2</v>
      </c>
      <c r="J123" s="264">
        <f t="shared" si="12"/>
        <v>78.416666666627862</v>
      </c>
      <c r="T123" s="71"/>
      <c r="U123" s="71"/>
      <c r="V123" s="71"/>
      <c r="W123" s="71"/>
    </row>
    <row r="124" spans="8:23" x14ac:dyDescent="0.25">
      <c r="H124" s="7" t="str">
        <f t="shared" si="12"/>
        <v>Padre Island</v>
      </c>
      <c r="I124" s="7">
        <f t="shared" si="12"/>
        <v>1</v>
      </c>
      <c r="J124" s="264">
        <f t="shared" si="12"/>
        <v>135.99944444443099</v>
      </c>
      <c r="T124" s="71"/>
      <c r="U124" s="71"/>
      <c r="V124" s="71"/>
      <c r="W124" s="71"/>
    </row>
    <row r="125" spans="8:23" x14ac:dyDescent="0.25">
      <c r="H125" s="7" t="str">
        <f t="shared" si="12"/>
        <v>Terrapin Island</v>
      </c>
      <c r="I125" s="7">
        <f t="shared" si="12"/>
        <v>2</v>
      </c>
      <c r="J125" s="264">
        <f t="shared" si="12"/>
        <v>179.625</v>
      </c>
      <c r="T125" s="71"/>
      <c r="U125" s="71"/>
      <c r="V125" s="71"/>
      <c r="W125" s="71"/>
    </row>
    <row r="126" spans="8:23" x14ac:dyDescent="0.25">
      <c r="H126" s="7" t="str">
        <f>H104</f>
        <v>Iowa</v>
      </c>
      <c r="I126" s="7">
        <f t="shared" ref="I126:J127" si="13">I104</f>
        <v>1</v>
      </c>
      <c r="J126" s="264">
        <f t="shared" si="13"/>
        <v>70.850000000093132</v>
      </c>
      <c r="T126" s="71"/>
      <c r="U126" s="71"/>
      <c r="V126" s="71"/>
      <c r="W126" s="71"/>
    </row>
    <row r="127" spans="8:23" x14ac:dyDescent="0.25">
      <c r="H127" s="7" t="str">
        <f>H105</f>
        <v>Sandpiper</v>
      </c>
      <c r="I127" s="7">
        <f t="shared" si="13"/>
        <v>3</v>
      </c>
      <c r="J127" s="264">
        <f t="shared" si="13"/>
        <v>144.06638888886664</v>
      </c>
      <c r="T127" s="71"/>
      <c r="U127" s="71"/>
      <c r="V127" s="71"/>
      <c r="W127" s="71"/>
    </row>
    <row r="128" spans="8:23" x14ac:dyDescent="0.25">
      <c r="T128" s="71"/>
      <c r="U128" s="71"/>
      <c r="V128" s="71"/>
      <c r="W128" s="71"/>
    </row>
    <row r="129" spans="20:23" x14ac:dyDescent="0.25">
      <c r="T129" s="71"/>
      <c r="U129" s="71"/>
      <c r="V129" s="71"/>
      <c r="W129" s="71"/>
    </row>
    <row r="130" spans="20:23" x14ac:dyDescent="0.25">
      <c r="T130" s="71"/>
      <c r="U130" s="71"/>
      <c r="V130" s="71"/>
      <c r="W130" s="71"/>
    </row>
    <row r="131" spans="20:23" x14ac:dyDescent="0.25">
      <c r="T131" s="71"/>
      <c r="U131" s="71"/>
      <c r="V131" s="71"/>
      <c r="W131" s="71"/>
    </row>
    <row r="132" spans="20:23" x14ac:dyDescent="0.25">
      <c r="T132" s="71"/>
      <c r="U132" s="71"/>
      <c r="V132" s="71"/>
      <c r="W132" s="71"/>
    </row>
    <row r="133" spans="20:23" x14ac:dyDescent="0.25">
      <c r="T133" s="71"/>
      <c r="U133" s="71"/>
      <c r="V133" s="71"/>
      <c r="W133" s="71"/>
    </row>
    <row r="134" spans="20:23" x14ac:dyDescent="0.25">
      <c r="T134" s="71"/>
      <c r="U134" s="71"/>
      <c r="V134" s="71"/>
      <c r="W134" s="71"/>
    </row>
    <row r="135" spans="20:23" x14ac:dyDescent="0.25">
      <c r="T135" s="71"/>
      <c r="U135" s="71"/>
      <c r="V135" s="71"/>
      <c r="W135" s="71"/>
    </row>
    <row r="136" spans="20:23" x14ac:dyDescent="0.25">
      <c r="T136" s="71"/>
      <c r="U136" s="71"/>
      <c r="V136" s="71"/>
      <c r="W136" s="71"/>
    </row>
    <row r="137" spans="20:23" x14ac:dyDescent="0.25">
      <c r="T137" s="71"/>
      <c r="U137" s="71"/>
      <c r="V137" s="71"/>
      <c r="W137" s="71"/>
    </row>
    <row r="138" spans="20:23" x14ac:dyDescent="0.25">
      <c r="T138" s="71"/>
      <c r="U138" s="71"/>
      <c r="V138" s="71"/>
      <c r="W138" s="71"/>
    </row>
    <row r="139" spans="20:23" x14ac:dyDescent="0.25">
      <c r="T139" s="71"/>
      <c r="U139" s="71"/>
      <c r="V139" s="71"/>
      <c r="W139" s="71"/>
    </row>
    <row r="140" spans="20:23" x14ac:dyDescent="0.25">
      <c r="T140" s="71"/>
      <c r="U140" s="71"/>
      <c r="V140" s="71"/>
      <c r="W140" s="71"/>
    </row>
    <row r="141" spans="20:23" x14ac:dyDescent="0.25">
      <c r="T141" s="71"/>
      <c r="U141" s="71"/>
      <c r="V141" s="71"/>
      <c r="W141" s="71"/>
    </row>
    <row r="142" spans="20:23" x14ac:dyDescent="0.25">
      <c r="T142" s="71"/>
      <c r="U142" s="71"/>
      <c r="V142" s="71"/>
      <c r="W142" s="71"/>
    </row>
    <row r="143" spans="20:23" x14ac:dyDescent="0.25">
      <c r="T143" s="71"/>
      <c r="U143" s="71"/>
      <c r="V143" s="71"/>
      <c r="W143" s="71"/>
    </row>
    <row r="144" spans="20:23" x14ac:dyDescent="0.25">
      <c r="T144" s="71"/>
      <c r="U144" s="71"/>
      <c r="V144" s="71"/>
      <c r="W144" s="71"/>
    </row>
    <row r="145" spans="20:23" x14ac:dyDescent="0.25">
      <c r="T145" s="71"/>
      <c r="U145" s="71"/>
      <c r="V145" s="71"/>
      <c r="W145" s="71"/>
    </row>
    <row r="146" spans="20:23" x14ac:dyDescent="0.25">
      <c r="T146" s="71"/>
      <c r="U146" s="71"/>
      <c r="V146" s="71"/>
      <c r="W146" s="71"/>
    </row>
    <row r="147" spans="20:23" x14ac:dyDescent="0.25">
      <c r="T147" s="71"/>
      <c r="U147" s="71"/>
      <c r="V147" s="71"/>
      <c r="W147" s="71"/>
    </row>
    <row r="148" spans="20:23" x14ac:dyDescent="0.25">
      <c r="T148" s="71"/>
      <c r="U148" s="71"/>
      <c r="V148" s="71"/>
      <c r="W148" s="71"/>
    </row>
    <row r="149" spans="20:23" x14ac:dyDescent="0.25">
      <c r="T149" s="71"/>
      <c r="U149" s="71"/>
      <c r="V149" s="71"/>
      <c r="W149" s="71"/>
    </row>
    <row r="150" spans="20:23" x14ac:dyDescent="0.25">
      <c r="T150" s="71"/>
      <c r="U150" s="71"/>
      <c r="V150" s="71"/>
      <c r="W150" s="71"/>
    </row>
    <row r="151" spans="20:23" x14ac:dyDescent="0.25">
      <c r="T151" s="71"/>
      <c r="U151" s="71"/>
      <c r="V151" s="71"/>
      <c r="W151" s="71"/>
    </row>
    <row r="152" spans="20:23" x14ac:dyDescent="0.25">
      <c r="T152" s="71"/>
      <c r="U152" s="71"/>
      <c r="V152" s="71"/>
      <c r="W152" s="71"/>
    </row>
    <row r="153" spans="20:23" x14ac:dyDescent="0.25">
      <c r="T153" s="71"/>
      <c r="U153" s="71"/>
      <c r="V153" s="71"/>
      <c r="W153" s="71"/>
    </row>
    <row r="154" spans="20:23" x14ac:dyDescent="0.25">
      <c r="T154" s="71"/>
      <c r="U154" s="71"/>
      <c r="V154" s="71"/>
      <c r="W154" s="71"/>
    </row>
    <row r="155" spans="20:23" x14ac:dyDescent="0.25">
      <c r="T155" s="71"/>
      <c r="U155" s="71"/>
      <c r="V155" s="71"/>
      <c r="W155" s="71"/>
    </row>
    <row r="156" spans="20:23" x14ac:dyDescent="0.25">
      <c r="T156" s="71"/>
      <c r="U156" s="71"/>
      <c r="V156" s="71"/>
      <c r="W156" s="71"/>
    </row>
    <row r="157" spans="20:23" x14ac:dyDescent="0.25">
      <c r="T157" s="71"/>
      <c r="U157" s="71"/>
      <c r="V157" s="71"/>
      <c r="W157" s="71"/>
    </row>
    <row r="158" spans="20:23" x14ac:dyDescent="0.25">
      <c r="T158" s="71"/>
      <c r="U158" s="71"/>
      <c r="V158" s="71"/>
      <c r="W158" s="71"/>
    </row>
    <row r="159" spans="20:23" x14ac:dyDescent="0.25">
      <c r="T159" s="71"/>
      <c r="U159" s="71"/>
      <c r="V159" s="71"/>
      <c r="W159" s="71"/>
    </row>
    <row r="160" spans="20:23" x14ac:dyDescent="0.25">
      <c r="T160" s="71"/>
      <c r="U160" s="71"/>
      <c r="V160" s="71"/>
      <c r="W160" s="71"/>
    </row>
    <row r="161" spans="20:23" x14ac:dyDescent="0.25">
      <c r="T161" s="71"/>
      <c r="U161" s="71"/>
      <c r="V161" s="71"/>
      <c r="W161" s="71"/>
    </row>
    <row r="162" spans="20:23" x14ac:dyDescent="0.25">
      <c r="T162" s="71"/>
      <c r="U162" s="71"/>
      <c r="V162" s="71"/>
      <c r="W162" s="71"/>
    </row>
    <row r="163" spans="20:23" x14ac:dyDescent="0.25">
      <c r="T163" s="71"/>
      <c r="U163" s="71"/>
      <c r="V163" s="71"/>
      <c r="W163" s="71"/>
    </row>
    <row r="164" spans="20:23" x14ac:dyDescent="0.25">
      <c r="T164" s="71"/>
      <c r="U164" s="71"/>
      <c r="V164" s="71"/>
      <c r="W164" s="71"/>
    </row>
    <row r="165" spans="20:23" x14ac:dyDescent="0.25">
      <c r="T165" s="71"/>
      <c r="U165" s="71"/>
      <c r="V165" s="71"/>
      <c r="W165" s="71"/>
    </row>
    <row r="166" spans="20:23" x14ac:dyDescent="0.25">
      <c r="T166" s="71"/>
      <c r="U166" s="71"/>
      <c r="V166" s="71"/>
      <c r="W166" s="71"/>
    </row>
    <row r="167" spans="20:23" x14ac:dyDescent="0.25">
      <c r="T167" s="71"/>
      <c r="U167" s="71"/>
      <c r="V167" s="71"/>
      <c r="W167" s="71"/>
    </row>
    <row r="168" spans="20:23" x14ac:dyDescent="0.25">
      <c r="T168" s="71"/>
      <c r="U168" s="71"/>
      <c r="V168" s="71"/>
      <c r="W168" s="71"/>
    </row>
    <row r="169" spans="20:23" x14ac:dyDescent="0.25">
      <c r="T169" s="71"/>
      <c r="U169" s="71"/>
      <c r="V169" s="71"/>
      <c r="W169" s="71"/>
    </row>
    <row r="170" spans="20:23" x14ac:dyDescent="0.25">
      <c r="T170" s="71"/>
      <c r="U170" s="71"/>
      <c r="V170" s="71"/>
      <c r="W170" s="71"/>
    </row>
    <row r="171" spans="20:23" x14ac:dyDescent="0.25">
      <c r="T171" s="71"/>
      <c r="U171" s="71"/>
      <c r="V171" s="71"/>
      <c r="W171" s="71"/>
    </row>
    <row r="172" spans="20:23" x14ac:dyDescent="0.25">
      <c r="T172" s="71"/>
      <c r="U172" s="71"/>
      <c r="V172" s="71"/>
      <c r="W172" s="71"/>
    </row>
    <row r="173" spans="20:23" x14ac:dyDescent="0.25">
      <c r="T173" s="71"/>
      <c r="U173" s="71"/>
      <c r="V173" s="71"/>
      <c r="W173" s="71"/>
    </row>
    <row r="174" spans="20:23" x14ac:dyDescent="0.25">
      <c r="T174" s="71"/>
      <c r="U174" s="71"/>
      <c r="V174" s="71"/>
      <c r="W174" s="71"/>
    </row>
    <row r="175" spans="20:23" x14ac:dyDescent="0.25">
      <c r="T175" s="71"/>
      <c r="U175" s="71"/>
      <c r="V175" s="71"/>
      <c r="W175" s="71"/>
    </row>
    <row r="176" spans="20:23" x14ac:dyDescent="0.25">
      <c r="T176" s="71"/>
      <c r="U176" s="71"/>
      <c r="V176" s="71"/>
      <c r="W176" s="71"/>
    </row>
    <row r="177" spans="20:23" x14ac:dyDescent="0.25">
      <c r="T177" s="71"/>
      <c r="U177" s="71"/>
      <c r="V177" s="71"/>
      <c r="W177" s="71"/>
    </row>
    <row r="178" spans="20:23" x14ac:dyDescent="0.25">
      <c r="T178" s="71"/>
      <c r="U178" s="71"/>
      <c r="V178" s="71"/>
      <c r="W178" s="71"/>
    </row>
    <row r="179" spans="20:23" x14ac:dyDescent="0.25">
      <c r="T179" s="71"/>
      <c r="U179" s="71"/>
      <c r="V179" s="71"/>
      <c r="W179" s="71"/>
    </row>
    <row r="180" spans="20:23" x14ac:dyDescent="0.25">
      <c r="T180" s="71"/>
      <c r="U180" s="71"/>
      <c r="V180" s="71"/>
      <c r="W180" s="71"/>
    </row>
    <row r="181" spans="20:23" x14ac:dyDescent="0.25">
      <c r="T181" s="71"/>
      <c r="U181" s="71"/>
      <c r="V181" s="71"/>
      <c r="W181" s="71"/>
    </row>
    <row r="182" spans="20:23" x14ac:dyDescent="0.25">
      <c r="T182" s="71"/>
      <c r="U182" s="71"/>
      <c r="V182" s="71"/>
      <c r="W182" s="71"/>
    </row>
    <row r="183" spans="20:23" x14ac:dyDescent="0.25">
      <c r="T183" s="71"/>
      <c r="U183" s="71"/>
      <c r="V183" s="71"/>
      <c r="W183" s="71"/>
    </row>
    <row r="184" spans="20:23" x14ac:dyDescent="0.25">
      <c r="T184" s="71"/>
      <c r="U184" s="71"/>
      <c r="V184" s="71"/>
      <c r="W184" s="71"/>
    </row>
    <row r="185" spans="20:23" x14ac:dyDescent="0.25">
      <c r="T185" s="71"/>
      <c r="U185" s="71"/>
      <c r="V185" s="71"/>
      <c r="W185" s="71"/>
    </row>
    <row r="186" spans="20:23" x14ac:dyDescent="0.25">
      <c r="T186" s="71"/>
      <c r="U186" s="71"/>
      <c r="V186" s="71"/>
      <c r="W186" s="71"/>
    </row>
    <row r="187" spans="20:23" x14ac:dyDescent="0.25">
      <c r="T187" s="71"/>
      <c r="U187" s="71"/>
      <c r="V187" s="71"/>
      <c r="W187" s="71"/>
    </row>
    <row r="188" spans="20:23" x14ac:dyDescent="0.25">
      <c r="T188" s="71"/>
      <c r="U188" s="71"/>
      <c r="V188" s="71"/>
      <c r="W188" s="71"/>
    </row>
    <row r="189" spans="20:23" x14ac:dyDescent="0.25">
      <c r="T189" s="71"/>
      <c r="U189" s="71"/>
      <c r="V189" s="71"/>
      <c r="W189" s="71"/>
    </row>
    <row r="190" spans="20:23" x14ac:dyDescent="0.25">
      <c r="T190" s="71"/>
      <c r="U190" s="71"/>
      <c r="V190" s="71"/>
      <c r="W190" s="71"/>
    </row>
    <row r="191" spans="20:23" x14ac:dyDescent="0.25">
      <c r="T191" s="71"/>
      <c r="U191" s="71"/>
      <c r="V191" s="71"/>
      <c r="W191" s="71"/>
    </row>
    <row r="192" spans="20:23" x14ac:dyDescent="0.25">
      <c r="T192" s="71"/>
      <c r="U192" s="71"/>
      <c r="V192" s="71"/>
      <c r="W192" s="71"/>
    </row>
    <row r="193" spans="20:23" x14ac:dyDescent="0.25">
      <c r="T193" s="71"/>
      <c r="U193" s="71"/>
      <c r="V193" s="71"/>
      <c r="W193" s="71"/>
    </row>
    <row r="194" spans="20:23" x14ac:dyDescent="0.25">
      <c r="T194" s="71"/>
      <c r="U194" s="71"/>
      <c r="V194" s="71"/>
      <c r="W194" s="71"/>
    </row>
    <row r="195" spans="20:23" x14ac:dyDescent="0.25">
      <c r="T195" s="71"/>
      <c r="U195" s="71"/>
      <c r="V195" s="71"/>
      <c r="W195" s="71"/>
    </row>
    <row r="196" spans="20:23" x14ac:dyDescent="0.25">
      <c r="T196" s="71"/>
      <c r="U196" s="71"/>
      <c r="V196" s="71"/>
      <c r="W196" s="71"/>
    </row>
    <row r="197" spans="20:23" x14ac:dyDescent="0.25">
      <c r="T197" s="71"/>
      <c r="U197" s="71"/>
      <c r="V197" s="71"/>
      <c r="W197" s="71"/>
    </row>
    <row r="198" spans="20:23" x14ac:dyDescent="0.25">
      <c r="T198" s="71"/>
      <c r="U198" s="71"/>
      <c r="V198" s="71"/>
      <c r="W198" s="71"/>
    </row>
    <row r="199" spans="20:23" x14ac:dyDescent="0.25">
      <c r="T199" s="71"/>
      <c r="U199" s="71"/>
      <c r="V199" s="71"/>
      <c r="W199" s="71"/>
    </row>
    <row r="200" spans="20:23" x14ac:dyDescent="0.25">
      <c r="T200" s="71"/>
      <c r="U200" s="71"/>
      <c r="V200" s="71"/>
      <c r="W200" s="71"/>
    </row>
    <row r="201" spans="20:23" x14ac:dyDescent="0.25">
      <c r="T201" s="71"/>
      <c r="U201" s="71"/>
      <c r="V201" s="71"/>
      <c r="W201" s="71"/>
    </row>
    <row r="202" spans="20:23" x14ac:dyDescent="0.25">
      <c r="T202" s="71"/>
      <c r="U202" s="71"/>
      <c r="V202" s="71"/>
      <c r="W202" s="71"/>
    </row>
    <row r="203" spans="20:23" x14ac:dyDescent="0.25">
      <c r="T203" s="71"/>
      <c r="U203" s="71"/>
      <c r="V203" s="71"/>
      <c r="W203" s="71"/>
    </row>
    <row r="204" spans="20:23" x14ac:dyDescent="0.25">
      <c r="T204" s="71"/>
      <c r="U204" s="71"/>
      <c r="V204" s="71"/>
      <c r="W204" s="71"/>
    </row>
    <row r="205" spans="20:23" x14ac:dyDescent="0.25">
      <c r="T205" s="71"/>
      <c r="U205" s="71"/>
      <c r="V205" s="71"/>
      <c r="W205" s="71"/>
    </row>
    <row r="206" spans="20:23" x14ac:dyDescent="0.25">
      <c r="T206" s="71"/>
      <c r="U206" s="71"/>
      <c r="V206" s="71"/>
      <c r="W206" s="71"/>
    </row>
    <row r="207" spans="20:23" x14ac:dyDescent="0.25">
      <c r="T207" s="71"/>
      <c r="U207" s="71"/>
      <c r="V207" s="71"/>
      <c r="W207" s="71"/>
    </row>
    <row r="208" spans="20:23" x14ac:dyDescent="0.25">
      <c r="T208" s="71"/>
      <c r="U208" s="71"/>
      <c r="V208" s="71"/>
      <c r="W208" s="71"/>
    </row>
    <row r="209" spans="20:23" x14ac:dyDescent="0.25">
      <c r="T209" s="71"/>
      <c r="U209" s="71"/>
      <c r="V209" s="71"/>
      <c r="W209" s="71"/>
    </row>
    <row r="210" spans="20:23" x14ac:dyDescent="0.25">
      <c r="T210" s="71"/>
      <c r="U210" s="71"/>
      <c r="V210" s="71"/>
      <c r="W210" s="71"/>
    </row>
    <row r="211" spans="20:23" x14ac:dyDescent="0.25">
      <c r="T211" s="71"/>
      <c r="U211" s="71"/>
      <c r="V211" s="71"/>
      <c r="W211" s="71"/>
    </row>
    <row r="212" spans="20:23" x14ac:dyDescent="0.25">
      <c r="T212" s="71"/>
      <c r="U212" s="71"/>
      <c r="V212" s="71"/>
      <c r="W212" s="71"/>
    </row>
    <row r="213" spans="20:23" x14ac:dyDescent="0.25">
      <c r="T213" s="71"/>
      <c r="U213" s="71"/>
      <c r="V213" s="71"/>
      <c r="W213" s="71"/>
    </row>
    <row r="214" spans="20:23" x14ac:dyDescent="0.25">
      <c r="T214" s="71"/>
      <c r="U214" s="71"/>
      <c r="V214" s="71"/>
      <c r="W214" s="71"/>
    </row>
    <row r="215" spans="20:23" x14ac:dyDescent="0.25">
      <c r="T215" s="71"/>
      <c r="U215" s="71"/>
      <c r="V215" s="71"/>
      <c r="W215" s="71"/>
    </row>
    <row r="216" spans="20:23" x14ac:dyDescent="0.25">
      <c r="T216" s="71"/>
      <c r="U216" s="71"/>
      <c r="V216" s="71"/>
      <c r="W216" s="71"/>
    </row>
    <row r="217" spans="20:23" x14ac:dyDescent="0.25">
      <c r="T217" s="71"/>
      <c r="U217" s="71"/>
      <c r="V217" s="71"/>
      <c r="W217" s="71"/>
    </row>
    <row r="218" spans="20:23" x14ac:dyDescent="0.25">
      <c r="T218" s="71"/>
      <c r="U218" s="71"/>
      <c r="V218" s="71"/>
      <c r="W218" s="71"/>
    </row>
    <row r="219" spans="20:23" x14ac:dyDescent="0.25">
      <c r="T219" s="71"/>
      <c r="U219" s="71"/>
      <c r="V219" s="71"/>
      <c r="W219" s="71"/>
    </row>
    <row r="220" spans="20:23" x14ac:dyDescent="0.25">
      <c r="T220" s="71"/>
      <c r="U220" s="71"/>
      <c r="V220" s="71"/>
      <c r="W220" s="71"/>
    </row>
    <row r="221" spans="20:23" x14ac:dyDescent="0.25">
      <c r="T221" s="71"/>
      <c r="U221" s="71"/>
      <c r="V221" s="71"/>
      <c r="W221" s="71"/>
    </row>
    <row r="222" spans="20:23" x14ac:dyDescent="0.25">
      <c r="T222" s="71"/>
      <c r="U222" s="71"/>
      <c r="V222" s="71"/>
      <c r="W222" s="71"/>
    </row>
    <row r="223" spans="20:23" x14ac:dyDescent="0.25">
      <c r="T223" s="71"/>
      <c r="U223" s="71"/>
      <c r="V223" s="71"/>
      <c r="W223" s="71"/>
    </row>
    <row r="224" spans="20:23" x14ac:dyDescent="0.25">
      <c r="T224" s="71"/>
      <c r="U224" s="71"/>
      <c r="V224" s="71"/>
      <c r="W224" s="71"/>
    </row>
    <row r="225" spans="20:23" x14ac:dyDescent="0.25">
      <c r="T225" s="71"/>
      <c r="U225" s="71"/>
      <c r="V225" s="71"/>
      <c r="W225" s="71"/>
    </row>
    <row r="226" spans="20:23" x14ac:dyDescent="0.25">
      <c r="T226" s="71"/>
      <c r="U226" s="71"/>
      <c r="V226" s="71"/>
      <c r="W226" s="71"/>
    </row>
    <row r="227" spans="20:23" x14ac:dyDescent="0.25">
      <c r="T227" s="71"/>
      <c r="U227" s="71"/>
      <c r="V227" s="71"/>
      <c r="W227" s="71"/>
    </row>
    <row r="228" spans="20:23" x14ac:dyDescent="0.25">
      <c r="T228" s="71"/>
      <c r="U228" s="71"/>
      <c r="V228" s="71"/>
      <c r="W228" s="71"/>
    </row>
    <row r="229" spans="20:23" x14ac:dyDescent="0.25">
      <c r="T229" s="71"/>
      <c r="U229" s="71"/>
      <c r="V229" s="71"/>
      <c r="W229" s="71"/>
    </row>
    <row r="230" spans="20:23" x14ac:dyDescent="0.25">
      <c r="T230" s="71"/>
      <c r="U230" s="71"/>
      <c r="V230" s="71"/>
      <c r="W230" s="71"/>
    </row>
    <row r="231" spans="20:23" x14ac:dyDescent="0.25">
      <c r="T231" s="71"/>
      <c r="U231" s="71"/>
      <c r="V231" s="71"/>
      <c r="W231" s="71"/>
    </row>
    <row r="232" spans="20:23" x14ac:dyDescent="0.25">
      <c r="T232" s="71"/>
      <c r="U232" s="71"/>
      <c r="V232" s="71"/>
      <c r="W232" s="71"/>
    </row>
    <row r="233" spans="20:23" x14ac:dyDescent="0.25">
      <c r="T233" s="71"/>
      <c r="U233" s="71"/>
      <c r="V233" s="71"/>
      <c r="W233" s="71"/>
    </row>
    <row r="234" spans="20:23" x14ac:dyDescent="0.25">
      <c r="T234" s="71"/>
      <c r="U234" s="71"/>
      <c r="V234" s="71"/>
      <c r="W234" s="71"/>
    </row>
    <row r="235" spans="20:23" x14ac:dyDescent="0.25">
      <c r="T235" s="71"/>
      <c r="U235" s="71"/>
      <c r="V235" s="71"/>
      <c r="W235" s="71"/>
    </row>
    <row r="236" spans="20:23" x14ac:dyDescent="0.25">
      <c r="T236" s="71"/>
      <c r="U236" s="71"/>
      <c r="V236" s="71"/>
      <c r="W236" s="71"/>
    </row>
    <row r="237" spans="20:23" x14ac:dyDescent="0.25">
      <c r="T237" s="71"/>
      <c r="U237" s="71"/>
      <c r="V237" s="71"/>
      <c r="W237" s="71"/>
    </row>
    <row r="238" spans="20:23" x14ac:dyDescent="0.25">
      <c r="T238" s="71"/>
      <c r="U238" s="71"/>
      <c r="V238" s="71"/>
      <c r="W238" s="71"/>
    </row>
    <row r="239" spans="20:23" x14ac:dyDescent="0.25">
      <c r="T239" s="71"/>
      <c r="U239" s="71"/>
      <c r="V239" s="71"/>
      <c r="W239" s="71"/>
    </row>
    <row r="240" spans="20:23" x14ac:dyDescent="0.25">
      <c r="T240" s="71"/>
      <c r="U240" s="71"/>
      <c r="V240" s="71"/>
      <c r="W240" s="71"/>
    </row>
    <row r="241" spans="20:23" x14ac:dyDescent="0.25">
      <c r="T241" s="71"/>
      <c r="U241" s="71"/>
      <c r="V241" s="71"/>
      <c r="W241" s="71"/>
    </row>
    <row r="242" spans="20:23" x14ac:dyDescent="0.25">
      <c r="T242" s="71"/>
      <c r="U242" s="71"/>
      <c r="V242" s="71"/>
      <c r="W242" s="71"/>
    </row>
    <row r="243" spans="20:23" x14ac:dyDescent="0.25">
      <c r="T243" s="71"/>
      <c r="U243" s="71"/>
      <c r="V243" s="71"/>
      <c r="W243" s="71"/>
    </row>
    <row r="244" spans="20:23" x14ac:dyDescent="0.25">
      <c r="T244" s="71"/>
      <c r="U244" s="71"/>
      <c r="V244" s="71"/>
      <c r="W244" s="71"/>
    </row>
    <row r="245" spans="20:23" x14ac:dyDescent="0.25">
      <c r="T245" s="71"/>
      <c r="U245" s="71"/>
      <c r="V245" s="71"/>
      <c r="W245" s="71"/>
    </row>
    <row r="246" spans="20:23" x14ac:dyDescent="0.25">
      <c r="T246" s="71"/>
      <c r="U246" s="71"/>
      <c r="V246" s="71"/>
      <c r="W246" s="71"/>
    </row>
    <row r="247" spans="20:23" x14ac:dyDescent="0.25">
      <c r="T247" s="71"/>
      <c r="U247" s="71"/>
      <c r="V247" s="71"/>
      <c r="W247" s="71"/>
    </row>
    <row r="248" spans="20:23" x14ac:dyDescent="0.25">
      <c r="T248" s="71"/>
      <c r="U248" s="71"/>
      <c r="V248" s="71"/>
      <c r="W248" s="71"/>
    </row>
    <row r="249" spans="20:23" x14ac:dyDescent="0.25">
      <c r="T249" s="71"/>
      <c r="U249" s="71"/>
      <c r="V249" s="71"/>
      <c r="W249" s="71"/>
    </row>
    <row r="250" spans="20:23" x14ac:dyDescent="0.25">
      <c r="T250" s="71"/>
      <c r="U250" s="71"/>
      <c r="V250" s="71"/>
      <c r="W250" s="71"/>
    </row>
    <row r="251" spans="20:23" x14ac:dyDescent="0.25">
      <c r="T251" s="71"/>
      <c r="U251" s="71"/>
      <c r="V251" s="71"/>
      <c r="W251" s="71"/>
    </row>
    <row r="252" spans="20:23" x14ac:dyDescent="0.25">
      <c r="T252" s="71"/>
      <c r="U252" s="71"/>
      <c r="V252" s="71"/>
      <c r="W252" s="71"/>
    </row>
    <row r="253" spans="20:23" x14ac:dyDescent="0.25">
      <c r="T253" s="71"/>
      <c r="U253" s="71"/>
      <c r="V253" s="71"/>
      <c r="W253" s="71"/>
    </row>
    <row r="254" spans="20:23" x14ac:dyDescent="0.25">
      <c r="T254" s="71"/>
      <c r="U254" s="71"/>
      <c r="V254" s="71"/>
      <c r="W254" s="71"/>
    </row>
    <row r="255" spans="20:23" x14ac:dyDescent="0.25">
      <c r="T255" s="71"/>
      <c r="U255" s="71"/>
      <c r="V255" s="71"/>
      <c r="W255" s="71"/>
    </row>
    <row r="256" spans="20:23" x14ac:dyDescent="0.25">
      <c r="T256" s="71"/>
      <c r="U256" s="71"/>
      <c r="V256" s="71"/>
      <c r="W256" s="71"/>
    </row>
    <row r="257" spans="20:23" x14ac:dyDescent="0.25">
      <c r="T257" s="71"/>
      <c r="U257" s="71"/>
      <c r="V257" s="71"/>
      <c r="W257" s="71"/>
    </row>
    <row r="258" spans="20:23" x14ac:dyDescent="0.25">
      <c r="T258" s="71"/>
      <c r="U258" s="71"/>
      <c r="V258" s="71"/>
      <c r="W258" s="71"/>
    </row>
    <row r="259" spans="20:23" x14ac:dyDescent="0.25">
      <c r="T259" s="71"/>
      <c r="U259" s="71"/>
      <c r="V259" s="71"/>
      <c r="W259" s="71"/>
    </row>
    <row r="260" spans="20:23" x14ac:dyDescent="0.25">
      <c r="T260" s="71"/>
      <c r="U260" s="71"/>
      <c r="V260" s="71"/>
      <c r="W260" s="71"/>
    </row>
    <row r="261" spans="20:23" x14ac:dyDescent="0.25">
      <c r="T261" s="71"/>
      <c r="U261" s="71"/>
      <c r="V261" s="71"/>
      <c r="W261" s="71"/>
    </row>
    <row r="262" spans="20:23" x14ac:dyDescent="0.25">
      <c r="T262" s="71"/>
      <c r="U262" s="71"/>
      <c r="V262" s="71"/>
      <c r="W262" s="71"/>
    </row>
    <row r="263" spans="20:23" x14ac:dyDescent="0.25">
      <c r="T263" s="71"/>
      <c r="U263" s="71"/>
      <c r="V263" s="71"/>
      <c r="W263" s="71"/>
    </row>
    <row r="264" spans="20:23" x14ac:dyDescent="0.25">
      <c r="T264" s="71"/>
      <c r="U264" s="71"/>
      <c r="V264" s="71"/>
      <c r="W264" s="71"/>
    </row>
    <row r="265" spans="20:23" x14ac:dyDescent="0.25">
      <c r="T265" s="71"/>
      <c r="U265" s="71"/>
      <c r="V265" s="71"/>
      <c r="W265" s="71"/>
    </row>
    <row r="266" spans="20:23" x14ac:dyDescent="0.25">
      <c r="T266" s="71"/>
      <c r="U266" s="71"/>
      <c r="V266" s="71"/>
      <c r="W266" s="71"/>
    </row>
    <row r="267" spans="20:23" x14ac:dyDescent="0.25">
      <c r="T267" s="71"/>
      <c r="U267" s="71"/>
      <c r="V267" s="71"/>
      <c r="W267" s="71"/>
    </row>
    <row r="268" spans="20:23" x14ac:dyDescent="0.25">
      <c r="T268" s="71"/>
      <c r="U268" s="71"/>
      <c r="V268" s="71"/>
      <c r="W268" s="71"/>
    </row>
    <row r="269" spans="20:23" x14ac:dyDescent="0.25">
      <c r="T269" s="71"/>
      <c r="U269" s="71"/>
      <c r="V269" s="71"/>
      <c r="W269" s="71"/>
    </row>
    <row r="270" spans="20:23" x14ac:dyDescent="0.25">
      <c r="T270" s="71"/>
      <c r="U270" s="71"/>
      <c r="V270" s="71"/>
      <c r="W270" s="71"/>
    </row>
    <row r="271" spans="20:23" x14ac:dyDescent="0.25">
      <c r="T271" s="71"/>
      <c r="U271" s="71"/>
      <c r="V271" s="71"/>
      <c r="W271" s="71"/>
    </row>
    <row r="272" spans="20:23" x14ac:dyDescent="0.25">
      <c r="T272" s="71"/>
      <c r="U272" s="71"/>
      <c r="V272" s="71"/>
      <c r="W272" s="71"/>
    </row>
    <row r="273" spans="20:23" x14ac:dyDescent="0.25">
      <c r="T273" s="71"/>
      <c r="U273" s="71"/>
      <c r="V273" s="71"/>
      <c r="W273" s="71"/>
    </row>
    <row r="274" spans="20:23" x14ac:dyDescent="0.25">
      <c r="T274" s="71"/>
      <c r="U274" s="71"/>
      <c r="V274" s="71"/>
      <c r="W274" s="71"/>
    </row>
    <row r="275" spans="20:23" x14ac:dyDescent="0.25">
      <c r="T275" s="71"/>
      <c r="U275" s="71"/>
      <c r="V275" s="71"/>
      <c r="W275" s="71"/>
    </row>
    <row r="276" spans="20:23" x14ac:dyDescent="0.25">
      <c r="T276" s="71"/>
      <c r="U276" s="71"/>
      <c r="V276" s="71"/>
      <c r="W276" s="71"/>
    </row>
    <row r="277" spans="20:23" x14ac:dyDescent="0.25">
      <c r="T277" s="71"/>
      <c r="U277" s="71"/>
      <c r="V277" s="71"/>
      <c r="W277" s="71"/>
    </row>
    <row r="278" spans="20:23" x14ac:dyDescent="0.25">
      <c r="T278" s="71"/>
      <c r="U278" s="71"/>
      <c r="V278" s="71"/>
      <c r="W278" s="71"/>
    </row>
    <row r="279" spans="20:23" x14ac:dyDescent="0.25">
      <c r="T279" s="71"/>
      <c r="U279" s="71"/>
      <c r="V279" s="71"/>
      <c r="W279" s="71"/>
    </row>
    <row r="280" spans="20:23" x14ac:dyDescent="0.25">
      <c r="T280" s="71"/>
      <c r="U280" s="71"/>
      <c r="V280" s="71"/>
      <c r="W280" s="71"/>
    </row>
    <row r="281" spans="20:23" x14ac:dyDescent="0.25">
      <c r="T281" s="71"/>
      <c r="U281" s="71"/>
      <c r="V281" s="71"/>
      <c r="W281" s="71"/>
    </row>
    <row r="282" spans="20:23" x14ac:dyDescent="0.25">
      <c r="T282" s="71"/>
      <c r="U282" s="71"/>
      <c r="V282" s="71"/>
      <c r="W282" s="71"/>
    </row>
    <row r="283" spans="20:23" x14ac:dyDescent="0.25">
      <c r="T283" s="71"/>
      <c r="U283" s="71"/>
      <c r="V283" s="71"/>
      <c r="W283" s="71"/>
    </row>
    <row r="284" spans="20:23" x14ac:dyDescent="0.25">
      <c r="T284" s="71"/>
      <c r="U284" s="71"/>
      <c r="V284" s="71"/>
      <c r="W284" s="71"/>
    </row>
    <row r="285" spans="20:23" x14ac:dyDescent="0.25">
      <c r="T285" s="71"/>
      <c r="U285" s="71"/>
      <c r="V285" s="71"/>
      <c r="W285" s="71"/>
    </row>
    <row r="286" spans="20:23" x14ac:dyDescent="0.25">
      <c r="T286" s="71"/>
      <c r="U286" s="71"/>
      <c r="V286" s="71"/>
      <c r="W286" s="71"/>
    </row>
    <row r="287" spans="20:23" x14ac:dyDescent="0.25">
      <c r="T287" s="71"/>
      <c r="U287" s="71"/>
      <c r="V287" s="71"/>
      <c r="W287" s="71"/>
    </row>
    <row r="288" spans="20:23" x14ac:dyDescent="0.25">
      <c r="T288" s="71"/>
      <c r="U288" s="71"/>
      <c r="V288" s="71"/>
      <c r="W288" s="71"/>
    </row>
    <row r="289" spans="20:23" x14ac:dyDescent="0.25">
      <c r="T289" s="71"/>
      <c r="U289" s="71"/>
      <c r="V289" s="71"/>
      <c r="W289" s="71"/>
    </row>
    <row r="290" spans="20:23" x14ac:dyDescent="0.25">
      <c r="T290" s="71"/>
      <c r="U290" s="71"/>
      <c r="V290" s="71"/>
      <c r="W290" s="71"/>
    </row>
    <row r="291" spans="20:23" x14ac:dyDescent="0.25">
      <c r="T291" s="71"/>
      <c r="U291" s="71"/>
      <c r="V291" s="71"/>
      <c r="W291" s="71"/>
    </row>
    <row r="292" spans="20:23" x14ac:dyDescent="0.25">
      <c r="T292" s="71"/>
      <c r="U292" s="71"/>
      <c r="V292" s="71"/>
      <c r="W292" s="71"/>
    </row>
    <row r="293" spans="20:23" x14ac:dyDescent="0.25">
      <c r="T293" s="71"/>
      <c r="U293" s="71"/>
      <c r="V293" s="71"/>
      <c r="W293" s="71"/>
    </row>
    <row r="294" spans="20:23" x14ac:dyDescent="0.25">
      <c r="T294" s="71"/>
      <c r="U294" s="71"/>
      <c r="V294" s="71"/>
      <c r="W294" s="71"/>
    </row>
    <row r="295" spans="20:23" x14ac:dyDescent="0.25">
      <c r="T295" s="71"/>
      <c r="U295" s="71"/>
      <c r="V295" s="71"/>
      <c r="W295" s="71"/>
    </row>
    <row r="296" spans="20:23" x14ac:dyDescent="0.25">
      <c r="T296" s="71"/>
      <c r="U296" s="71"/>
      <c r="V296" s="71"/>
      <c r="W296" s="71"/>
    </row>
    <row r="297" spans="20:23" x14ac:dyDescent="0.25">
      <c r="T297" s="71"/>
      <c r="U297" s="71"/>
      <c r="V297" s="71"/>
      <c r="W297" s="71"/>
    </row>
    <row r="298" spans="20:23" x14ac:dyDescent="0.25">
      <c r="T298" s="71"/>
      <c r="U298" s="71"/>
      <c r="V298" s="71"/>
      <c r="W298" s="71"/>
    </row>
    <row r="299" spans="20:23" x14ac:dyDescent="0.25">
      <c r="T299" s="71"/>
      <c r="U299" s="71"/>
      <c r="V299" s="71"/>
      <c r="W299" s="71"/>
    </row>
    <row r="300" spans="20:23" x14ac:dyDescent="0.25">
      <c r="T300" s="71"/>
      <c r="U300" s="71"/>
      <c r="V300" s="71"/>
      <c r="W300" s="71"/>
    </row>
    <row r="301" spans="20:23" x14ac:dyDescent="0.25">
      <c r="T301" s="71"/>
      <c r="U301" s="71"/>
      <c r="V301" s="71"/>
      <c r="W301" s="71"/>
    </row>
    <row r="302" spans="20:23" x14ac:dyDescent="0.25">
      <c r="T302" s="71"/>
      <c r="U302" s="71"/>
      <c r="V302" s="71"/>
      <c r="W302" s="71"/>
    </row>
    <row r="303" spans="20:23" x14ac:dyDescent="0.25">
      <c r="T303" s="71"/>
      <c r="U303" s="71"/>
      <c r="V303" s="71"/>
      <c r="W303" s="71"/>
    </row>
    <row r="304" spans="20:23" x14ac:dyDescent="0.25">
      <c r="T304" s="71"/>
      <c r="U304" s="71"/>
      <c r="V304" s="71"/>
      <c r="W304" s="71"/>
    </row>
    <row r="305" spans="20:23" x14ac:dyDescent="0.25">
      <c r="T305" s="71"/>
      <c r="U305" s="71"/>
      <c r="V305" s="71"/>
      <c r="W305" s="71"/>
    </row>
    <row r="306" spans="20:23" x14ac:dyDescent="0.25">
      <c r="T306" s="71"/>
      <c r="U306" s="71"/>
      <c r="V306" s="71"/>
      <c r="W306" s="71"/>
    </row>
    <row r="307" spans="20:23" x14ac:dyDescent="0.25">
      <c r="T307" s="71"/>
      <c r="U307" s="71"/>
      <c r="V307" s="71"/>
      <c r="W307" s="71"/>
    </row>
    <row r="308" spans="20:23" x14ac:dyDescent="0.25">
      <c r="T308" s="71"/>
      <c r="U308" s="71"/>
      <c r="V308" s="71"/>
      <c r="W308" s="71"/>
    </row>
    <row r="309" spans="20:23" x14ac:dyDescent="0.25">
      <c r="T309" s="71"/>
      <c r="U309" s="71"/>
      <c r="V309" s="71"/>
      <c r="W309" s="71"/>
    </row>
    <row r="310" spans="20:23" x14ac:dyDescent="0.25">
      <c r="T310" s="71"/>
      <c r="U310" s="71"/>
      <c r="V310" s="71"/>
      <c r="W310" s="71"/>
    </row>
    <row r="311" spans="20:23" x14ac:dyDescent="0.25">
      <c r="T311" s="71"/>
      <c r="U311" s="71"/>
      <c r="V311" s="71"/>
      <c r="W311" s="71"/>
    </row>
    <row r="312" spans="20:23" x14ac:dyDescent="0.25">
      <c r="T312" s="71"/>
      <c r="U312" s="71"/>
      <c r="V312" s="71"/>
      <c r="W312" s="71"/>
    </row>
    <row r="313" spans="20:23" x14ac:dyDescent="0.25">
      <c r="T313" s="71"/>
      <c r="U313" s="71"/>
      <c r="V313" s="71"/>
      <c r="W313" s="71"/>
    </row>
    <row r="314" spans="20:23" x14ac:dyDescent="0.25">
      <c r="T314" s="71"/>
      <c r="U314" s="71"/>
      <c r="V314" s="71"/>
      <c r="W314" s="71"/>
    </row>
    <row r="315" spans="20:23" x14ac:dyDescent="0.25">
      <c r="T315" s="71"/>
      <c r="U315" s="71"/>
      <c r="V315" s="71"/>
      <c r="W315" s="71"/>
    </row>
    <row r="316" spans="20:23" x14ac:dyDescent="0.25">
      <c r="T316" s="71"/>
      <c r="U316" s="71"/>
      <c r="V316" s="71"/>
      <c r="W316" s="71"/>
    </row>
    <row r="317" spans="20:23" x14ac:dyDescent="0.25">
      <c r="T317" s="71"/>
      <c r="U317" s="71"/>
      <c r="V317" s="71"/>
      <c r="W317" s="71"/>
    </row>
    <row r="318" spans="20:23" x14ac:dyDescent="0.25">
      <c r="T318" s="71"/>
      <c r="U318" s="71"/>
      <c r="V318" s="71"/>
      <c r="W318" s="71"/>
    </row>
    <row r="319" spans="20:23" x14ac:dyDescent="0.25">
      <c r="T319" s="71"/>
      <c r="U319" s="71"/>
      <c r="V319" s="71"/>
      <c r="W319" s="71"/>
    </row>
    <row r="320" spans="20:23" x14ac:dyDescent="0.25">
      <c r="T320" s="71"/>
      <c r="U320" s="71"/>
      <c r="V320" s="71"/>
      <c r="W320" s="71"/>
    </row>
    <row r="321" spans="20:23" x14ac:dyDescent="0.25">
      <c r="T321" s="71"/>
      <c r="U321" s="71"/>
      <c r="V321" s="71"/>
      <c r="W321" s="71"/>
    </row>
    <row r="322" spans="20:23" x14ac:dyDescent="0.25">
      <c r="T322" s="71"/>
      <c r="U322" s="71"/>
      <c r="V322" s="71"/>
      <c r="W322" s="71"/>
    </row>
    <row r="323" spans="20:23" x14ac:dyDescent="0.25">
      <c r="T323" s="71"/>
      <c r="U323" s="71"/>
      <c r="V323" s="71"/>
      <c r="W323" s="71"/>
    </row>
    <row r="324" spans="20:23" x14ac:dyDescent="0.25">
      <c r="T324" s="71"/>
      <c r="U324" s="71"/>
      <c r="V324" s="71"/>
      <c r="W324" s="71"/>
    </row>
    <row r="325" spans="20:23" x14ac:dyDescent="0.25">
      <c r="T325" s="71"/>
      <c r="U325" s="71"/>
      <c r="V325" s="71"/>
      <c r="W325" s="71"/>
    </row>
    <row r="326" spans="20:23" x14ac:dyDescent="0.25">
      <c r="T326" s="71"/>
      <c r="U326" s="71"/>
      <c r="V326" s="71"/>
      <c r="W326" s="71"/>
    </row>
    <row r="327" spans="20:23" x14ac:dyDescent="0.25">
      <c r="T327" s="71"/>
      <c r="U327" s="71"/>
      <c r="V327" s="71"/>
      <c r="W327" s="71"/>
    </row>
    <row r="328" spans="20:23" x14ac:dyDescent="0.25">
      <c r="T328" s="71"/>
      <c r="U328" s="71"/>
      <c r="V328" s="71"/>
      <c r="W328" s="71"/>
    </row>
    <row r="329" spans="20:23" x14ac:dyDescent="0.25">
      <c r="T329" s="71"/>
      <c r="U329" s="71"/>
      <c r="V329" s="71"/>
      <c r="W329" s="71"/>
    </row>
    <row r="330" spans="20:23" x14ac:dyDescent="0.25">
      <c r="T330" s="71"/>
      <c r="U330" s="71"/>
      <c r="V330" s="71"/>
      <c r="W330" s="71"/>
    </row>
    <row r="331" spans="20:23" x14ac:dyDescent="0.25">
      <c r="T331" s="71"/>
      <c r="U331" s="71"/>
      <c r="V331" s="71"/>
      <c r="W331" s="71"/>
    </row>
    <row r="332" spans="20:23" x14ac:dyDescent="0.25">
      <c r="T332" s="71"/>
      <c r="U332" s="71"/>
      <c r="V332" s="71"/>
      <c r="W332" s="71"/>
    </row>
    <row r="333" spans="20:23" x14ac:dyDescent="0.25">
      <c r="T333" s="71"/>
      <c r="U333" s="71"/>
      <c r="V333" s="71"/>
      <c r="W333" s="71"/>
    </row>
    <row r="334" spans="20:23" x14ac:dyDescent="0.25">
      <c r="T334" s="71"/>
      <c r="U334" s="71"/>
      <c r="V334" s="71"/>
      <c r="W334" s="71"/>
    </row>
    <row r="335" spans="20:23" x14ac:dyDescent="0.25">
      <c r="T335" s="71"/>
      <c r="U335" s="71"/>
      <c r="V335" s="71"/>
      <c r="W335" s="71"/>
    </row>
    <row r="336" spans="20:23" x14ac:dyDescent="0.25">
      <c r="T336" s="71"/>
      <c r="U336" s="71"/>
      <c r="V336" s="71"/>
      <c r="W336" s="71"/>
    </row>
    <row r="337" spans="20:23" x14ac:dyDescent="0.25">
      <c r="T337" s="71"/>
      <c r="U337" s="71"/>
      <c r="V337" s="71"/>
      <c r="W337" s="71"/>
    </row>
    <row r="338" spans="20:23" x14ac:dyDescent="0.25">
      <c r="T338" s="71"/>
      <c r="U338" s="71"/>
      <c r="V338" s="71"/>
      <c r="W338" s="71"/>
    </row>
    <row r="339" spans="20:23" x14ac:dyDescent="0.25">
      <c r="T339" s="71"/>
      <c r="U339" s="71"/>
      <c r="V339" s="71"/>
      <c r="W339" s="71"/>
    </row>
    <row r="340" spans="20:23" x14ac:dyDescent="0.25">
      <c r="T340" s="71"/>
      <c r="U340" s="71"/>
      <c r="V340" s="71"/>
      <c r="W340" s="71"/>
    </row>
    <row r="341" spans="20:23" x14ac:dyDescent="0.25">
      <c r="T341" s="71"/>
      <c r="U341" s="71"/>
      <c r="V341" s="71"/>
      <c r="W341" s="71"/>
    </row>
    <row r="342" spans="20:23" x14ac:dyDescent="0.25">
      <c r="T342" s="71"/>
      <c r="U342" s="71"/>
      <c r="V342" s="71"/>
      <c r="W342" s="71"/>
    </row>
    <row r="343" spans="20:23" x14ac:dyDescent="0.25">
      <c r="T343" s="71"/>
      <c r="U343" s="71"/>
      <c r="V343" s="71"/>
      <c r="W343" s="71"/>
    </row>
    <row r="344" spans="20:23" x14ac:dyDescent="0.25">
      <c r="T344" s="71"/>
      <c r="U344" s="71"/>
      <c r="V344" s="71"/>
      <c r="W344" s="71"/>
    </row>
    <row r="345" spans="20:23" x14ac:dyDescent="0.25">
      <c r="T345" s="71"/>
      <c r="U345" s="71"/>
      <c r="V345" s="71"/>
      <c r="W345" s="71"/>
    </row>
    <row r="346" spans="20:23" x14ac:dyDescent="0.25">
      <c r="T346" s="71"/>
      <c r="U346" s="71"/>
      <c r="V346" s="71"/>
      <c r="W346" s="71"/>
    </row>
    <row r="347" spans="20:23" x14ac:dyDescent="0.25">
      <c r="T347" s="71"/>
      <c r="U347" s="71"/>
      <c r="V347" s="71"/>
      <c r="W347" s="71"/>
    </row>
    <row r="348" spans="20:23" x14ac:dyDescent="0.25">
      <c r="T348" s="71"/>
      <c r="U348" s="71"/>
      <c r="V348" s="71"/>
      <c r="W348" s="71"/>
    </row>
    <row r="349" spans="20:23" x14ac:dyDescent="0.25">
      <c r="T349" s="71"/>
      <c r="U349" s="71"/>
      <c r="V349" s="71"/>
      <c r="W349" s="71"/>
    </row>
    <row r="350" spans="20:23" x14ac:dyDescent="0.25">
      <c r="T350" s="71"/>
      <c r="U350" s="71"/>
      <c r="V350" s="71"/>
      <c r="W350" s="71"/>
    </row>
    <row r="351" spans="20:23" x14ac:dyDescent="0.25">
      <c r="T351" s="71"/>
      <c r="U351" s="71"/>
      <c r="V351" s="71"/>
      <c r="W351" s="71"/>
    </row>
    <row r="352" spans="20:23" x14ac:dyDescent="0.25">
      <c r="T352" s="71"/>
      <c r="U352" s="71"/>
      <c r="V352" s="71"/>
      <c r="W352" s="71"/>
    </row>
    <row r="353" spans="20:23" x14ac:dyDescent="0.25">
      <c r="T353" s="71"/>
      <c r="U353" s="71"/>
      <c r="V353" s="71"/>
      <c r="W353" s="71"/>
    </row>
    <row r="354" spans="20:23" x14ac:dyDescent="0.25">
      <c r="T354" s="71"/>
      <c r="U354" s="71"/>
      <c r="V354" s="71"/>
      <c r="W354" s="71"/>
    </row>
    <row r="355" spans="20:23" x14ac:dyDescent="0.25">
      <c r="T355" s="71"/>
      <c r="U355" s="71"/>
      <c r="V355" s="71"/>
      <c r="W355" s="71"/>
    </row>
    <row r="356" spans="20:23" x14ac:dyDescent="0.25">
      <c r="T356" s="71"/>
      <c r="U356" s="71"/>
      <c r="V356" s="71"/>
      <c r="W356" s="71"/>
    </row>
    <row r="357" spans="20:23" x14ac:dyDescent="0.25">
      <c r="T357" s="71"/>
      <c r="U357" s="71"/>
      <c r="V357" s="71"/>
      <c r="W357" s="71"/>
    </row>
    <row r="358" spans="20:23" x14ac:dyDescent="0.25">
      <c r="T358" s="71"/>
      <c r="U358" s="71"/>
      <c r="V358" s="71"/>
      <c r="W358" s="71"/>
    </row>
    <row r="359" spans="20:23" x14ac:dyDescent="0.25">
      <c r="T359" s="71"/>
      <c r="U359" s="71"/>
      <c r="V359" s="71"/>
      <c r="W359" s="71"/>
    </row>
    <row r="360" spans="20:23" x14ac:dyDescent="0.25">
      <c r="T360" s="71"/>
      <c r="U360" s="71"/>
      <c r="V360" s="71"/>
      <c r="W360" s="71"/>
    </row>
    <row r="361" spans="20:23" x14ac:dyDescent="0.25">
      <c r="T361" s="71"/>
      <c r="U361" s="71"/>
      <c r="V361" s="71"/>
      <c r="W361" s="71"/>
    </row>
    <row r="362" spans="20:23" x14ac:dyDescent="0.25">
      <c r="T362" s="71"/>
      <c r="U362" s="71"/>
      <c r="V362" s="71"/>
      <c r="W362" s="71"/>
    </row>
    <row r="363" spans="20:23" x14ac:dyDescent="0.25">
      <c r="T363" s="71"/>
      <c r="U363" s="71"/>
      <c r="V363" s="71"/>
      <c r="W363" s="71"/>
    </row>
    <row r="364" spans="20:23" x14ac:dyDescent="0.25">
      <c r="T364" s="71"/>
      <c r="U364" s="71"/>
      <c r="V364" s="71"/>
      <c r="W364" s="71"/>
    </row>
    <row r="365" spans="20:23" x14ac:dyDescent="0.25">
      <c r="T365" s="71"/>
      <c r="U365" s="71"/>
      <c r="V365" s="71"/>
      <c r="W365" s="71"/>
    </row>
    <row r="366" spans="20:23" x14ac:dyDescent="0.25">
      <c r="T366" s="71"/>
      <c r="U366" s="71"/>
      <c r="V366" s="71"/>
      <c r="W366" s="71"/>
    </row>
    <row r="367" spans="20:23" x14ac:dyDescent="0.25">
      <c r="T367" s="71"/>
      <c r="U367" s="71"/>
      <c r="V367" s="71"/>
      <c r="W367" s="71"/>
    </row>
    <row r="368" spans="20:23" x14ac:dyDescent="0.25">
      <c r="T368" s="71"/>
      <c r="U368" s="71"/>
      <c r="V368" s="71"/>
      <c r="W368" s="71"/>
    </row>
    <row r="369" spans="20:23" x14ac:dyDescent="0.25">
      <c r="T369" s="71"/>
      <c r="U369" s="71"/>
      <c r="V369" s="71"/>
      <c r="W369" s="71"/>
    </row>
    <row r="370" spans="20:23" x14ac:dyDescent="0.25">
      <c r="T370" s="71"/>
      <c r="U370" s="71"/>
      <c r="V370" s="71"/>
      <c r="W370" s="71"/>
    </row>
    <row r="371" spans="20:23" x14ac:dyDescent="0.25">
      <c r="T371" s="71"/>
      <c r="U371" s="71"/>
      <c r="V371" s="71"/>
      <c r="W371" s="71"/>
    </row>
    <row r="372" spans="20:23" x14ac:dyDescent="0.25">
      <c r="T372" s="71"/>
      <c r="U372" s="71"/>
      <c r="V372" s="71"/>
      <c r="W372" s="71"/>
    </row>
    <row r="373" spans="20:23" x14ac:dyDescent="0.25">
      <c r="T373" s="71"/>
      <c r="U373" s="71"/>
      <c r="V373" s="71"/>
      <c r="W373" s="71"/>
    </row>
    <row r="374" spans="20:23" x14ac:dyDescent="0.25">
      <c r="T374" s="71"/>
      <c r="U374" s="71"/>
      <c r="V374" s="71"/>
      <c r="W374" s="71"/>
    </row>
    <row r="375" spans="20:23" x14ac:dyDescent="0.25">
      <c r="T375" s="71"/>
      <c r="U375" s="71"/>
      <c r="V375" s="71"/>
      <c r="W375" s="71"/>
    </row>
    <row r="376" spans="20:23" x14ac:dyDescent="0.25">
      <c r="T376" s="71"/>
      <c r="U376" s="71"/>
      <c r="V376" s="71"/>
      <c r="W376" s="71"/>
    </row>
    <row r="377" spans="20:23" x14ac:dyDescent="0.25">
      <c r="T377" s="71"/>
      <c r="U377" s="71"/>
      <c r="V377" s="71"/>
      <c r="W377" s="71"/>
    </row>
    <row r="378" spans="20:23" x14ac:dyDescent="0.25">
      <c r="T378" s="71"/>
      <c r="U378" s="71"/>
      <c r="V378" s="71"/>
      <c r="W378" s="71"/>
    </row>
    <row r="379" spans="20:23" x14ac:dyDescent="0.25">
      <c r="T379" s="71"/>
      <c r="U379" s="71"/>
      <c r="V379" s="71"/>
      <c r="W379" s="71"/>
    </row>
    <row r="380" spans="20:23" x14ac:dyDescent="0.25">
      <c r="T380" s="71"/>
      <c r="U380" s="71"/>
      <c r="V380" s="71"/>
      <c r="W380" s="71"/>
    </row>
    <row r="381" spans="20:23" x14ac:dyDescent="0.25">
      <c r="T381" s="71"/>
      <c r="U381" s="71"/>
      <c r="V381" s="71"/>
      <c r="W381" s="71"/>
    </row>
    <row r="382" spans="20:23" x14ac:dyDescent="0.25">
      <c r="T382" s="71"/>
      <c r="U382" s="71"/>
      <c r="V382" s="71"/>
      <c r="W382" s="71"/>
    </row>
    <row r="383" spans="20:23" x14ac:dyDescent="0.25">
      <c r="T383" s="71"/>
      <c r="U383" s="71"/>
      <c r="V383" s="71"/>
      <c r="W383" s="71"/>
    </row>
    <row r="384" spans="20:23" x14ac:dyDescent="0.25">
      <c r="T384" s="71"/>
      <c r="U384" s="71"/>
      <c r="V384" s="71"/>
      <c r="W384" s="71"/>
    </row>
    <row r="385" spans="20:23" x14ac:dyDescent="0.25">
      <c r="T385" s="71"/>
      <c r="U385" s="71"/>
      <c r="V385" s="71"/>
      <c r="W385" s="71"/>
    </row>
    <row r="386" spans="20:23" x14ac:dyDescent="0.25">
      <c r="T386" s="71"/>
      <c r="U386" s="71"/>
      <c r="V386" s="71"/>
      <c r="W386" s="71"/>
    </row>
    <row r="387" spans="20:23" x14ac:dyDescent="0.25">
      <c r="T387" s="71"/>
      <c r="U387" s="71"/>
      <c r="V387" s="71"/>
      <c r="W387" s="71"/>
    </row>
    <row r="388" spans="20:23" x14ac:dyDescent="0.25">
      <c r="T388" s="71"/>
      <c r="U388" s="71"/>
      <c r="V388" s="71"/>
      <c r="W388" s="71"/>
    </row>
    <row r="389" spans="20:23" x14ac:dyDescent="0.25">
      <c r="T389" s="71"/>
      <c r="U389" s="71"/>
      <c r="V389" s="71"/>
      <c r="W389" s="71"/>
    </row>
    <row r="390" spans="20:23" x14ac:dyDescent="0.25">
      <c r="T390" s="71"/>
      <c r="U390" s="71"/>
      <c r="V390" s="71"/>
      <c r="W390" s="71"/>
    </row>
    <row r="391" spans="20:23" x14ac:dyDescent="0.25">
      <c r="T391" s="71"/>
      <c r="U391" s="71"/>
      <c r="V391" s="71"/>
      <c r="W391" s="71"/>
    </row>
    <row r="392" spans="20:23" x14ac:dyDescent="0.25">
      <c r="T392" s="71"/>
      <c r="U392" s="71"/>
      <c r="V392" s="71"/>
      <c r="W392" s="71"/>
    </row>
    <row r="393" spans="20:23" x14ac:dyDescent="0.25">
      <c r="T393" s="71"/>
      <c r="U393" s="71"/>
      <c r="V393" s="71"/>
      <c r="W393" s="71"/>
    </row>
    <row r="394" spans="20:23" x14ac:dyDescent="0.25">
      <c r="T394" s="71"/>
      <c r="U394" s="71"/>
      <c r="V394" s="71"/>
      <c r="W394" s="71"/>
    </row>
    <row r="395" spans="20:23" x14ac:dyDescent="0.25">
      <c r="T395" s="71"/>
      <c r="U395" s="71"/>
      <c r="V395" s="71"/>
      <c r="W395" s="71"/>
    </row>
    <row r="396" spans="20:23" x14ac:dyDescent="0.25">
      <c r="T396" s="71"/>
      <c r="U396" s="71"/>
      <c r="V396" s="71"/>
      <c r="W396" s="71"/>
    </row>
    <row r="397" spans="20:23" x14ac:dyDescent="0.25">
      <c r="T397" s="71"/>
      <c r="U397" s="71"/>
      <c r="V397" s="71"/>
      <c r="W397" s="71"/>
    </row>
    <row r="398" spans="20:23" x14ac:dyDescent="0.25">
      <c r="T398" s="71"/>
      <c r="U398" s="71"/>
      <c r="V398" s="71"/>
      <c r="W398" s="71"/>
    </row>
    <row r="399" spans="20:23" x14ac:dyDescent="0.25">
      <c r="T399" s="71"/>
      <c r="U399" s="71"/>
      <c r="V399" s="71"/>
      <c r="W399" s="71"/>
    </row>
    <row r="400" spans="20:23" x14ac:dyDescent="0.25">
      <c r="T400" s="71"/>
      <c r="U400" s="71"/>
      <c r="V400" s="71"/>
      <c r="W400" s="71"/>
    </row>
    <row r="401" spans="20:23" x14ac:dyDescent="0.25">
      <c r="T401" s="71"/>
      <c r="U401" s="71"/>
      <c r="V401" s="71"/>
      <c r="W401" s="71"/>
    </row>
    <row r="402" spans="20:23" x14ac:dyDescent="0.25">
      <c r="T402" s="71"/>
      <c r="U402" s="71"/>
      <c r="V402" s="71"/>
      <c r="W402" s="71"/>
    </row>
    <row r="403" spans="20:23" x14ac:dyDescent="0.25">
      <c r="T403" s="71"/>
      <c r="U403" s="71"/>
      <c r="V403" s="71"/>
      <c r="W403" s="71"/>
    </row>
    <row r="404" spans="20:23" x14ac:dyDescent="0.25">
      <c r="T404" s="71"/>
      <c r="U404" s="71"/>
      <c r="V404" s="71"/>
      <c r="W404" s="71"/>
    </row>
    <row r="405" spans="20:23" x14ac:dyDescent="0.25">
      <c r="T405" s="71"/>
      <c r="U405" s="71"/>
      <c r="V405" s="71"/>
      <c r="W405" s="71"/>
    </row>
    <row r="406" spans="20:23" x14ac:dyDescent="0.25">
      <c r="T406" s="71"/>
      <c r="U406" s="71"/>
      <c r="V406" s="71"/>
      <c r="W406" s="71"/>
    </row>
    <row r="407" spans="20:23" x14ac:dyDescent="0.25">
      <c r="T407" s="71"/>
      <c r="U407" s="71"/>
      <c r="V407" s="71"/>
      <c r="W407" s="71"/>
    </row>
    <row r="408" spans="20:23" x14ac:dyDescent="0.25">
      <c r="T408" s="71"/>
      <c r="U408" s="71"/>
      <c r="V408" s="71"/>
      <c r="W408" s="71"/>
    </row>
    <row r="409" spans="20:23" x14ac:dyDescent="0.25">
      <c r="T409" s="71"/>
      <c r="U409" s="71"/>
      <c r="V409" s="71"/>
      <c r="W409" s="71"/>
    </row>
    <row r="410" spans="20:23" x14ac:dyDescent="0.25">
      <c r="T410" s="71"/>
      <c r="U410" s="71"/>
      <c r="V410" s="71"/>
      <c r="W410" s="71"/>
    </row>
    <row r="411" spans="20:23" x14ac:dyDescent="0.25">
      <c r="T411" s="71"/>
      <c r="U411" s="71"/>
      <c r="V411" s="71"/>
      <c r="W411" s="71"/>
    </row>
    <row r="412" spans="20:23" x14ac:dyDescent="0.25">
      <c r="T412" s="71"/>
      <c r="U412" s="71"/>
      <c r="V412" s="71"/>
      <c r="W412" s="71"/>
    </row>
    <row r="413" spans="20:23" x14ac:dyDescent="0.25">
      <c r="T413" s="71"/>
      <c r="U413" s="71"/>
      <c r="V413" s="71"/>
      <c r="W413" s="71"/>
    </row>
    <row r="414" spans="20:23" x14ac:dyDescent="0.25">
      <c r="T414" s="71"/>
      <c r="U414" s="71"/>
      <c r="V414" s="71"/>
      <c r="W414" s="71"/>
    </row>
    <row r="415" spans="20:23" x14ac:dyDescent="0.25">
      <c r="T415" s="71"/>
      <c r="U415" s="71"/>
      <c r="V415" s="71"/>
      <c r="W415" s="71"/>
    </row>
    <row r="416" spans="20:23" x14ac:dyDescent="0.25">
      <c r="T416" s="71"/>
      <c r="U416" s="71"/>
      <c r="V416" s="71"/>
      <c r="W416" s="71"/>
    </row>
    <row r="417" spans="20:23" x14ac:dyDescent="0.25">
      <c r="T417" s="71"/>
      <c r="U417" s="71"/>
      <c r="V417" s="71"/>
      <c r="W417" s="71"/>
    </row>
    <row r="418" spans="20:23" x14ac:dyDescent="0.25">
      <c r="T418" s="71"/>
      <c r="U418" s="71"/>
      <c r="V418" s="71"/>
      <c r="W418" s="71"/>
    </row>
    <row r="419" spans="20:23" x14ac:dyDescent="0.25">
      <c r="T419" s="71"/>
      <c r="U419" s="71"/>
      <c r="V419" s="71"/>
      <c r="W419" s="71"/>
    </row>
    <row r="420" spans="20:23" x14ac:dyDescent="0.25">
      <c r="T420" s="71"/>
      <c r="U420" s="71"/>
      <c r="V420" s="71"/>
      <c r="W420" s="71"/>
    </row>
    <row r="421" spans="20:23" x14ac:dyDescent="0.25">
      <c r="T421" s="71"/>
      <c r="U421" s="71"/>
      <c r="V421" s="71"/>
      <c r="W421" s="71"/>
    </row>
    <row r="422" spans="20:23" x14ac:dyDescent="0.25">
      <c r="T422" s="71"/>
      <c r="U422" s="71"/>
      <c r="V422" s="71"/>
      <c r="W422" s="71"/>
    </row>
    <row r="423" spans="20:23" x14ac:dyDescent="0.25">
      <c r="T423" s="71"/>
      <c r="U423" s="71"/>
      <c r="V423" s="71"/>
      <c r="W423" s="71"/>
    </row>
    <row r="424" spans="20:23" x14ac:dyDescent="0.25">
      <c r="T424" s="71"/>
      <c r="U424" s="71"/>
      <c r="V424" s="71"/>
      <c r="W424" s="71"/>
    </row>
    <row r="425" spans="20:23" x14ac:dyDescent="0.25">
      <c r="T425" s="71"/>
      <c r="U425" s="71"/>
      <c r="V425" s="71"/>
      <c r="W425" s="71"/>
    </row>
    <row r="426" spans="20:23" x14ac:dyDescent="0.25">
      <c r="T426" s="71"/>
      <c r="U426" s="71"/>
      <c r="V426" s="71"/>
      <c r="W426" s="71"/>
    </row>
    <row r="427" spans="20:23" x14ac:dyDescent="0.25">
      <c r="T427" s="71"/>
      <c r="U427" s="71"/>
      <c r="V427" s="71"/>
      <c r="W427" s="71"/>
    </row>
    <row r="428" spans="20:23" x14ac:dyDescent="0.25">
      <c r="T428" s="71"/>
      <c r="U428" s="71"/>
      <c r="V428" s="71"/>
      <c r="W428" s="71"/>
    </row>
    <row r="429" spans="20:23" x14ac:dyDescent="0.25">
      <c r="T429" s="71"/>
      <c r="U429" s="71"/>
      <c r="V429" s="71"/>
      <c r="W429" s="71"/>
    </row>
    <row r="430" spans="20:23" x14ac:dyDescent="0.25">
      <c r="T430" s="71"/>
      <c r="U430" s="71"/>
      <c r="V430" s="71"/>
      <c r="W430" s="71"/>
    </row>
    <row r="431" spans="20:23" x14ac:dyDescent="0.25">
      <c r="T431" s="71"/>
      <c r="U431" s="71"/>
      <c r="V431" s="71"/>
      <c r="W431" s="71"/>
    </row>
    <row r="432" spans="20:23" x14ac:dyDescent="0.25">
      <c r="T432" s="71"/>
      <c r="U432" s="71"/>
      <c r="V432" s="71"/>
      <c r="W432" s="71"/>
    </row>
    <row r="433" spans="20:23" x14ac:dyDescent="0.25">
      <c r="T433" s="71"/>
      <c r="U433" s="71"/>
      <c r="V433" s="71"/>
      <c r="W433" s="71"/>
    </row>
    <row r="434" spans="20:23" x14ac:dyDescent="0.25">
      <c r="T434" s="71"/>
      <c r="U434" s="71"/>
      <c r="V434" s="71"/>
      <c r="W434" s="71"/>
    </row>
    <row r="435" spans="20:23" x14ac:dyDescent="0.25">
      <c r="T435" s="71"/>
      <c r="U435" s="71"/>
      <c r="V435" s="71"/>
      <c r="W435" s="71"/>
    </row>
    <row r="436" spans="20:23" x14ac:dyDescent="0.25">
      <c r="T436" s="71"/>
      <c r="U436" s="71"/>
      <c r="V436" s="71"/>
      <c r="W436" s="71"/>
    </row>
    <row r="437" spans="20:23" x14ac:dyDescent="0.25">
      <c r="T437" s="71"/>
      <c r="U437" s="71"/>
      <c r="V437" s="71"/>
      <c r="W437" s="71"/>
    </row>
    <row r="438" spans="20:23" x14ac:dyDescent="0.25">
      <c r="T438" s="71"/>
      <c r="U438" s="71"/>
      <c r="V438" s="71"/>
      <c r="W438" s="71"/>
    </row>
    <row r="439" spans="20:23" x14ac:dyDescent="0.25">
      <c r="T439" s="71"/>
      <c r="U439" s="71"/>
      <c r="V439" s="71"/>
      <c r="W439" s="71"/>
    </row>
    <row r="440" spans="20:23" x14ac:dyDescent="0.25">
      <c r="T440" s="71"/>
      <c r="U440" s="71"/>
      <c r="V440" s="71"/>
      <c r="W440" s="71"/>
    </row>
    <row r="441" spans="20:23" x14ac:dyDescent="0.25">
      <c r="T441" s="71"/>
      <c r="U441" s="71"/>
      <c r="V441" s="71"/>
      <c r="W441" s="71"/>
    </row>
    <row r="442" spans="20:23" x14ac:dyDescent="0.25">
      <c r="T442" s="71"/>
      <c r="U442" s="71"/>
      <c r="V442" s="71"/>
      <c r="W442" s="71"/>
    </row>
    <row r="443" spans="20:23" x14ac:dyDescent="0.25">
      <c r="T443" s="71"/>
      <c r="U443" s="71"/>
      <c r="V443" s="71"/>
      <c r="W443" s="71"/>
    </row>
    <row r="444" spans="20:23" x14ac:dyDescent="0.25">
      <c r="T444" s="71"/>
      <c r="U444" s="71"/>
      <c r="V444" s="71"/>
      <c r="W444" s="71"/>
    </row>
    <row r="445" spans="20:23" x14ac:dyDescent="0.25">
      <c r="T445" s="71"/>
      <c r="U445" s="71"/>
      <c r="V445" s="71"/>
      <c r="W445" s="71"/>
    </row>
    <row r="446" spans="20:23" x14ac:dyDescent="0.25">
      <c r="T446" s="71"/>
      <c r="U446" s="71"/>
      <c r="V446" s="71"/>
      <c r="W446" s="71"/>
    </row>
    <row r="447" spans="20:23" x14ac:dyDescent="0.25">
      <c r="T447" s="71"/>
      <c r="U447" s="71"/>
      <c r="V447" s="71"/>
      <c r="W447" s="71"/>
    </row>
    <row r="448" spans="20:23" x14ac:dyDescent="0.25">
      <c r="T448" s="71"/>
      <c r="U448" s="71"/>
      <c r="V448" s="71"/>
      <c r="W448" s="71"/>
    </row>
    <row r="449" spans="20:23" x14ac:dyDescent="0.25">
      <c r="T449" s="71"/>
      <c r="U449" s="71"/>
      <c r="V449" s="71"/>
      <c r="W449" s="71"/>
    </row>
    <row r="450" spans="20:23" x14ac:dyDescent="0.25">
      <c r="T450" s="71"/>
      <c r="U450" s="71"/>
      <c r="V450" s="71"/>
      <c r="W450" s="71"/>
    </row>
    <row r="451" spans="20:23" x14ac:dyDescent="0.25">
      <c r="T451" s="71"/>
      <c r="U451" s="71"/>
      <c r="V451" s="71"/>
      <c r="W451" s="71"/>
    </row>
    <row r="452" spans="20:23" x14ac:dyDescent="0.25">
      <c r="T452" s="71"/>
      <c r="U452" s="71"/>
      <c r="V452" s="71"/>
      <c r="W452" s="71"/>
    </row>
    <row r="453" spans="20:23" x14ac:dyDescent="0.25">
      <c r="T453" s="71"/>
      <c r="U453" s="71"/>
      <c r="V453" s="71"/>
      <c r="W453" s="71"/>
    </row>
    <row r="454" spans="20:23" x14ac:dyDescent="0.25">
      <c r="T454" s="71"/>
      <c r="U454" s="71"/>
      <c r="V454" s="71"/>
      <c r="W454" s="71"/>
    </row>
    <row r="455" spans="20:23" x14ac:dyDescent="0.25">
      <c r="T455" s="71"/>
      <c r="U455" s="71"/>
      <c r="V455" s="71"/>
      <c r="W455" s="71"/>
    </row>
    <row r="456" spans="20:23" x14ac:dyDescent="0.25">
      <c r="T456" s="71"/>
      <c r="U456" s="71"/>
      <c r="V456" s="71"/>
      <c r="W456" s="71"/>
    </row>
    <row r="457" spans="20:23" x14ac:dyDescent="0.25">
      <c r="T457" s="71"/>
      <c r="U457" s="71"/>
      <c r="V457" s="71"/>
      <c r="W457" s="71"/>
    </row>
    <row r="458" spans="20:23" x14ac:dyDescent="0.25">
      <c r="T458" s="71"/>
      <c r="U458" s="71"/>
      <c r="V458" s="71"/>
      <c r="W458" s="71"/>
    </row>
    <row r="459" spans="20:23" x14ac:dyDescent="0.25">
      <c r="T459" s="71"/>
      <c r="U459" s="71"/>
      <c r="V459" s="71"/>
      <c r="W459" s="71"/>
    </row>
    <row r="460" spans="20:23" x14ac:dyDescent="0.25">
      <c r="T460" s="71"/>
      <c r="U460" s="71"/>
      <c r="V460" s="71"/>
      <c r="W460" s="71"/>
    </row>
    <row r="461" spans="20:23" x14ac:dyDescent="0.25">
      <c r="T461" s="71"/>
      <c r="U461" s="71"/>
      <c r="V461" s="71"/>
      <c r="W461" s="71"/>
    </row>
    <row r="462" spans="20:23" x14ac:dyDescent="0.25">
      <c r="T462" s="71"/>
      <c r="U462" s="71"/>
      <c r="V462" s="71"/>
      <c r="W462" s="71"/>
    </row>
    <row r="463" spans="20:23" x14ac:dyDescent="0.25">
      <c r="T463" s="71"/>
      <c r="U463" s="71"/>
      <c r="V463" s="71"/>
      <c r="W463" s="71"/>
    </row>
    <row r="464" spans="20:23" x14ac:dyDescent="0.25">
      <c r="T464" s="71"/>
      <c r="U464" s="71"/>
      <c r="V464" s="71"/>
      <c r="W464" s="71"/>
    </row>
    <row r="465" spans="20:23" x14ac:dyDescent="0.25">
      <c r="T465" s="71"/>
      <c r="U465" s="71"/>
      <c r="V465" s="71"/>
      <c r="W465" s="71"/>
    </row>
    <row r="466" spans="20:23" x14ac:dyDescent="0.25">
      <c r="T466" s="71"/>
      <c r="U466" s="71"/>
      <c r="V466" s="71"/>
      <c r="W466" s="71"/>
    </row>
    <row r="467" spans="20:23" x14ac:dyDescent="0.25">
      <c r="T467" s="71"/>
      <c r="U467" s="71"/>
      <c r="V467" s="71"/>
      <c r="W467" s="71"/>
    </row>
    <row r="468" spans="20:23" x14ac:dyDescent="0.25">
      <c r="T468" s="71"/>
      <c r="U468" s="71"/>
      <c r="V468" s="71"/>
      <c r="W468" s="71"/>
    </row>
    <row r="469" spans="20:23" x14ac:dyDescent="0.25">
      <c r="T469" s="71"/>
      <c r="U469" s="71"/>
      <c r="V469" s="71"/>
      <c r="W469" s="71"/>
    </row>
    <row r="470" spans="20:23" x14ac:dyDescent="0.25">
      <c r="T470" s="71"/>
      <c r="U470" s="71"/>
      <c r="V470" s="71"/>
      <c r="W470" s="71"/>
    </row>
    <row r="471" spans="20:23" x14ac:dyDescent="0.25">
      <c r="T471" s="71"/>
      <c r="U471" s="71"/>
      <c r="V471" s="71"/>
      <c r="W471" s="71"/>
    </row>
    <row r="472" spans="20:23" x14ac:dyDescent="0.25">
      <c r="T472" s="71"/>
      <c r="U472" s="71"/>
      <c r="V472" s="71"/>
      <c r="W472" s="71"/>
    </row>
    <row r="473" spans="20:23" x14ac:dyDescent="0.25">
      <c r="T473" s="71"/>
      <c r="U473" s="71"/>
      <c r="V473" s="71"/>
      <c r="W473" s="71"/>
    </row>
    <row r="474" spans="20:23" x14ac:dyDescent="0.25">
      <c r="T474" s="71"/>
      <c r="U474" s="71"/>
      <c r="V474" s="71"/>
      <c r="W474" s="71"/>
    </row>
    <row r="475" spans="20:23" x14ac:dyDescent="0.25">
      <c r="T475" s="71"/>
      <c r="U475" s="71"/>
      <c r="V475" s="71"/>
      <c r="W475" s="71"/>
    </row>
    <row r="476" spans="20:23" x14ac:dyDescent="0.25">
      <c r="T476" s="71"/>
      <c r="U476" s="71"/>
      <c r="V476" s="71"/>
      <c r="W476" s="71"/>
    </row>
    <row r="477" spans="20:23" x14ac:dyDescent="0.25">
      <c r="T477" s="71"/>
      <c r="U477" s="71"/>
      <c r="V477" s="71"/>
      <c r="W477" s="71"/>
    </row>
    <row r="478" spans="20:23" x14ac:dyDescent="0.25">
      <c r="T478" s="71"/>
      <c r="U478" s="71"/>
      <c r="V478" s="71"/>
      <c r="W478" s="71"/>
    </row>
    <row r="479" spans="20:23" x14ac:dyDescent="0.25">
      <c r="T479" s="71"/>
      <c r="U479" s="71"/>
      <c r="V479" s="71"/>
      <c r="W479" s="71"/>
    </row>
    <row r="480" spans="20:23" x14ac:dyDescent="0.25">
      <c r="T480" s="71"/>
      <c r="U480" s="71"/>
      <c r="V480" s="71"/>
      <c r="W480" s="71"/>
    </row>
    <row r="481" spans="20:23" x14ac:dyDescent="0.25">
      <c r="T481" s="71"/>
      <c r="U481" s="71"/>
      <c r="V481" s="71"/>
      <c r="W481" s="71"/>
    </row>
    <row r="482" spans="20:23" x14ac:dyDescent="0.25">
      <c r="T482" s="71"/>
      <c r="U482" s="71"/>
      <c r="V482" s="71"/>
      <c r="W482" s="71"/>
    </row>
    <row r="483" spans="20:23" x14ac:dyDescent="0.25">
      <c r="T483" s="71"/>
      <c r="U483" s="71"/>
      <c r="V483" s="71"/>
      <c r="W483" s="71"/>
    </row>
    <row r="484" spans="20:23" x14ac:dyDescent="0.25">
      <c r="T484" s="71"/>
      <c r="U484" s="71"/>
      <c r="V484" s="71"/>
      <c r="W484" s="71"/>
    </row>
    <row r="485" spans="20:23" x14ac:dyDescent="0.25">
      <c r="T485" s="71"/>
      <c r="U485" s="71"/>
      <c r="V485" s="71"/>
      <c r="W485" s="71"/>
    </row>
    <row r="486" spans="20:23" x14ac:dyDescent="0.25">
      <c r="T486" s="71"/>
      <c r="U486" s="71"/>
      <c r="V486" s="71"/>
      <c r="W486" s="71"/>
    </row>
    <row r="487" spans="20:23" x14ac:dyDescent="0.25">
      <c r="T487" s="71"/>
      <c r="U487" s="71"/>
      <c r="V487" s="71"/>
      <c r="W487" s="71"/>
    </row>
    <row r="488" spans="20:23" x14ac:dyDescent="0.25">
      <c r="T488" s="71"/>
      <c r="U488" s="71"/>
      <c r="V488" s="71"/>
      <c r="W488" s="71"/>
    </row>
    <row r="489" spans="20:23" x14ac:dyDescent="0.25">
      <c r="T489" s="71"/>
      <c r="U489" s="71"/>
      <c r="V489" s="71"/>
      <c r="W489" s="71"/>
    </row>
    <row r="490" spans="20:23" x14ac:dyDescent="0.25">
      <c r="T490" s="71"/>
      <c r="U490" s="71"/>
      <c r="V490" s="71"/>
      <c r="W490" s="71"/>
    </row>
    <row r="491" spans="20:23" x14ac:dyDescent="0.25">
      <c r="T491" s="71"/>
      <c r="U491" s="71"/>
      <c r="V491" s="71"/>
      <c r="W491" s="71"/>
    </row>
    <row r="492" spans="20:23" x14ac:dyDescent="0.25">
      <c r="T492" s="71"/>
      <c r="U492" s="71"/>
      <c r="V492" s="71"/>
      <c r="W492" s="71"/>
    </row>
    <row r="493" spans="20:23" x14ac:dyDescent="0.25">
      <c r="T493" s="71"/>
      <c r="U493" s="71"/>
      <c r="V493" s="71"/>
      <c r="W493" s="71"/>
    </row>
    <row r="494" spans="20:23" x14ac:dyDescent="0.25">
      <c r="T494" s="71"/>
      <c r="U494" s="71"/>
      <c r="V494" s="71"/>
      <c r="W494" s="71"/>
    </row>
    <row r="495" spans="20:23" x14ac:dyDescent="0.25">
      <c r="T495" s="71"/>
      <c r="U495" s="71"/>
      <c r="V495" s="71"/>
      <c r="W495" s="71"/>
    </row>
    <row r="496" spans="20:23" x14ac:dyDescent="0.25">
      <c r="T496" s="71"/>
      <c r="U496" s="71"/>
      <c r="V496" s="71"/>
      <c r="W496" s="71"/>
    </row>
    <row r="497" spans="20:23" x14ac:dyDescent="0.25">
      <c r="T497" s="71"/>
      <c r="U497" s="71"/>
      <c r="V497" s="71"/>
      <c r="W497" s="71"/>
    </row>
    <row r="498" spans="20:23" x14ac:dyDescent="0.25">
      <c r="T498" s="71"/>
      <c r="U498" s="71"/>
      <c r="V498" s="71"/>
      <c r="W498" s="71"/>
    </row>
    <row r="499" spans="20:23" x14ac:dyDescent="0.25">
      <c r="T499" s="71"/>
      <c r="U499" s="71"/>
      <c r="V499" s="71"/>
      <c r="W499" s="71"/>
    </row>
    <row r="500" spans="20:23" x14ac:dyDescent="0.25">
      <c r="T500" s="71"/>
      <c r="U500" s="71"/>
      <c r="V500" s="71"/>
      <c r="W500" s="71"/>
    </row>
    <row r="501" spans="20:23" x14ac:dyDescent="0.25">
      <c r="T501" s="71"/>
      <c r="U501" s="71"/>
      <c r="V501" s="71"/>
      <c r="W501" s="71"/>
    </row>
    <row r="502" spans="20:23" x14ac:dyDescent="0.25">
      <c r="T502" s="71"/>
      <c r="U502" s="71"/>
      <c r="V502" s="71"/>
      <c r="W502" s="71"/>
    </row>
    <row r="503" spans="20:23" x14ac:dyDescent="0.25">
      <c r="T503" s="71"/>
      <c r="U503" s="71"/>
      <c r="V503" s="71"/>
      <c r="W503" s="71"/>
    </row>
    <row r="504" spans="20:23" x14ac:dyDescent="0.25">
      <c r="T504" s="71"/>
      <c r="U504" s="71"/>
      <c r="V504" s="71"/>
      <c r="W504" s="71"/>
    </row>
    <row r="505" spans="20:23" x14ac:dyDescent="0.25">
      <c r="T505" s="71"/>
      <c r="U505" s="71"/>
      <c r="V505" s="71"/>
      <c r="W505" s="71"/>
    </row>
    <row r="506" spans="20:23" x14ac:dyDescent="0.25">
      <c r="T506" s="71"/>
      <c r="U506" s="71"/>
      <c r="V506" s="71"/>
      <c r="W506" s="71"/>
    </row>
    <row r="507" spans="20:23" x14ac:dyDescent="0.25">
      <c r="T507" s="71"/>
      <c r="U507" s="71"/>
      <c r="V507" s="71"/>
      <c r="W507" s="71"/>
    </row>
    <row r="508" spans="20:23" x14ac:dyDescent="0.25">
      <c r="T508" s="71"/>
      <c r="U508" s="71"/>
      <c r="V508" s="71"/>
      <c r="W508" s="71"/>
    </row>
    <row r="509" spans="20:23" x14ac:dyDescent="0.25">
      <c r="T509" s="71"/>
      <c r="U509" s="71"/>
      <c r="V509" s="71"/>
      <c r="W509" s="71"/>
    </row>
    <row r="510" spans="20:23" x14ac:dyDescent="0.25">
      <c r="T510" s="71"/>
      <c r="U510" s="71"/>
      <c r="V510" s="71"/>
      <c r="W510" s="71"/>
    </row>
    <row r="511" spans="20:23" x14ac:dyDescent="0.25">
      <c r="T511" s="71"/>
      <c r="U511" s="71"/>
      <c r="V511" s="71"/>
      <c r="W511" s="71"/>
    </row>
    <row r="512" spans="20:23" x14ac:dyDescent="0.25">
      <c r="T512" s="71"/>
      <c r="U512" s="71"/>
      <c r="V512" s="71"/>
      <c r="W512" s="71"/>
    </row>
    <row r="513" spans="20:23" x14ac:dyDescent="0.25">
      <c r="T513" s="71"/>
      <c r="U513" s="71"/>
      <c r="V513" s="71"/>
      <c r="W513" s="71"/>
    </row>
    <row r="514" spans="20:23" x14ac:dyDescent="0.25">
      <c r="T514" s="71"/>
      <c r="U514" s="71"/>
      <c r="V514" s="71"/>
      <c r="W514" s="71"/>
    </row>
    <row r="515" spans="20:23" x14ac:dyDescent="0.25">
      <c r="T515" s="71"/>
      <c r="U515" s="71"/>
      <c r="V515" s="71"/>
      <c r="W515" s="71"/>
    </row>
    <row r="516" spans="20:23" x14ac:dyDescent="0.25">
      <c r="T516" s="71"/>
      <c r="U516" s="71"/>
      <c r="V516" s="71"/>
      <c r="W516" s="71"/>
    </row>
    <row r="517" spans="20:23" x14ac:dyDescent="0.25">
      <c r="T517" s="71"/>
      <c r="U517" s="71"/>
      <c r="V517" s="71"/>
      <c r="W517" s="71"/>
    </row>
    <row r="518" spans="20:23" x14ac:dyDescent="0.25">
      <c r="T518" s="71"/>
      <c r="U518" s="71"/>
      <c r="V518" s="71"/>
      <c r="W518" s="71"/>
    </row>
    <row r="519" spans="20:23" x14ac:dyDescent="0.25">
      <c r="T519" s="71"/>
      <c r="U519" s="71"/>
      <c r="V519" s="71"/>
      <c r="W519" s="71"/>
    </row>
    <row r="520" spans="20:23" x14ac:dyDescent="0.25">
      <c r="T520" s="71"/>
      <c r="U520" s="71"/>
      <c r="V520" s="71"/>
      <c r="W520" s="71"/>
    </row>
    <row r="521" spans="20:23" x14ac:dyDescent="0.25">
      <c r="T521" s="71"/>
      <c r="U521" s="71"/>
      <c r="V521" s="71"/>
      <c r="W521" s="71"/>
    </row>
    <row r="522" spans="20:23" x14ac:dyDescent="0.25">
      <c r="T522" s="71"/>
      <c r="U522" s="71"/>
      <c r="V522" s="71"/>
      <c r="W522" s="71"/>
    </row>
    <row r="523" spans="20:23" x14ac:dyDescent="0.25">
      <c r="T523" s="71"/>
      <c r="U523" s="71"/>
      <c r="V523" s="71"/>
      <c r="W523" s="71"/>
    </row>
    <row r="524" spans="20:23" x14ac:dyDescent="0.25">
      <c r="T524" s="71"/>
      <c r="U524" s="71"/>
      <c r="V524" s="71"/>
      <c r="W524" s="71"/>
    </row>
    <row r="525" spans="20:23" x14ac:dyDescent="0.25">
      <c r="T525" s="71"/>
      <c r="U525" s="71"/>
      <c r="V525" s="71"/>
      <c r="W525" s="71"/>
    </row>
    <row r="526" spans="20:23" x14ac:dyDescent="0.25">
      <c r="T526" s="71"/>
      <c r="U526" s="71"/>
      <c r="V526" s="71"/>
      <c r="W526" s="71"/>
    </row>
    <row r="527" spans="20:23" x14ac:dyDescent="0.25">
      <c r="T527" s="71"/>
      <c r="U527" s="71"/>
      <c r="V527" s="71"/>
      <c r="W527" s="71"/>
    </row>
    <row r="528" spans="20:23" x14ac:dyDescent="0.25">
      <c r="T528" s="71"/>
      <c r="U528" s="71"/>
      <c r="V528" s="71"/>
      <c r="W528" s="71"/>
    </row>
    <row r="529" spans="20:23" x14ac:dyDescent="0.25">
      <c r="T529" s="71"/>
      <c r="U529" s="71"/>
      <c r="V529" s="71"/>
      <c r="W529" s="71"/>
    </row>
    <row r="530" spans="20:23" x14ac:dyDescent="0.25">
      <c r="T530" s="71"/>
      <c r="U530" s="71"/>
      <c r="V530" s="71"/>
      <c r="W530" s="71"/>
    </row>
    <row r="531" spans="20:23" x14ac:dyDescent="0.25">
      <c r="T531" s="71"/>
      <c r="U531" s="71"/>
      <c r="V531" s="71"/>
      <c r="W531" s="71"/>
    </row>
    <row r="532" spans="20:23" x14ac:dyDescent="0.25">
      <c r="T532" s="71"/>
      <c r="U532" s="71"/>
      <c r="V532" s="71"/>
      <c r="W532" s="71"/>
    </row>
    <row r="533" spans="20:23" x14ac:dyDescent="0.25">
      <c r="T533" s="71"/>
      <c r="U533" s="71"/>
      <c r="V533" s="71"/>
      <c r="W533" s="71"/>
    </row>
    <row r="534" spans="20:23" x14ac:dyDescent="0.25">
      <c r="T534" s="71"/>
      <c r="U534" s="71"/>
      <c r="V534" s="71"/>
      <c r="W534" s="71"/>
    </row>
    <row r="535" spans="20:23" x14ac:dyDescent="0.25">
      <c r="T535" s="71"/>
      <c r="U535" s="71"/>
      <c r="V535" s="71"/>
      <c r="W535" s="71"/>
    </row>
    <row r="536" spans="20:23" x14ac:dyDescent="0.25">
      <c r="T536" s="71"/>
      <c r="U536" s="71"/>
      <c r="V536" s="71"/>
      <c r="W536" s="71"/>
    </row>
    <row r="537" spans="20:23" x14ac:dyDescent="0.25">
      <c r="T537" s="71"/>
      <c r="U537" s="71"/>
      <c r="V537" s="71"/>
      <c r="W537" s="71"/>
    </row>
    <row r="538" spans="20:23" x14ac:dyDescent="0.25">
      <c r="T538" s="71"/>
      <c r="U538" s="71"/>
      <c r="V538" s="71"/>
      <c r="W538" s="71"/>
    </row>
    <row r="539" spans="20:23" x14ac:dyDescent="0.25">
      <c r="T539" s="71"/>
      <c r="U539" s="71"/>
      <c r="V539" s="71"/>
      <c r="W539" s="71"/>
    </row>
    <row r="540" spans="20:23" x14ac:dyDescent="0.25">
      <c r="T540" s="71"/>
      <c r="U540" s="71"/>
      <c r="V540" s="71"/>
      <c r="W540" s="71"/>
    </row>
    <row r="541" spans="20:23" x14ac:dyDescent="0.25">
      <c r="T541" s="71"/>
      <c r="U541" s="71"/>
      <c r="V541" s="71"/>
      <c r="W541" s="71"/>
    </row>
    <row r="542" spans="20:23" x14ac:dyDescent="0.25">
      <c r="T542" s="71"/>
      <c r="U542" s="71"/>
      <c r="V542" s="71"/>
      <c r="W542" s="71"/>
    </row>
    <row r="543" spans="20:23" x14ac:dyDescent="0.25">
      <c r="T543" s="71"/>
      <c r="U543" s="71"/>
      <c r="V543" s="71"/>
      <c r="W543" s="71"/>
    </row>
    <row r="544" spans="20:23" x14ac:dyDescent="0.25">
      <c r="T544" s="71"/>
      <c r="U544" s="71"/>
      <c r="V544" s="71"/>
      <c r="W544" s="71"/>
    </row>
    <row r="545" spans="20:23" x14ac:dyDescent="0.25">
      <c r="T545" s="71"/>
      <c r="U545" s="71"/>
      <c r="V545" s="71"/>
      <c r="W545" s="71"/>
    </row>
    <row r="546" spans="20:23" x14ac:dyDescent="0.25">
      <c r="T546" s="71"/>
      <c r="U546" s="71"/>
      <c r="V546" s="71"/>
      <c r="W546" s="71"/>
    </row>
    <row r="547" spans="20:23" x14ac:dyDescent="0.25">
      <c r="T547" s="71"/>
      <c r="U547" s="71"/>
      <c r="V547" s="71"/>
      <c r="W547" s="71"/>
    </row>
    <row r="548" spans="20:23" x14ac:dyDescent="0.25">
      <c r="T548" s="71"/>
      <c r="U548" s="71"/>
      <c r="V548" s="71"/>
      <c r="W548" s="71"/>
    </row>
    <row r="549" spans="20:23" x14ac:dyDescent="0.25">
      <c r="T549" s="71"/>
      <c r="U549" s="71"/>
      <c r="V549" s="71"/>
      <c r="W549" s="71"/>
    </row>
    <row r="550" spans="20:23" x14ac:dyDescent="0.25">
      <c r="T550" s="71"/>
      <c r="U550" s="71"/>
      <c r="V550" s="71"/>
      <c r="W550" s="71"/>
    </row>
    <row r="551" spans="20:23" x14ac:dyDescent="0.25">
      <c r="T551" s="71"/>
      <c r="U551" s="71"/>
      <c r="V551" s="71"/>
      <c r="W551" s="71"/>
    </row>
    <row r="552" spans="20:23" x14ac:dyDescent="0.25">
      <c r="T552" s="71"/>
      <c r="U552" s="71"/>
      <c r="V552" s="71"/>
      <c r="W552" s="71"/>
    </row>
    <row r="553" spans="20:23" x14ac:dyDescent="0.25">
      <c r="T553" s="71"/>
      <c r="U553" s="71"/>
      <c r="V553" s="71"/>
      <c r="W553" s="71"/>
    </row>
    <row r="554" spans="20:23" x14ac:dyDescent="0.25">
      <c r="T554" s="71"/>
      <c r="U554" s="71"/>
      <c r="V554" s="71"/>
      <c r="W554" s="71"/>
    </row>
    <row r="555" spans="20:23" x14ac:dyDescent="0.25">
      <c r="T555" s="71"/>
      <c r="U555" s="71"/>
      <c r="V555" s="71"/>
      <c r="W555" s="71"/>
    </row>
    <row r="556" spans="20:23" x14ac:dyDescent="0.25">
      <c r="T556" s="71"/>
      <c r="U556" s="71"/>
      <c r="V556" s="71"/>
      <c r="W556" s="71"/>
    </row>
    <row r="557" spans="20:23" x14ac:dyDescent="0.25">
      <c r="T557" s="71"/>
      <c r="U557" s="71"/>
      <c r="V557" s="71"/>
      <c r="W557" s="71"/>
    </row>
    <row r="558" spans="20:23" x14ac:dyDescent="0.25">
      <c r="T558" s="71"/>
      <c r="U558" s="71"/>
      <c r="V558" s="71"/>
      <c r="W558" s="71"/>
    </row>
    <row r="559" spans="20:23" x14ac:dyDescent="0.25">
      <c r="T559" s="71"/>
      <c r="U559" s="71"/>
      <c r="V559" s="71"/>
      <c r="W559" s="71"/>
    </row>
    <row r="560" spans="20:23" x14ac:dyDescent="0.25">
      <c r="T560" s="71"/>
      <c r="U560" s="71"/>
      <c r="V560" s="71"/>
      <c r="W560" s="71"/>
    </row>
    <row r="561" spans="20:23" x14ac:dyDescent="0.25">
      <c r="T561" s="71"/>
      <c r="U561" s="71"/>
      <c r="V561" s="71"/>
      <c r="W561" s="71"/>
    </row>
    <row r="562" spans="20:23" x14ac:dyDescent="0.25">
      <c r="T562" s="71"/>
      <c r="U562" s="71"/>
      <c r="V562" s="71"/>
      <c r="W562" s="71"/>
    </row>
    <row r="563" spans="20:23" x14ac:dyDescent="0.25">
      <c r="T563" s="71"/>
      <c r="U563" s="71"/>
      <c r="V563" s="71"/>
      <c r="W563" s="71"/>
    </row>
    <row r="564" spans="20:23" x14ac:dyDescent="0.25">
      <c r="T564" s="71"/>
      <c r="U564" s="71"/>
      <c r="V564" s="71"/>
      <c r="W564" s="71"/>
    </row>
    <row r="565" spans="20:23" x14ac:dyDescent="0.25">
      <c r="T565" s="71"/>
      <c r="U565" s="71"/>
      <c r="V565" s="71"/>
      <c r="W565" s="71"/>
    </row>
    <row r="566" spans="20:23" x14ac:dyDescent="0.25">
      <c r="T566" s="71"/>
      <c r="U566" s="71"/>
      <c r="V566" s="71"/>
      <c r="W566" s="71"/>
    </row>
    <row r="567" spans="20:23" x14ac:dyDescent="0.25">
      <c r="T567" s="71"/>
      <c r="U567" s="71"/>
      <c r="V567" s="71"/>
      <c r="W567" s="71"/>
    </row>
    <row r="568" spans="20:23" x14ac:dyDescent="0.25">
      <c r="T568" s="71"/>
      <c r="U568" s="71"/>
      <c r="V568" s="71"/>
      <c r="W568" s="71"/>
    </row>
    <row r="569" spans="20:23" x14ac:dyDescent="0.25">
      <c r="T569" s="71"/>
      <c r="U569" s="71"/>
      <c r="V569" s="71"/>
      <c r="W569" s="71"/>
    </row>
    <row r="570" spans="20:23" x14ac:dyDescent="0.25">
      <c r="T570" s="71"/>
      <c r="U570" s="71"/>
      <c r="V570" s="71"/>
      <c r="W570" s="71"/>
    </row>
    <row r="571" spans="20:23" x14ac:dyDescent="0.25">
      <c r="T571" s="71"/>
      <c r="U571" s="71"/>
      <c r="V571" s="71"/>
      <c r="W571" s="71"/>
    </row>
    <row r="572" spans="20:23" x14ac:dyDescent="0.25">
      <c r="T572" s="71"/>
      <c r="U572" s="71"/>
      <c r="V572" s="71"/>
      <c r="W572" s="71"/>
    </row>
    <row r="573" spans="20:23" x14ac:dyDescent="0.25">
      <c r="T573" s="71"/>
      <c r="U573" s="71"/>
      <c r="V573" s="71"/>
      <c r="W573" s="71"/>
    </row>
    <row r="574" spans="20:23" x14ac:dyDescent="0.25">
      <c r="T574" s="71"/>
      <c r="U574" s="71"/>
      <c r="V574" s="71"/>
      <c r="W574" s="71"/>
    </row>
    <row r="575" spans="20:23" x14ac:dyDescent="0.25">
      <c r="T575" s="71"/>
      <c r="U575" s="71"/>
      <c r="V575" s="71"/>
      <c r="W575" s="71"/>
    </row>
    <row r="576" spans="20:23" x14ac:dyDescent="0.25">
      <c r="T576" s="71"/>
      <c r="U576" s="71"/>
      <c r="V576" s="71"/>
      <c r="W576" s="71"/>
    </row>
    <row r="577" spans="20:23" x14ac:dyDescent="0.25">
      <c r="T577" s="71"/>
      <c r="U577" s="71"/>
      <c r="V577" s="71"/>
      <c r="W577" s="71"/>
    </row>
    <row r="578" spans="20:23" x14ac:dyDescent="0.25">
      <c r="T578" s="71"/>
      <c r="U578" s="71"/>
      <c r="V578" s="71"/>
      <c r="W578" s="71"/>
    </row>
    <row r="579" spans="20:23" x14ac:dyDescent="0.25">
      <c r="T579" s="71"/>
      <c r="U579" s="71"/>
      <c r="V579" s="71"/>
      <c r="W579" s="71"/>
    </row>
    <row r="580" spans="20:23" x14ac:dyDescent="0.25">
      <c r="T580" s="71"/>
      <c r="U580" s="71"/>
      <c r="V580" s="71"/>
      <c r="W580" s="71"/>
    </row>
    <row r="581" spans="20:23" x14ac:dyDescent="0.25">
      <c r="T581" s="71"/>
      <c r="U581" s="71"/>
      <c r="V581" s="71"/>
      <c r="W581" s="71"/>
    </row>
    <row r="582" spans="20:23" x14ac:dyDescent="0.25">
      <c r="T582" s="71"/>
      <c r="U582" s="71"/>
      <c r="V582" s="71"/>
      <c r="W582" s="71"/>
    </row>
    <row r="583" spans="20:23" x14ac:dyDescent="0.25">
      <c r="T583" s="71"/>
      <c r="U583" s="71"/>
      <c r="V583" s="71"/>
      <c r="W583" s="71"/>
    </row>
    <row r="584" spans="20:23" x14ac:dyDescent="0.25">
      <c r="T584" s="71"/>
      <c r="U584" s="71"/>
      <c r="V584" s="71"/>
      <c r="W584" s="71"/>
    </row>
    <row r="585" spans="20:23" x14ac:dyDescent="0.25">
      <c r="T585" s="71"/>
      <c r="U585" s="71"/>
      <c r="V585" s="71"/>
      <c r="W585" s="71"/>
    </row>
    <row r="586" spans="20:23" x14ac:dyDescent="0.25">
      <c r="T586" s="71"/>
      <c r="U586" s="71"/>
      <c r="V586" s="71"/>
      <c r="W586" s="71"/>
    </row>
    <row r="587" spans="20:23" x14ac:dyDescent="0.25">
      <c r="T587" s="71"/>
      <c r="U587" s="71"/>
      <c r="V587" s="71"/>
      <c r="W587" s="71"/>
    </row>
    <row r="588" spans="20:23" x14ac:dyDescent="0.25">
      <c r="T588" s="71"/>
      <c r="U588" s="71"/>
      <c r="V588" s="71"/>
      <c r="W588" s="71"/>
    </row>
    <row r="589" spans="20:23" x14ac:dyDescent="0.25">
      <c r="T589" s="71"/>
      <c r="U589" s="71"/>
      <c r="V589" s="71"/>
      <c r="W589" s="71"/>
    </row>
    <row r="590" spans="20:23" x14ac:dyDescent="0.25">
      <c r="T590" s="71"/>
      <c r="U590" s="71"/>
      <c r="V590" s="71"/>
      <c r="W590" s="71"/>
    </row>
    <row r="591" spans="20:23" x14ac:dyDescent="0.25">
      <c r="T591" s="71"/>
      <c r="U591" s="71"/>
      <c r="V591" s="71"/>
      <c r="W591" s="71"/>
    </row>
    <row r="592" spans="20:23" x14ac:dyDescent="0.25">
      <c r="T592" s="71"/>
      <c r="U592" s="71"/>
      <c r="V592" s="71"/>
      <c r="W592" s="71"/>
    </row>
    <row r="593" spans="20:23" x14ac:dyDescent="0.25">
      <c r="T593" s="71"/>
      <c r="U593" s="71"/>
      <c r="V593" s="71"/>
      <c r="W593" s="71"/>
    </row>
    <row r="594" spans="20:23" x14ac:dyDescent="0.25">
      <c r="T594" s="71"/>
      <c r="U594" s="71"/>
      <c r="V594" s="71"/>
      <c r="W594" s="71"/>
    </row>
    <row r="595" spans="20:23" x14ac:dyDescent="0.25">
      <c r="T595" s="71"/>
      <c r="U595" s="71"/>
      <c r="V595" s="71"/>
      <c r="W595" s="71"/>
    </row>
    <row r="596" spans="20:23" x14ac:dyDescent="0.25">
      <c r="T596" s="71"/>
      <c r="U596" s="71"/>
      <c r="V596" s="71"/>
      <c r="W596" s="71"/>
    </row>
    <row r="597" spans="20:23" x14ac:dyDescent="0.25">
      <c r="T597" s="71"/>
      <c r="U597" s="71"/>
      <c r="V597" s="71"/>
      <c r="W597" s="71"/>
    </row>
    <row r="598" spans="20:23" x14ac:dyDescent="0.25">
      <c r="T598" s="71"/>
      <c r="U598" s="71"/>
      <c r="V598" s="71"/>
      <c r="W598" s="71"/>
    </row>
    <row r="599" spans="20:23" x14ac:dyDescent="0.25">
      <c r="T599" s="71"/>
      <c r="U599" s="71"/>
      <c r="V599" s="71"/>
      <c r="W599" s="71"/>
    </row>
    <row r="600" spans="20:23" x14ac:dyDescent="0.25">
      <c r="T600" s="71"/>
      <c r="U600" s="71"/>
      <c r="V600" s="71"/>
      <c r="W600" s="71"/>
    </row>
    <row r="601" spans="20:23" x14ac:dyDescent="0.25">
      <c r="T601" s="71"/>
      <c r="U601" s="71"/>
      <c r="V601" s="71"/>
      <c r="W601" s="71"/>
    </row>
    <row r="602" spans="20:23" x14ac:dyDescent="0.25">
      <c r="T602" s="71"/>
      <c r="U602" s="71"/>
      <c r="V602" s="71"/>
      <c r="W602" s="71"/>
    </row>
    <row r="603" spans="20:23" x14ac:dyDescent="0.25">
      <c r="T603" s="71"/>
      <c r="U603" s="71"/>
      <c r="V603" s="71"/>
      <c r="W603" s="71"/>
    </row>
    <row r="604" spans="20:23" x14ac:dyDescent="0.25">
      <c r="T604" s="71"/>
      <c r="U604" s="71"/>
      <c r="V604" s="71"/>
      <c r="W604" s="71"/>
    </row>
    <row r="605" spans="20:23" x14ac:dyDescent="0.25">
      <c r="T605" s="71"/>
      <c r="U605" s="71"/>
      <c r="V605" s="71"/>
      <c r="W605" s="71"/>
    </row>
    <row r="606" spans="20:23" x14ac:dyDescent="0.25">
      <c r="T606" s="71"/>
      <c r="U606" s="71"/>
      <c r="V606" s="71"/>
      <c r="W606" s="71"/>
    </row>
    <row r="607" spans="20:23" x14ac:dyDescent="0.25">
      <c r="T607" s="71"/>
      <c r="U607" s="71"/>
      <c r="V607" s="71"/>
      <c r="W607" s="71"/>
    </row>
    <row r="608" spans="20:23" x14ac:dyDescent="0.25">
      <c r="T608" s="71"/>
      <c r="U608" s="71"/>
      <c r="V608" s="71"/>
      <c r="W608" s="71"/>
    </row>
    <row r="609" spans="20:23" x14ac:dyDescent="0.25">
      <c r="T609" s="71"/>
      <c r="U609" s="71"/>
      <c r="V609" s="71"/>
      <c r="W609" s="71"/>
    </row>
    <row r="610" spans="20:23" x14ac:dyDescent="0.25">
      <c r="T610" s="71"/>
      <c r="U610" s="71"/>
      <c r="V610" s="71"/>
      <c r="W610" s="71"/>
    </row>
    <row r="611" spans="20:23" x14ac:dyDescent="0.25">
      <c r="T611" s="71"/>
      <c r="U611" s="71"/>
      <c r="V611" s="71"/>
      <c r="W611" s="71"/>
    </row>
    <row r="612" spans="20:23" x14ac:dyDescent="0.25">
      <c r="T612" s="71"/>
      <c r="U612" s="71"/>
      <c r="V612" s="71"/>
      <c r="W612" s="71"/>
    </row>
    <row r="613" spans="20:23" x14ac:dyDescent="0.25">
      <c r="T613" s="71"/>
      <c r="U613" s="71"/>
      <c r="V613" s="71"/>
      <c r="W613" s="71"/>
    </row>
    <row r="614" spans="20:23" x14ac:dyDescent="0.25">
      <c r="T614" s="71"/>
      <c r="U614" s="71"/>
      <c r="V614" s="71"/>
      <c r="W614" s="71"/>
    </row>
    <row r="615" spans="20:23" x14ac:dyDescent="0.25">
      <c r="T615" s="71"/>
      <c r="U615" s="71"/>
      <c r="V615" s="71"/>
      <c r="W615" s="71"/>
    </row>
    <row r="616" spans="20:23" x14ac:dyDescent="0.25">
      <c r="T616" s="71"/>
      <c r="U616" s="71"/>
      <c r="V616" s="71"/>
      <c r="W616" s="71"/>
    </row>
    <row r="617" spans="20:23" x14ac:dyDescent="0.25">
      <c r="T617" s="71"/>
      <c r="U617" s="71"/>
      <c r="V617" s="71"/>
      <c r="W617" s="71"/>
    </row>
    <row r="618" spans="20:23" x14ac:dyDescent="0.25">
      <c r="T618" s="71"/>
      <c r="U618" s="71"/>
      <c r="V618" s="71"/>
      <c r="W618" s="71"/>
    </row>
    <row r="619" spans="20:23" x14ac:dyDescent="0.25">
      <c r="T619" s="71"/>
      <c r="U619" s="71"/>
      <c r="V619" s="71"/>
      <c r="W619" s="71"/>
    </row>
    <row r="620" spans="20:23" x14ac:dyDescent="0.25">
      <c r="T620" s="71"/>
      <c r="U620" s="71"/>
      <c r="V620" s="71"/>
      <c r="W620" s="71"/>
    </row>
    <row r="621" spans="20:23" x14ac:dyDescent="0.25">
      <c r="T621" s="71"/>
      <c r="U621" s="71"/>
      <c r="V621" s="71"/>
      <c r="W621" s="71"/>
    </row>
    <row r="622" spans="20:23" x14ac:dyDescent="0.25">
      <c r="T622" s="71"/>
      <c r="U622" s="71"/>
      <c r="V622" s="71"/>
      <c r="W622" s="71"/>
    </row>
    <row r="623" spans="20:23" x14ac:dyDescent="0.25">
      <c r="T623" s="71"/>
      <c r="U623" s="71"/>
      <c r="V623" s="71"/>
      <c r="W623" s="71"/>
    </row>
    <row r="624" spans="20:23" x14ac:dyDescent="0.25">
      <c r="T624" s="71"/>
      <c r="U624" s="71"/>
      <c r="V624" s="71"/>
      <c r="W624" s="71"/>
    </row>
    <row r="625" spans="20:23" x14ac:dyDescent="0.25">
      <c r="T625" s="71"/>
      <c r="U625" s="71"/>
      <c r="V625" s="71"/>
      <c r="W625" s="71"/>
    </row>
    <row r="626" spans="20:23" x14ac:dyDescent="0.25">
      <c r="T626" s="71"/>
      <c r="U626" s="71"/>
      <c r="V626" s="71"/>
      <c r="W626" s="71"/>
    </row>
    <row r="627" spans="20:23" x14ac:dyDescent="0.25">
      <c r="T627" s="71"/>
      <c r="U627" s="71"/>
      <c r="V627" s="71"/>
      <c r="W627" s="71"/>
    </row>
    <row r="628" spans="20:23" x14ac:dyDescent="0.25">
      <c r="T628" s="71"/>
      <c r="U628" s="71"/>
      <c r="V628" s="71"/>
      <c r="W628" s="71"/>
    </row>
    <row r="629" spans="20:23" x14ac:dyDescent="0.25">
      <c r="T629" s="71"/>
      <c r="U629" s="71"/>
      <c r="V629" s="71"/>
      <c r="W629" s="71"/>
    </row>
    <row r="630" spans="20:23" x14ac:dyDescent="0.25">
      <c r="T630" s="71"/>
      <c r="U630" s="71"/>
      <c r="V630" s="71"/>
      <c r="W630" s="71"/>
    </row>
    <row r="631" spans="20:23" x14ac:dyDescent="0.25">
      <c r="T631" s="71"/>
      <c r="U631" s="71"/>
      <c r="V631" s="71"/>
      <c r="W631" s="71"/>
    </row>
    <row r="632" spans="20:23" x14ac:dyDescent="0.25">
      <c r="T632" s="71"/>
      <c r="U632" s="71"/>
      <c r="V632" s="71"/>
      <c r="W632" s="71"/>
    </row>
    <row r="633" spans="20:23" x14ac:dyDescent="0.25">
      <c r="T633" s="71"/>
      <c r="U633" s="71"/>
      <c r="V633" s="71"/>
      <c r="W633" s="71"/>
    </row>
    <row r="634" spans="20:23" x14ac:dyDescent="0.25">
      <c r="T634" s="71"/>
      <c r="U634" s="71"/>
      <c r="V634" s="71"/>
      <c r="W634" s="71"/>
    </row>
    <row r="635" spans="20:23" x14ac:dyDescent="0.25">
      <c r="T635" s="71"/>
      <c r="U635" s="71"/>
      <c r="V635" s="71"/>
      <c r="W635" s="71"/>
    </row>
    <row r="636" spans="20:23" x14ac:dyDescent="0.25">
      <c r="T636" s="71"/>
      <c r="U636" s="71"/>
      <c r="V636" s="71"/>
      <c r="W636" s="71"/>
    </row>
    <row r="637" spans="20:23" x14ac:dyDescent="0.25">
      <c r="T637" s="71"/>
      <c r="U637" s="71"/>
      <c r="V637" s="71"/>
      <c r="W637" s="71"/>
    </row>
    <row r="638" spans="20:23" x14ac:dyDescent="0.25">
      <c r="T638" s="71"/>
      <c r="U638" s="71"/>
      <c r="V638" s="71"/>
      <c r="W638" s="71"/>
    </row>
    <row r="639" spans="20:23" x14ac:dyDescent="0.25">
      <c r="T639" s="71"/>
      <c r="U639" s="71"/>
      <c r="V639" s="71"/>
      <c r="W639" s="71"/>
    </row>
    <row r="640" spans="20:23" x14ac:dyDescent="0.25">
      <c r="T640" s="71"/>
      <c r="U640" s="71"/>
      <c r="V640" s="71"/>
      <c r="W640" s="71"/>
    </row>
    <row r="641" spans="20:23" x14ac:dyDescent="0.25">
      <c r="T641" s="71"/>
      <c r="U641" s="71"/>
      <c r="V641" s="71"/>
      <c r="W641" s="71"/>
    </row>
    <row r="642" spans="20:23" x14ac:dyDescent="0.25">
      <c r="T642" s="71"/>
      <c r="U642" s="71"/>
      <c r="V642" s="71"/>
      <c r="W642" s="71"/>
    </row>
    <row r="643" spans="20:23" x14ac:dyDescent="0.25">
      <c r="T643" s="71"/>
      <c r="U643" s="71"/>
      <c r="V643" s="71"/>
      <c r="W643" s="71"/>
    </row>
    <row r="644" spans="20:23" x14ac:dyDescent="0.25">
      <c r="T644" s="71"/>
      <c r="U644" s="71"/>
      <c r="V644" s="71"/>
      <c r="W644" s="71"/>
    </row>
    <row r="645" spans="20:23" x14ac:dyDescent="0.25">
      <c r="T645" s="71"/>
      <c r="U645" s="71"/>
      <c r="V645" s="71"/>
      <c r="W645" s="71"/>
    </row>
    <row r="646" spans="20:23" x14ac:dyDescent="0.25">
      <c r="T646" s="71"/>
      <c r="U646" s="71"/>
      <c r="V646" s="71"/>
      <c r="W646" s="71"/>
    </row>
    <row r="647" spans="20:23" x14ac:dyDescent="0.25">
      <c r="T647" s="71"/>
      <c r="U647" s="71"/>
      <c r="V647" s="71"/>
      <c r="W647" s="71"/>
    </row>
    <row r="648" spans="20:23" x14ac:dyDescent="0.25">
      <c r="T648" s="71"/>
      <c r="U648" s="71"/>
      <c r="V648" s="71"/>
      <c r="W648" s="71"/>
    </row>
    <row r="649" spans="20:23" x14ac:dyDescent="0.25">
      <c r="T649" s="71"/>
      <c r="U649" s="71"/>
      <c r="V649" s="71"/>
      <c r="W649" s="71"/>
    </row>
    <row r="650" spans="20:23" x14ac:dyDescent="0.25">
      <c r="T650" s="71"/>
      <c r="U650" s="71"/>
      <c r="V650" s="71"/>
      <c r="W650" s="71"/>
    </row>
    <row r="651" spans="20:23" x14ac:dyDescent="0.25">
      <c r="T651" s="71"/>
      <c r="U651" s="71"/>
      <c r="V651" s="71"/>
      <c r="W651" s="71"/>
    </row>
    <row r="652" spans="20:23" x14ac:dyDescent="0.25">
      <c r="T652" s="71"/>
      <c r="U652" s="71"/>
      <c r="V652" s="71"/>
      <c r="W652" s="71"/>
    </row>
    <row r="653" spans="20:23" x14ac:dyDescent="0.25">
      <c r="T653" s="71"/>
      <c r="U653" s="71"/>
      <c r="V653" s="71"/>
      <c r="W653" s="71"/>
    </row>
    <row r="654" spans="20:23" x14ac:dyDescent="0.25">
      <c r="T654" s="71"/>
      <c r="U654" s="71"/>
      <c r="V654" s="71"/>
      <c r="W654" s="71"/>
    </row>
    <row r="655" spans="20:23" x14ac:dyDescent="0.25">
      <c r="T655" s="71"/>
      <c r="U655" s="71"/>
      <c r="V655" s="71"/>
      <c r="W655" s="71"/>
    </row>
    <row r="656" spans="20:23" x14ac:dyDescent="0.25">
      <c r="T656" s="71"/>
      <c r="U656" s="71"/>
      <c r="V656" s="71"/>
      <c r="W656" s="71"/>
    </row>
    <row r="657" spans="20:23" x14ac:dyDescent="0.25">
      <c r="T657" s="71"/>
      <c r="U657" s="71"/>
      <c r="V657" s="71"/>
      <c r="W657" s="71"/>
    </row>
    <row r="658" spans="20:23" x14ac:dyDescent="0.25">
      <c r="T658" s="71"/>
      <c r="U658" s="71"/>
      <c r="V658" s="71"/>
      <c r="W658" s="71"/>
    </row>
    <row r="659" spans="20:23" x14ac:dyDescent="0.25">
      <c r="T659" s="71"/>
      <c r="U659" s="71"/>
      <c r="V659" s="71"/>
      <c r="W659" s="71"/>
    </row>
    <row r="660" spans="20:23" x14ac:dyDescent="0.25">
      <c r="T660" s="71"/>
      <c r="U660" s="71"/>
      <c r="V660" s="71"/>
      <c r="W660" s="71"/>
    </row>
    <row r="661" spans="20:23" x14ac:dyDescent="0.25">
      <c r="T661" s="71"/>
      <c r="U661" s="71"/>
      <c r="V661" s="71"/>
      <c r="W661" s="71"/>
    </row>
    <row r="662" spans="20:23" x14ac:dyDescent="0.25">
      <c r="T662" s="71"/>
      <c r="U662" s="71"/>
      <c r="V662" s="71"/>
      <c r="W662" s="71"/>
    </row>
    <row r="663" spans="20:23" x14ac:dyDescent="0.25">
      <c r="T663" s="71"/>
      <c r="U663" s="71"/>
      <c r="V663" s="71"/>
      <c r="W663" s="71"/>
    </row>
    <row r="664" spans="20:23" x14ac:dyDescent="0.25">
      <c r="T664" s="71"/>
      <c r="U664" s="71"/>
      <c r="V664" s="71"/>
      <c r="W664" s="71"/>
    </row>
    <row r="665" spans="20:23" x14ac:dyDescent="0.25">
      <c r="T665" s="71"/>
      <c r="U665" s="71"/>
      <c r="V665" s="71"/>
      <c r="W665" s="71"/>
    </row>
    <row r="666" spans="20:23" x14ac:dyDescent="0.25">
      <c r="T666" s="71"/>
      <c r="U666" s="71"/>
      <c r="V666" s="71"/>
      <c r="W666" s="71"/>
    </row>
    <row r="667" spans="20:23" x14ac:dyDescent="0.25">
      <c r="T667" s="71"/>
      <c r="U667" s="71"/>
      <c r="V667" s="71"/>
      <c r="W667" s="71"/>
    </row>
    <row r="668" spans="20:23" x14ac:dyDescent="0.25">
      <c r="T668" s="71"/>
      <c r="U668" s="71"/>
      <c r="V668" s="71"/>
      <c r="W668" s="71"/>
    </row>
    <row r="669" spans="20:23" x14ac:dyDescent="0.25">
      <c r="T669" s="71"/>
      <c r="U669" s="71"/>
      <c r="V669" s="71"/>
      <c r="W669" s="71"/>
    </row>
    <row r="670" spans="20:23" x14ac:dyDescent="0.25">
      <c r="T670" s="71"/>
      <c r="U670" s="71"/>
      <c r="V670" s="71"/>
      <c r="W670" s="71"/>
    </row>
    <row r="671" spans="20:23" x14ac:dyDescent="0.25">
      <c r="T671" s="71"/>
      <c r="U671" s="71"/>
      <c r="V671" s="71"/>
      <c r="W671" s="71"/>
    </row>
    <row r="672" spans="20:23" x14ac:dyDescent="0.25">
      <c r="T672" s="71"/>
      <c r="U672" s="71"/>
      <c r="V672" s="71"/>
      <c r="W672" s="71"/>
    </row>
    <row r="673" spans="20:23" x14ac:dyDescent="0.25">
      <c r="T673" s="71"/>
      <c r="U673" s="71"/>
      <c r="V673" s="71"/>
      <c r="W673" s="71"/>
    </row>
    <row r="674" spans="20:23" x14ac:dyDescent="0.25">
      <c r="T674" s="71"/>
      <c r="U674" s="71"/>
      <c r="V674" s="71"/>
      <c r="W674" s="71"/>
    </row>
    <row r="675" spans="20:23" x14ac:dyDescent="0.25">
      <c r="T675" s="71"/>
      <c r="U675" s="71"/>
      <c r="V675" s="71"/>
      <c r="W675" s="71"/>
    </row>
    <row r="676" spans="20:23" x14ac:dyDescent="0.25">
      <c r="T676" s="71"/>
      <c r="U676" s="71"/>
      <c r="V676" s="71"/>
      <c r="W676" s="71"/>
    </row>
    <row r="677" spans="20:23" x14ac:dyDescent="0.25">
      <c r="T677" s="71"/>
      <c r="U677" s="71"/>
      <c r="V677" s="71"/>
      <c r="W677" s="71"/>
    </row>
    <row r="678" spans="20:23" x14ac:dyDescent="0.25">
      <c r="T678" s="71"/>
      <c r="U678" s="71"/>
      <c r="V678" s="71"/>
      <c r="W678" s="71"/>
    </row>
    <row r="679" spans="20:23" x14ac:dyDescent="0.25">
      <c r="T679" s="71"/>
      <c r="U679" s="71"/>
      <c r="V679" s="71"/>
      <c r="W679" s="71"/>
    </row>
    <row r="680" spans="20:23" x14ac:dyDescent="0.25">
      <c r="T680" s="71"/>
      <c r="U680" s="71"/>
      <c r="V680" s="71"/>
      <c r="W680" s="71"/>
    </row>
    <row r="681" spans="20:23" x14ac:dyDescent="0.25">
      <c r="T681" s="71"/>
      <c r="U681" s="71"/>
      <c r="V681" s="71"/>
      <c r="W681" s="71"/>
    </row>
    <row r="682" spans="20:23" x14ac:dyDescent="0.25">
      <c r="T682" s="71"/>
      <c r="U682" s="71"/>
      <c r="V682" s="71"/>
      <c r="W682" s="71"/>
    </row>
    <row r="683" spans="20:23" x14ac:dyDescent="0.25">
      <c r="T683" s="71"/>
      <c r="U683" s="71"/>
      <c r="V683" s="71"/>
      <c r="W683" s="71"/>
    </row>
    <row r="684" spans="20:23" x14ac:dyDescent="0.25">
      <c r="T684" s="71"/>
      <c r="U684" s="71"/>
      <c r="V684" s="71"/>
      <c r="W684" s="71"/>
    </row>
    <row r="685" spans="20:23" x14ac:dyDescent="0.25">
      <c r="T685" s="71"/>
      <c r="U685" s="71"/>
      <c r="V685" s="71"/>
      <c r="W685" s="71"/>
    </row>
    <row r="686" spans="20:23" x14ac:dyDescent="0.25">
      <c r="T686" s="71"/>
      <c r="U686" s="71"/>
      <c r="V686" s="71"/>
      <c r="W686" s="71"/>
    </row>
    <row r="687" spans="20:23" x14ac:dyDescent="0.25">
      <c r="T687" s="71"/>
      <c r="U687" s="71"/>
      <c r="V687" s="71"/>
      <c r="W687" s="71"/>
    </row>
    <row r="688" spans="20:23" x14ac:dyDescent="0.25">
      <c r="T688" s="71"/>
      <c r="U688" s="71"/>
      <c r="V688" s="71"/>
      <c r="W688" s="71"/>
    </row>
    <row r="689" spans="20:23" x14ac:dyDescent="0.25">
      <c r="T689" s="71"/>
      <c r="U689" s="71"/>
      <c r="V689" s="71"/>
      <c r="W689" s="71"/>
    </row>
    <row r="690" spans="20:23" x14ac:dyDescent="0.25">
      <c r="T690" s="71"/>
      <c r="U690" s="71"/>
      <c r="V690" s="71"/>
      <c r="W690" s="71"/>
    </row>
    <row r="691" spans="20:23" x14ac:dyDescent="0.25">
      <c r="T691" s="71"/>
      <c r="U691" s="71"/>
      <c r="V691" s="71"/>
      <c r="W691" s="71"/>
    </row>
    <row r="692" spans="20:23" x14ac:dyDescent="0.25">
      <c r="T692" s="71"/>
      <c r="U692" s="71"/>
      <c r="V692" s="71"/>
      <c r="W692" s="71"/>
    </row>
    <row r="693" spans="20:23" x14ac:dyDescent="0.25">
      <c r="T693" s="71"/>
      <c r="U693" s="71"/>
      <c r="V693" s="71"/>
      <c r="W693" s="71"/>
    </row>
    <row r="694" spans="20:23" x14ac:dyDescent="0.25">
      <c r="T694" s="71"/>
      <c r="U694" s="71"/>
      <c r="V694" s="71"/>
      <c r="W694" s="71"/>
    </row>
    <row r="695" spans="20:23" x14ac:dyDescent="0.25">
      <c r="T695" s="71"/>
      <c r="U695" s="71"/>
      <c r="V695" s="71"/>
      <c r="W695" s="71"/>
    </row>
    <row r="696" spans="20:23" x14ac:dyDescent="0.25">
      <c r="T696" s="71"/>
      <c r="U696" s="71"/>
      <c r="V696" s="71"/>
      <c r="W696" s="71"/>
    </row>
    <row r="697" spans="20:23" x14ac:dyDescent="0.25">
      <c r="T697" s="71"/>
      <c r="U697" s="71"/>
      <c r="V697" s="71"/>
      <c r="W697" s="71"/>
    </row>
    <row r="698" spans="20:23" x14ac:dyDescent="0.25">
      <c r="T698" s="71"/>
      <c r="U698" s="71"/>
      <c r="V698" s="71"/>
      <c r="W698" s="71"/>
    </row>
    <row r="699" spans="20:23" x14ac:dyDescent="0.25">
      <c r="T699" s="71"/>
      <c r="U699" s="71"/>
      <c r="V699" s="71"/>
      <c r="W699" s="71"/>
    </row>
    <row r="700" spans="20:23" x14ac:dyDescent="0.25">
      <c r="T700" s="71"/>
      <c r="U700" s="71"/>
      <c r="V700" s="71"/>
      <c r="W700" s="71"/>
    </row>
    <row r="701" spans="20:23" x14ac:dyDescent="0.25">
      <c r="T701" s="71"/>
      <c r="U701" s="71"/>
      <c r="V701" s="71"/>
      <c r="W701" s="71"/>
    </row>
    <row r="702" spans="20:23" x14ac:dyDescent="0.25">
      <c r="T702" s="71"/>
      <c r="U702" s="71"/>
      <c r="V702" s="71"/>
      <c r="W702" s="71"/>
    </row>
    <row r="703" spans="20:23" x14ac:dyDescent="0.25">
      <c r="T703" s="71"/>
      <c r="U703" s="71"/>
      <c r="V703" s="71"/>
      <c r="W703" s="71"/>
    </row>
    <row r="704" spans="20:23" x14ac:dyDescent="0.25">
      <c r="T704" s="71"/>
      <c r="U704" s="71"/>
      <c r="V704" s="71"/>
      <c r="W704" s="71"/>
    </row>
    <row r="705" spans="20:23" x14ac:dyDescent="0.25">
      <c r="T705" s="71"/>
      <c r="U705" s="71"/>
      <c r="V705" s="71"/>
      <c r="W705" s="71"/>
    </row>
    <row r="706" spans="20:23" x14ac:dyDescent="0.25">
      <c r="T706" s="71"/>
      <c r="U706" s="71"/>
      <c r="V706" s="71"/>
      <c r="W706" s="71"/>
    </row>
    <row r="707" spans="20:23" x14ac:dyDescent="0.25">
      <c r="T707" s="71"/>
      <c r="U707" s="71"/>
      <c r="V707" s="71"/>
      <c r="W707" s="71"/>
    </row>
    <row r="708" spans="20:23" x14ac:dyDescent="0.25">
      <c r="T708" s="71"/>
      <c r="U708" s="71"/>
      <c r="V708" s="71"/>
      <c r="W708" s="71"/>
    </row>
    <row r="709" spans="20:23" x14ac:dyDescent="0.25">
      <c r="T709" s="71"/>
      <c r="U709" s="71"/>
      <c r="V709" s="71"/>
      <c r="W709" s="71"/>
    </row>
    <row r="710" spans="20:23" x14ac:dyDescent="0.25">
      <c r="T710" s="71"/>
      <c r="U710" s="71"/>
      <c r="V710" s="71"/>
      <c r="W710" s="71"/>
    </row>
    <row r="711" spans="20:23" x14ac:dyDescent="0.25">
      <c r="T711" s="71"/>
      <c r="U711" s="71"/>
      <c r="V711" s="71"/>
      <c r="W711" s="71"/>
    </row>
    <row r="712" spans="20:23" x14ac:dyDescent="0.25">
      <c r="T712" s="71"/>
      <c r="U712" s="71"/>
      <c r="V712" s="71"/>
      <c r="W712" s="71"/>
    </row>
    <row r="713" spans="20:23" x14ac:dyDescent="0.25">
      <c r="T713" s="71"/>
      <c r="U713" s="71"/>
      <c r="V713" s="71"/>
      <c r="W713" s="71"/>
    </row>
    <row r="714" spans="20:23" x14ac:dyDescent="0.25">
      <c r="T714" s="71"/>
      <c r="U714" s="71"/>
      <c r="V714" s="71"/>
      <c r="W714" s="71"/>
    </row>
    <row r="715" spans="20:23" x14ac:dyDescent="0.25">
      <c r="T715" s="71"/>
      <c r="U715" s="71"/>
      <c r="V715" s="71"/>
      <c r="W715" s="71"/>
    </row>
    <row r="716" spans="20:23" x14ac:dyDescent="0.25">
      <c r="T716" s="71"/>
      <c r="U716" s="71"/>
      <c r="V716" s="71"/>
      <c r="W716" s="71"/>
    </row>
    <row r="717" spans="20:23" x14ac:dyDescent="0.25">
      <c r="T717" s="71"/>
      <c r="U717" s="71"/>
      <c r="V717" s="71"/>
      <c r="W717" s="71"/>
    </row>
    <row r="718" spans="20:23" x14ac:dyDescent="0.25">
      <c r="T718" s="71"/>
      <c r="U718" s="71"/>
      <c r="V718" s="71"/>
      <c r="W718" s="71"/>
    </row>
    <row r="719" spans="20:23" x14ac:dyDescent="0.25">
      <c r="T719" s="71"/>
      <c r="U719" s="71"/>
      <c r="V719" s="71"/>
      <c r="W719" s="71"/>
    </row>
    <row r="720" spans="20:23" x14ac:dyDescent="0.25">
      <c r="T720" s="71"/>
      <c r="U720" s="71"/>
      <c r="V720" s="71"/>
      <c r="W720" s="71"/>
    </row>
    <row r="721" spans="20:23" x14ac:dyDescent="0.25">
      <c r="T721" s="71"/>
      <c r="U721" s="71"/>
      <c r="V721" s="71"/>
      <c r="W721" s="71"/>
    </row>
    <row r="722" spans="20:23" x14ac:dyDescent="0.25">
      <c r="T722" s="71"/>
      <c r="U722" s="71"/>
      <c r="V722" s="71"/>
      <c r="W722" s="71"/>
    </row>
    <row r="723" spans="20:23" x14ac:dyDescent="0.25">
      <c r="T723" s="71"/>
      <c r="U723" s="71"/>
      <c r="V723" s="71"/>
      <c r="W723" s="71"/>
    </row>
    <row r="724" spans="20:23" x14ac:dyDescent="0.25">
      <c r="T724" s="71"/>
      <c r="U724" s="71"/>
      <c r="V724" s="71"/>
      <c r="W724" s="71"/>
    </row>
    <row r="725" spans="20:23" x14ac:dyDescent="0.25">
      <c r="T725" s="71"/>
      <c r="U725" s="71"/>
      <c r="V725" s="71"/>
      <c r="W725" s="71"/>
    </row>
    <row r="726" spans="20:23" x14ac:dyDescent="0.25">
      <c r="T726" s="71"/>
      <c r="U726" s="71"/>
      <c r="V726" s="71"/>
      <c r="W726" s="71"/>
    </row>
    <row r="727" spans="20:23" x14ac:dyDescent="0.25">
      <c r="T727" s="71"/>
      <c r="U727" s="71"/>
      <c r="V727" s="71"/>
      <c r="W727" s="71"/>
    </row>
    <row r="728" spans="20:23" x14ac:dyDescent="0.25">
      <c r="T728" s="71"/>
      <c r="U728" s="71"/>
      <c r="V728" s="71"/>
      <c r="W728" s="71"/>
    </row>
    <row r="729" spans="20:23" x14ac:dyDescent="0.25">
      <c r="T729" s="71"/>
      <c r="U729" s="71"/>
      <c r="V729" s="71"/>
      <c r="W729" s="71"/>
    </row>
    <row r="730" spans="20:23" x14ac:dyDescent="0.25">
      <c r="T730" s="71"/>
      <c r="U730" s="71"/>
      <c r="V730" s="71"/>
      <c r="W730" s="71"/>
    </row>
    <row r="731" spans="20:23" x14ac:dyDescent="0.25">
      <c r="T731" s="71"/>
      <c r="U731" s="71"/>
      <c r="V731" s="71"/>
      <c r="W731" s="71"/>
    </row>
    <row r="732" spans="20:23" x14ac:dyDescent="0.25">
      <c r="T732" s="71"/>
      <c r="U732" s="71"/>
      <c r="V732" s="71"/>
      <c r="W732" s="71"/>
    </row>
    <row r="733" spans="20:23" x14ac:dyDescent="0.25">
      <c r="T733" s="71"/>
      <c r="U733" s="71"/>
      <c r="V733" s="71"/>
      <c r="W733" s="71"/>
    </row>
    <row r="734" spans="20:23" x14ac:dyDescent="0.25">
      <c r="T734" s="71"/>
      <c r="U734" s="71"/>
      <c r="V734" s="71"/>
      <c r="W734" s="71"/>
    </row>
    <row r="735" spans="20:23" x14ac:dyDescent="0.25">
      <c r="T735" s="71"/>
      <c r="U735" s="71"/>
      <c r="V735" s="71"/>
      <c r="W735" s="71"/>
    </row>
    <row r="736" spans="20:23" x14ac:dyDescent="0.25">
      <c r="T736" s="71"/>
      <c r="U736" s="71"/>
      <c r="V736" s="71"/>
      <c r="W736" s="71"/>
    </row>
    <row r="737" spans="20:23" x14ac:dyDescent="0.25">
      <c r="T737" s="71"/>
      <c r="U737" s="71"/>
      <c r="V737" s="71"/>
      <c r="W737" s="71"/>
    </row>
    <row r="738" spans="20:23" x14ac:dyDescent="0.25">
      <c r="T738" s="71"/>
      <c r="U738" s="71"/>
      <c r="V738" s="71"/>
      <c r="W738" s="71"/>
    </row>
    <row r="739" spans="20:23" x14ac:dyDescent="0.25">
      <c r="T739" s="71"/>
      <c r="U739" s="71"/>
      <c r="V739" s="71"/>
      <c r="W739" s="71"/>
    </row>
    <row r="740" spans="20:23" x14ac:dyDescent="0.25">
      <c r="T740" s="71"/>
      <c r="U740" s="71"/>
      <c r="V740" s="71"/>
      <c r="W740" s="71"/>
    </row>
    <row r="741" spans="20:23" x14ac:dyDescent="0.25">
      <c r="T741" s="71"/>
      <c r="U741" s="71"/>
      <c r="V741" s="71"/>
      <c r="W741" s="71"/>
    </row>
    <row r="742" spans="20:23" x14ac:dyDescent="0.25">
      <c r="T742" s="71"/>
      <c r="U742" s="71"/>
      <c r="V742" s="71"/>
      <c r="W742" s="71"/>
    </row>
    <row r="743" spans="20:23" x14ac:dyDescent="0.25">
      <c r="T743" s="71"/>
      <c r="U743" s="71"/>
      <c r="V743" s="71"/>
      <c r="W743" s="71"/>
    </row>
    <row r="744" spans="20:23" x14ac:dyDescent="0.25">
      <c r="T744" s="71"/>
      <c r="U744" s="71"/>
      <c r="V744" s="71"/>
      <c r="W744" s="71"/>
    </row>
    <row r="745" spans="20:23" x14ac:dyDescent="0.25">
      <c r="T745" s="71"/>
      <c r="U745" s="71"/>
      <c r="V745" s="71"/>
      <c r="W745" s="71"/>
    </row>
    <row r="746" spans="20:23" x14ac:dyDescent="0.25">
      <c r="T746" s="71"/>
      <c r="U746" s="71"/>
      <c r="V746" s="71"/>
      <c r="W746" s="71"/>
    </row>
    <row r="747" spans="20:23" x14ac:dyDescent="0.25">
      <c r="T747" s="71"/>
      <c r="U747" s="71"/>
      <c r="V747" s="71"/>
      <c r="W747" s="71"/>
    </row>
    <row r="748" spans="20:23" x14ac:dyDescent="0.25">
      <c r="T748" s="71"/>
      <c r="U748" s="71"/>
      <c r="V748" s="71"/>
      <c r="W748" s="71"/>
    </row>
    <row r="749" spans="20:23" x14ac:dyDescent="0.25">
      <c r="T749" s="71"/>
      <c r="U749" s="71"/>
      <c r="V749" s="71"/>
      <c r="W749" s="71"/>
    </row>
    <row r="750" spans="20:23" x14ac:dyDescent="0.25">
      <c r="T750" s="71"/>
      <c r="U750" s="71"/>
      <c r="V750" s="71"/>
      <c r="W750" s="71"/>
    </row>
    <row r="751" spans="20:23" x14ac:dyDescent="0.25">
      <c r="T751" s="71"/>
      <c r="U751" s="71"/>
      <c r="V751" s="71"/>
      <c r="W751" s="71"/>
    </row>
    <row r="752" spans="20:23" x14ac:dyDescent="0.25">
      <c r="T752" s="71"/>
      <c r="U752" s="71"/>
      <c r="V752" s="71"/>
      <c r="W752" s="71"/>
    </row>
    <row r="753" spans="20:23" x14ac:dyDescent="0.25">
      <c r="T753" s="71"/>
      <c r="U753" s="71"/>
      <c r="V753" s="71"/>
      <c r="W753" s="71"/>
    </row>
    <row r="754" spans="20:23" x14ac:dyDescent="0.25">
      <c r="T754" s="71"/>
      <c r="U754" s="71"/>
      <c r="V754" s="71"/>
      <c r="W754" s="71"/>
    </row>
    <row r="755" spans="20:23" x14ac:dyDescent="0.25">
      <c r="T755" s="71"/>
      <c r="U755" s="71"/>
      <c r="V755" s="71"/>
      <c r="W755" s="71"/>
    </row>
    <row r="756" spans="20:23" x14ac:dyDescent="0.25">
      <c r="T756" s="71"/>
      <c r="U756" s="71"/>
      <c r="V756" s="71"/>
      <c r="W756" s="71"/>
    </row>
    <row r="757" spans="20:23" x14ac:dyDescent="0.25">
      <c r="T757" s="71"/>
      <c r="U757" s="71"/>
      <c r="V757" s="71"/>
      <c r="W757" s="71"/>
    </row>
    <row r="758" spans="20:23" x14ac:dyDescent="0.25">
      <c r="T758" s="71"/>
      <c r="U758" s="71"/>
      <c r="V758" s="71"/>
      <c r="W758" s="71"/>
    </row>
    <row r="759" spans="20:23" x14ac:dyDescent="0.25">
      <c r="T759" s="71"/>
      <c r="U759" s="71"/>
      <c r="V759" s="71"/>
      <c r="W759" s="71"/>
    </row>
    <row r="760" spans="20:23" x14ac:dyDescent="0.25">
      <c r="T760" s="71"/>
      <c r="U760" s="71"/>
      <c r="V760" s="71"/>
      <c r="W760" s="71"/>
    </row>
    <row r="761" spans="20:23" x14ac:dyDescent="0.25">
      <c r="T761" s="71"/>
      <c r="U761" s="71"/>
      <c r="V761" s="71"/>
      <c r="W761" s="71"/>
    </row>
    <row r="762" spans="20:23" x14ac:dyDescent="0.25">
      <c r="T762" s="71"/>
      <c r="U762" s="71"/>
      <c r="V762" s="71"/>
      <c r="W762" s="71"/>
    </row>
    <row r="763" spans="20:23" x14ac:dyDescent="0.25">
      <c r="T763" s="71"/>
      <c r="U763" s="71"/>
      <c r="V763" s="71"/>
      <c r="W763" s="71"/>
    </row>
    <row r="764" spans="20:23" x14ac:dyDescent="0.25">
      <c r="T764" s="71"/>
      <c r="U764" s="71"/>
      <c r="V764" s="71"/>
      <c r="W764" s="71"/>
    </row>
    <row r="765" spans="20:23" x14ac:dyDescent="0.25">
      <c r="T765" s="71"/>
      <c r="U765" s="71"/>
      <c r="V765" s="71"/>
      <c r="W765" s="71"/>
    </row>
    <row r="766" spans="20:23" x14ac:dyDescent="0.25">
      <c r="T766" s="71"/>
      <c r="U766" s="71"/>
      <c r="V766" s="71"/>
      <c r="W766" s="71"/>
    </row>
    <row r="767" spans="20:23" x14ac:dyDescent="0.25">
      <c r="T767" s="71"/>
      <c r="U767" s="71"/>
      <c r="V767" s="71"/>
      <c r="W767" s="71"/>
    </row>
    <row r="768" spans="20:23" x14ac:dyDescent="0.25">
      <c r="T768" s="71"/>
      <c r="U768" s="71"/>
      <c r="V768" s="71"/>
      <c r="W768" s="71"/>
    </row>
    <row r="769" spans="20:23" x14ac:dyDescent="0.25">
      <c r="T769" s="71"/>
      <c r="U769" s="71"/>
      <c r="V769" s="71"/>
      <c r="W769" s="71"/>
    </row>
    <row r="770" spans="20:23" x14ac:dyDescent="0.25">
      <c r="T770" s="71"/>
      <c r="U770" s="71"/>
      <c r="V770" s="71"/>
      <c r="W770" s="71"/>
    </row>
    <row r="771" spans="20:23" x14ac:dyDescent="0.25">
      <c r="T771" s="71"/>
      <c r="U771" s="71"/>
      <c r="V771" s="71"/>
      <c r="W771" s="71"/>
    </row>
    <row r="772" spans="20:23" x14ac:dyDescent="0.25">
      <c r="T772" s="71"/>
      <c r="U772" s="71"/>
      <c r="V772" s="71"/>
      <c r="W772" s="71"/>
    </row>
    <row r="773" spans="20:23" x14ac:dyDescent="0.25">
      <c r="T773" s="71"/>
      <c r="U773" s="71"/>
      <c r="V773" s="71"/>
      <c r="W773" s="71"/>
    </row>
    <row r="774" spans="20:23" x14ac:dyDescent="0.25">
      <c r="T774" s="71"/>
      <c r="U774" s="71"/>
      <c r="V774" s="71"/>
      <c r="W774" s="71"/>
    </row>
    <row r="775" spans="20:23" x14ac:dyDescent="0.25">
      <c r="T775" s="71"/>
      <c r="U775" s="71"/>
      <c r="V775" s="71"/>
      <c r="W775" s="71"/>
    </row>
    <row r="776" spans="20:23" x14ac:dyDescent="0.25">
      <c r="T776" s="71"/>
      <c r="U776" s="71"/>
      <c r="V776" s="71"/>
      <c r="W776" s="71"/>
    </row>
    <row r="777" spans="20:23" x14ac:dyDescent="0.25">
      <c r="T777" s="71"/>
      <c r="U777" s="71"/>
      <c r="V777" s="71"/>
      <c r="W777" s="71"/>
    </row>
    <row r="778" spans="20:23" x14ac:dyDescent="0.25">
      <c r="T778" s="71"/>
      <c r="U778" s="71"/>
      <c r="V778" s="71"/>
      <c r="W778" s="71"/>
    </row>
    <row r="779" spans="20:23" x14ac:dyDescent="0.25">
      <c r="T779" s="71"/>
      <c r="U779" s="71"/>
      <c r="V779" s="71"/>
      <c r="W779" s="71"/>
    </row>
    <row r="780" spans="20:23" x14ac:dyDescent="0.25">
      <c r="T780" s="71"/>
      <c r="U780" s="71"/>
      <c r="V780" s="71"/>
      <c r="W780" s="71"/>
    </row>
    <row r="781" spans="20:23" x14ac:dyDescent="0.25">
      <c r="T781" s="71"/>
      <c r="U781" s="71"/>
      <c r="V781" s="71"/>
      <c r="W781" s="71"/>
    </row>
    <row r="782" spans="20:23" x14ac:dyDescent="0.25">
      <c r="T782" s="71"/>
      <c r="U782" s="71"/>
      <c r="V782" s="71"/>
      <c r="W782" s="71"/>
    </row>
    <row r="783" spans="20:23" x14ac:dyDescent="0.25">
      <c r="T783" s="71"/>
      <c r="U783" s="71"/>
      <c r="V783" s="71"/>
      <c r="W783" s="71"/>
    </row>
    <row r="784" spans="20:23" x14ac:dyDescent="0.25">
      <c r="T784" s="71"/>
      <c r="U784" s="71"/>
      <c r="V784" s="71"/>
      <c r="W784" s="71"/>
    </row>
    <row r="785" spans="20:23" x14ac:dyDescent="0.25">
      <c r="T785" s="71"/>
      <c r="U785" s="71"/>
      <c r="V785" s="71"/>
      <c r="W785" s="71"/>
    </row>
    <row r="786" spans="20:23" x14ac:dyDescent="0.25">
      <c r="T786" s="71"/>
      <c r="U786" s="71"/>
      <c r="V786" s="71"/>
      <c r="W786" s="71"/>
    </row>
    <row r="787" spans="20:23" x14ac:dyDescent="0.25">
      <c r="T787" s="71"/>
      <c r="U787" s="71"/>
      <c r="V787" s="71"/>
      <c r="W787" s="71"/>
    </row>
    <row r="788" spans="20:23" x14ac:dyDescent="0.25">
      <c r="T788" s="71"/>
      <c r="U788" s="71"/>
      <c r="V788" s="71"/>
      <c r="W788" s="71"/>
    </row>
    <row r="789" spans="20:23" x14ac:dyDescent="0.25">
      <c r="T789" s="71"/>
      <c r="U789" s="71"/>
      <c r="V789" s="71"/>
      <c r="W789" s="71"/>
    </row>
    <row r="790" spans="20:23" x14ac:dyDescent="0.25">
      <c r="T790" s="71"/>
      <c r="U790" s="71"/>
      <c r="V790" s="71"/>
      <c r="W790" s="71"/>
    </row>
    <row r="791" spans="20:23" x14ac:dyDescent="0.25">
      <c r="T791" s="71"/>
      <c r="U791" s="71"/>
      <c r="V791" s="71"/>
      <c r="W791" s="71"/>
    </row>
    <row r="792" spans="20:23" x14ac:dyDescent="0.25">
      <c r="T792" s="71"/>
      <c r="U792" s="71"/>
      <c r="V792" s="71"/>
      <c r="W792" s="71"/>
    </row>
    <row r="793" spans="20:23" x14ac:dyDescent="0.25">
      <c r="T793" s="71"/>
      <c r="U793" s="71"/>
      <c r="V793" s="71"/>
      <c r="W793" s="71"/>
    </row>
    <row r="794" spans="20:23" x14ac:dyDescent="0.25">
      <c r="T794" s="71"/>
      <c r="U794" s="71"/>
      <c r="V794" s="71"/>
      <c r="W794" s="71"/>
    </row>
    <row r="795" spans="20:23" x14ac:dyDescent="0.25">
      <c r="T795" s="71"/>
      <c r="U795" s="71"/>
      <c r="V795" s="71"/>
      <c r="W795" s="71"/>
    </row>
    <row r="796" spans="20:23" x14ac:dyDescent="0.25">
      <c r="T796" s="71"/>
      <c r="U796" s="71"/>
      <c r="V796" s="71"/>
      <c r="W796" s="71"/>
    </row>
    <row r="797" spans="20:23" x14ac:dyDescent="0.25">
      <c r="T797" s="71"/>
      <c r="U797" s="71"/>
      <c r="V797" s="71"/>
      <c r="W797" s="71"/>
    </row>
    <row r="798" spans="20:23" x14ac:dyDescent="0.25">
      <c r="T798" s="71"/>
      <c r="U798" s="71"/>
      <c r="V798" s="71"/>
      <c r="W798" s="71"/>
    </row>
    <row r="799" spans="20:23" x14ac:dyDescent="0.25">
      <c r="T799" s="71"/>
      <c r="U799" s="71"/>
      <c r="V799" s="71"/>
      <c r="W799" s="71"/>
    </row>
    <row r="800" spans="20:23" x14ac:dyDescent="0.25">
      <c r="T800" s="71"/>
      <c r="U800" s="71"/>
      <c r="V800" s="71"/>
      <c r="W800" s="71"/>
    </row>
    <row r="801" spans="20:23" x14ac:dyDescent="0.25">
      <c r="T801" s="71"/>
      <c r="U801" s="71"/>
      <c r="V801" s="71"/>
      <c r="W801" s="71"/>
    </row>
    <row r="802" spans="20:23" x14ac:dyDescent="0.25">
      <c r="T802" s="71"/>
      <c r="U802" s="71"/>
      <c r="V802" s="71"/>
      <c r="W802" s="71"/>
    </row>
    <row r="803" spans="20:23" x14ac:dyDescent="0.25">
      <c r="T803" s="71"/>
      <c r="U803" s="71"/>
      <c r="V803" s="71"/>
      <c r="W803" s="71"/>
    </row>
    <row r="804" spans="20:23" x14ac:dyDescent="0.25">
      <c r="T804" s="71"/>
      <c r="U804" s="71"/>
      <c r="V804" s="71"/>
      <c r="W804" s="71"/>
    </row>
    <row r="805" spans="20:23" x14ac:dyDescent="0.25">
      <c r="T805" s="71"/>
      <c r="U805" s="71"/>
      <c r="V805" s="71"/>
      <c r="W805" s="71"/>
    </row>
    <row r="806" spans="20:23" x14ac:dyDescent="0.25">
      <c r="T806" s="71"/>
      <c r="U806" s="71"/>
      <c r="V806" s="71"/>
      <c r="W806" s="71"/>
    </row>
    <row r="807" spans="20:23" x14ac:dyDescent="0.25">
      <c r="T807" s="71"/>
      <c r="U807" s="71"/>
      <c r="V807" s="71"/>
      <c r="W807" s="71"/>
    </row>
    <row r="808" spans="20:23" x14ac:dyDescent="0.25">
      <c r="T808" s="71"/>
      <c r="U808" s="71"/>
      <c r="V808" s="71"/>
      <c r="W808" s="71"/>
    </row>
    <row r="809" spans="20:23" x14ac:dyDescent="0.25">
      <c r="T809" s="71"/>
      <c r="U809" s="71"/>
      <c r="V809" s="71"/>
      <c r="W809" s="71"/>
    </row>
    <row r="810" spans="20:23" x14ac:dyDescent="0.25">
      <c r="T810" s="71"/>
      <c r="U810" s="71"/>
      <c r="V810" s="71"/>
      <c r="W810" s="71"/>
    </row>
    <row r="811" spans="20:23" x14ac:dyDescent="0.25">
      <c r="T811" s="71"/>
      <c r="U811" s="71"/>
      <c r="V811" s="71"/>
      <c r="W811" s="71"/>
    </row>
    <row r="812" spans="20:23" x14ac:dyDescent="0.25">
      <c r="T812" s="71"/>
      <c r="U812" s="71"/>
      <c r="V812" s="71"/>
      <c r="W812" s="71"/>
    </row>
    <row r="813" spans="20:23" x14ac:dyDescent="0.25">
      <c r="T813" s="71"/>
      <c r="U813" s="71"/>
      <c r="V813" s="71"/>
      <c r="W813" s="71"/>
    </row>
    <row r="814" spans="20:23" x14ac:dyDescent="0.25">
      <c r="T814" s="71"/>
      <c r="U814" s="71"/>
      <c r="V814" s="71"/>
      <c r="W814" s="71"/>
    </row>
    <row r="815" spans="20:23" x14ac:dyDescent="0.25">
      <c r="T815" s="71"/>
      <c r="U815" s="71"/>
      <c r="V815" s="71"/>
      <c r="W815" s="71"/>
    </row>
    <row r="816" spans="20:23" x14ac:dyDescent="0.25">
      <c r="T816" s="71"/>
      <c r="U816" s="71"/>
      <c r="V816" s="71"/>
      <c r="W816" s="71"/>
    </row>
    <row r="817" spans="20:23" x14ac:dyDescent="0.25">
      <c r="T817" s="71"/>
      <c r="U817" s="71"/>
      <c r="V817" s="71"/>
      <c r="W817" s="71"/>
    </row>
    <row r="818" spans="20:23" x14ac:dyDescent="0.25">
      <c r="T818" s="71"/>
      <c r="U818" s="71"/>
      <c r="V818" s="71"/>
      <c r="W818" s="71"/>
    </row>
    <row r="819" spans="20:23" x14ac:dyDescent="0.25">
      <c r="T819" s="71"/>
      <c r="U819" s="71"/>
      <c r="V819" s="71"/>
      <c r="W819" s="71"/>
    </row>
    <row r="820" spans="20:23" x14ac:dyDescent="0.25">
      <c r="T820" s="71"/>
      <c r="U820" s="71"/>
      <c r="V820" s="71"/>
      <c r="W820" s="71"/>
    </row>
    <row r="821" spans="20:23" x14ac:dyDescent="0.25">
      <c r="T821" s="71"/>
      <c r="U821" s="71"/>
      <c r="V821" s="71"/>
      <c r="W821" s="71"/>
    </row>
    <row r="822" spans="20:23" x14ac:dyDescent="0.25">
      <c r="T822" s="71"/>
      <c r="U822" s="71"/>
      <c r="V822" s="71"/>
      <c r="W822" s="71"/>
    </row>
    <row r="823" spans="20:23" x14ac:dyDescent="0.25">
      <c r="T823" s="71"/>
      <c r="U823" s="71"/>
      <c r="V823" s="71"/>
      <c r="W823" s="71"/>
    </row>
    <row r="824" spans="20:23" x14ac:dyDescent="0.25">
      <c r="T824" s="71"/>
      <c r="U824" s="71"/>
      <c r="V824" s="71"/>
      <c r="W824" s="71"/>
    </row>
    <row r="825" spans="20:23" x14ac:dyDescent="0.25">
      <c r="T825" s="71"/>
      <c r="U825" s="71"/>
      <c r="V825" s="71"/>
      <c r="W825" s="71"/>
    </row>
    <row r="826" spans="20:23" x14ac:dyDescent="0.25">
      <c r="T826" s="71"/>
      <c r="U826" s="71"/>
      <c r="V826" s="71"/>
      <c r="W826" s="71"/>
    </row>
    <row r="827" spans="20:23" x14ac:dyDescent="0.25">
      <c r="T827" s="71"/>
      <c r="U827" s="71"/>
      <c r="V827" s="71"/>
      <c r="W827" s="71"/>
    </row>
    <row r="828" spans="20:23" x14ac:dyDescent="0.25">
      <c r="T828" s="71"/>
      <c r="U828" s="71"/>
      <c r="V828" s="71"/>
      <c r="W828" s="71"/>
    </row>
    <row r="829" spans="20:23" x14ac:dyDescent="0.25">
      <c r="T829" s="71"/>
      <c r="U829" s="71"/>
      <c r="V829" s="71"/>
      <c r="W829" s="71"/>
    </row>
    <row r="830" spans="20:23" x14ac:dyDescent="0.25">
      <c r="T830" s="71"/>
      <c r="U830" s="71"/>
      <c r="V830" s="71"/>
      <c r="W830" s="71"/>
    </row>
    <row r="831" spans="20:23" x14ac:dyDescent="0.25">
      <c r="T831" s="71"/>
      <c r="U831" s="71"/>
      <c r="V831" s="71"/>
      <c r="W831" s="71"/>
    </row>
    <row r="832" spans="20:23" x14ac:dyDescent="0.25">
      <c r="T832" s="71"/>
      <c r="U832" s="71"/>
      <c r="V832" s="71"/>
      <c r="W832" s="71"/>
    </row>
    <row r="833" spans="20:23" x14ac:dyDescent="0.25">
      <c r="T833" s="71"/>
      <c r="U833" s="71"/>
      <c r="V833" s="71"/>
      <c r="W833" s="71"/>
    </row>
    <row r="834" spans="20:23" x14ac:dyDescent="0.25">
      <c r="T834" s="71"/>
      <c r="U834" s="71"/>
      <c r="V834" s="71"/>
      <c r="W834" s="71"/>
    </row>
    <row r="835" spans="20:23" x14ac:dyDescent="0.25">
      <c r="T835" s="71"/>
      <c r="U835" s="71"/>
      <c r="V835" s="71"/>
      <c r="W835" s="71"/>
    </row>
    <row r="836" spans="20:23" x14ac:dyDescent="0.25">
      <c r="T836" s="71"/>
      <c r="U836" s="71"/>
      <c r="V836" s="71"/>
      <c r="W836" s="71"/>
    </row>
    <row r="837" spans="20:23" x14ac:dyDescent="0.25">
      <c r="T837" s="71"/>
      <c r="U837" s="71"/>
      <c r="V837" s="71"/>
      <c r="W837" s="71"/>
    </row>
    <row r="838" spans="20:23" x14ac:dyDescent="0.25">
      <c r="T838" s="71"/>
      <c r="U838" s="71"/>
      <c r="V838" s="71"/>
      <c r="W838" s="71"/>
    </row>
    <row r="839" spans="20:23" x14ac:dyDescent="0.25">
      <c r="T839" s="71"/>
      <c r="U839" s="71"/>
      <c r="V839" s="71"/>
      <c r="W839" s="71"/>
    </row>
    <row r="840" spans="20:23" x14ac:dyDescent="0.25">
      <c r="T840" s="71"/>
      <c r="U840" s="71"/>
      <c r="V840" s="71"/>
      <c r="W840" s="71"/>
    </row>
    <row r="841" spans="20:23" x14ac:dyDescent="0.25">
      <c r="T841" s="71"/>
      <c r="U841" s="71"/>
      <c r="V841" s="71"/>
      <c r="W841" s="71"/>
    </row>
    <row r="842" spans="20:23" x14ac:dyDescent="0.25">
      <c r="T842" s="71"/>
      <c r="U842" s="71"/>
      <c r="V842" s="71"/>
      <c r="W842" s="71"/>
    </row>
    <row r="843" spans="20:23" x14ac:dyDescent="0.25">
      <c r="T843" s="71"/>
      <c r="U843" s="71"/>
      <c r="V843" s="71"/>
      <c r="W843" s="71"/>
    </row>
    <row r="844" spans="20:23" x14ac:dyDescent="0.25">
      <c r="T844" s="71"/>
      <c r="U844" s="71"/>
      <c r="V844" s="71"/>
      <c r="W844" s="71"/>
    </row>
    <row r="845" spans="20:23" x14ac:dyDescent="0.25">
      <c r="T845" s="71"/>
      <c r="U845" s="71"/>
      <c r="V845" s="71"/>
      <c r="W845" s="71"/>
    </row>
    <row r="846" spans="20:23" x14ac:dyDescent="0.25">
      <c r="T846" s="71"/>
      <c r="U846" s="71"/>
      <c r="V846" s="71"/>
      <c r="W846" s="71"/>
    </row>
    <row r="847" spans="20:23" x14ac:dyDescent="0.25">
      <c r="T847" s="71"/>
      <c r="U847" s="71"/>
      <c r="V847" s="71"/>
      <c r="W847" s="71"/>
    </row>
    <row r="848" spans="20:23" x14ac:dyDescent="0.25">
      <c r="T848" s="71"/>
      <c r="U848" s="71"/>
      <c r="V848" s="71"/>
      <c r="W848" s="71"/>
    </row>
    <row r="849" spans="20:23" x14ac:dyDescent="0.25">
      <c r="T849" s="71"/>
      <c r="U849" s="71"/>
      <c r="V849" s="71"/>
      <c r="W849" s="71"/>
    </row>
    <row r="850" spans="20:23" x14ac:dyDescent="0.25">
      <c r="T850" s="71"/>
      <c r="U850" s="71"/>
      <c r="V850" s="71"/>
      <c r="W850" s="71"/>
    </row>
    <row r="851" spans="20:23" x14ac:dyDescent="0.25">
      <c r="T851" s="71"/>
      <c r="U851" s="71"/>
      <c r="V851" s="71"/>
      <c r="W851" s="71"/>
    </row>
    <row r="852" spans="20:23" x14ac:dyDescent="0.25">
      <c r="T852" s="71"/>
      <c r="U852" s="71"/>
      <c r="V852" s="71"/>
      <c r="W852" s="71"/>
    </row>
    <row r="853" spans="20:23" x14ac:dyDescent="0.25">
      <c r="T853" s="71"/>
      <c r="U853" s="71"/>
      <c r="V853" s="71"/>
      <c r="W853" s="71"/>
    </row>
    <row r="854" spans="20:23" x14ac:dyDescent="0.25">
      <c r="T854" s="71"/>
      <c r="U854" s="71"/>
      <c r="V854" s="71"/>
      <c r="W854" s="71"/>
    </row>
    <row r="855" spans="20:23" x14ac:dyDescent="0.25">
      <c r="T855" s="71"/>
      <c r="U855" s="71"/>
      <c r="V855" s="71"/>
      <c r="W855" s="71"/>
    </row>
    <row r="856" spans="20:23" x14ac:dyDescent="0.25">
      <c r="T856" s="71"/>
      <c r="U856" s="71"/>
      <c r="V856" s="71"/>
      <c r="W856" s="71"/>
    </row>
    <row r="857" spans="20:23" x14ac:dyDescent="0.25">
      <c r="T857" s="71"/>
      <c r="U857" s="71"/>
      <c r="V857" s="71"/>
      <c r="W857" s="71"/>
    </row>
    <row r="858" spans="20:23" x14ac:dyDescent="0.25">
      <c r="T858" s="71"/>
      <c r="U858" s="71"/>
      <c r="V858" s="71"/>
      <c r="W858" s="71"/>
    </row>
    <row r="859" spans="20:23" x14ac:dyDescent="0.25">
      <c r="T859" s="71"/>
      <c r="U859" s="71"/>
      <c r="V859" s="71"/>
      <c r="W859" s="71"/>
    </row>
    <row r="860" spans="20:23" x14ac:dyDescent="0.25">
      <c r="T860" s="71"/>
      <c r="U860" s="71"/>
      <c r="V860" s="71"/>
      <c r="W860" s="71"/>
    </row>
    <row r="861" spans="20:23" x14ac:dyDescent="0.25">
      <c r="T861" s="71"/>
      <c r="U861" s="71"/>
      <c r="V861" s="71"/>
      <c r="W861" s="71"/>
    </row>
    <row r="862" spans="20:23" x14ac:dyDescent="0.25">
      <c r="T862" s="71"/>
      <c r="U862" s="71"/>
      <c r="V862" s="71"/>
      <c r="W862" s="71"/>
    </row>
    <row r="863" spans="20:23" x14ac:dyDescent="0.25">
      <c r="T863" s="71"/>
      <c r="U863" s="71"/>
      <c r="V863" s="71"/>
      <c r="W863" s="71"/>
    </row>
    <row r="864" spans="20:23" x14ac:dyDescent="0.25">
      <c r="T864" s="71"/>
      <c r="U864" s="71"/>
      <c r="V864" s="71"/>
      <c r="W864" s="71"/>
    </row>
    <row r="865" spans="20:23" x14ac:dyDescent="0.25">
      <c r="T865" s="71"/>
      <c r="U865" s="71"/>
      <c r="V865" s="71"/>
      <c r="W865" s="71"/>
    </row>
    <row r="866" spans="20:23" x14ac:dyDescent="0.25">
      <c r="T866" s="71"/>
      <c r="U866" s="71"/>
      <c r="V866" s="71"/>
      <c r="W866" s="71"/>
    </row>
    <row r="867" spans="20:23" x14ac:dyDescent="0.25">
      <c r="T867" s="71"/>
      <c r="U867" s="71"/>
      <c r="V867" s="71"/>
      <c r="W867" s="71"/>
    </row>
    <row r="868" spans="20:23" x14ac:dyDescent="0.25">
      <c r="T868" s="71"/>
      <c r="U868" s="71"/>
      <c r="V868" s="71"/>
      <c r="W868" s="71"/>
    </row>
    <row r="869" spans="20:23" x14ac:dyDescent="0.25">
      <c r="T869" s="71"/>
      <c r="U869" s="71"/>
      <c r="V869" s="71"/>
      <c r="W869" s="71"/>
    </row>
    <row r="870" spans="20:23" x14ac:dyDescent="0.25">
      <c r="T870" s="71"/>
      <c r="U870" s="71"/>
      <c r="V870" s="71"/>
      <c r="W870" s="71"/>
    </row>
    <row r="871" spans="20:23" x14ac:dyDescent="0.25">
      <c r="T871" s="71"/>
      <c r="U871" s="71"/>
      <c r="V871" s="71"/>
      <c r="W871" s="71"/>
    </row>
    <row r="872" spans="20:23" x14ac:dyDescent="0.25">
      <c r="T872" s="71"/>
      <c r="U872" s="71"/>
      <c r="V872" s="71"/>
      <c r="W872" s="71"/>
    </row>
    <row r="873" spans="20:23" x14ac:dyDescent="0.25">
      <c r="T873" s="71"/>
      <c r="U873" s="71"/>
      <c r="V873" s="71"/>
      <c r="W873" s="71"/>
    </row>
    <row r="874" spans="20:23" x14ac:dyDescent="0.25">
      <c r="T874" s="71"/>
      <c r="U874" s="71"/>
      <c r="V874" s="71"/>
      <c r="W874" s="71"/>
    </row>
    <row r="875" spans="20:23" x14ac:dyDescent="0.25">
      <c r="T875" s="71"/>
      <c r="U875" s="71"/>
      <c r="V875" s="71"/>
      <c r="W875" s="71"/>
    </row>
    <row r="876" spans="20:23" x14ac:dyDescent="0.25">
      <c r="T876" s="71"/>
      <c r="U876" s="71"/>
      <c r="V876" s="71"/>
      <c r="W876" s="71"/>
    </row>
    <row r="877" spans="20:23" x14ac:dyDescent="0.25">
      <c r="T877" s="71"/>
      <c r="U877" s="71"/>
      <c r="V877" s="71"/>
      <c r="W877" s="71"/>
    </row>
    <row r="878" spans="20:23" x14ac:dyDescent="0.25">
      <c r="T878" s="71"/>
      <c r="U878" s="71"/>
      <c r="V878" s="71"/>
      <c r="W878" s="71"/>
    </row>
    <row r="879" spans="20:23" x14ac:dyDescent="0.25">
      <c r="T879" s="71"/>
      <c r="U879" s="71"/>
      <c r="V879" s="71"/>
      <c r="W879" s="71"/>
    </row>
    <row r="880" spans="20:23" x14ac:dyDescent="0.25">
      <c r="T880" s="71"/>
      <c r="U880" s="71"/>
      <c r="V880" s="71"/>
      <c r="W880" s="71"/>
    </row>
    <row r="881" spans="20:23" x14ac:dyDescent="0.25">
      <c r="T881" s="71"/>
      <c r="U881" s="71"/>
      <c r="V881" s="71"/>
      <c r="W881" s="71"/>
    </row>
    <row r="882" spans="20:23" x14ac:dyDescent="0.25">
      <c r="T882" s="71"/>
      <c r="U882" s="71"/>
      <c r="V882" s="71"/>
      <c r="W882" s="71"/>
    </row>
    <row r="883" spans="20:23" x14ac:dyDescent="0.25">
      <c r="T883" s="71"/>
      <c r="U883" s="71"/>
      <c r="V883" s="71"/>
      <c r="W883" s="71"/>
    </row>
    <row r="884" spans="20:23" x14ac:dyDescent="0.25">
      <c r="T884" s="71"/>
      <c r="U884" s="71"/>
      <c r="V884" s="71"/>
      <c r="W884" s="71"/>
    </row>
    <row r="885" spans="20:23" x14ac:dyDescent="0.25">
      <c r="T885" s="71"/>
      <c r="U885" s="71"/>
      <c r="V885" s="71"/>
      <c r="W885" s="71"/>
    </row>
    <row r="886" spans="20:23" x14ac:dyDescent="0.25">
      <c r="T886" s="71"/>
      <c r="U886" s="71"/>
      <c r="V886" s="71"/>
      <c r="W886" s="71"/>
    </row>
    <row r="887" spans="20:23" x14ac:dyDescent="0.25">
      <c r="T887" s="71"/>
      <c r="U887" s="71"/>
      <c r="V887" s="71"/>
      <c r="W887" s="71"/>
    </row>
    <row r="888" spans="20:23" x14ac:dyDescent="0.25">
      <c r="T888" s="71"/>
      <c r="U888" s="71"/>
      <c r="V888" s="71"/>
      <c r="W888" s="71"/>
    </row>
    <row r="889" spans="20:23" x14ac:dyDescent="0.25">
      <c r="T889" s="71"/>
      <c r="U889" s="71"/>
      <c r="V889" s="71"/>
      <c r="W889" s="71"/>
    </row>
    <row r="890" spans="20:23" x14ac:dyDescent="0.25">
      <c r="T890" s="71"/>
      <c r="U890" s="71"/>
      <c r="V890" s="71"/>
      <c r="W890" s="71"/>
    </row>
    <row r="891" spans="20:23" x14ac:dyDescent="0.25">
      <c r="T891" s="71"/>
      <c r="U891" s="71"/>
      <c r="V891" s="71"/>
      <c r="W891" s="71"/>
    </row>
    <row r="892" spans="20:23" x14ac:dyDescent="0.25">
      <c r="T892" s="71"/>
      <c r="U892" s="71"/>
      <c r="V892" s="71"/>
      <c r="W892" s="71"/>
    </row>
    <row r="893" spans="20:23" x14ac:dyDescent="0.25">
      <c r="T893" s="71"/>
      <c r="U893" s="71"/>
      <c r="V893" s="71"/>
      <c r="W893" s="71"/>
    </row>
    <row r="894" spans="20:23" x14ac:dyDescent="0.25">
      <c r="T894" s="71"/>
      <c r="U894" s="71"/>
      <c r="V894" s="71"/>
      <c r="W894" s="71"/>
    </row>
    <row r="895" spans="20:23" x14ac:dyDescent="0.25">
      <c r="T895" s="71"/>
      <c r="U895" s="71"/>
      <c r="V895" s="71"/>
      <c r="W895" s="71"/>
    </row>
    <row r="896" spans="20:23" x14ac:dyDescent="0.25">
      <c r="T896" s="71"/>
      <c r="U896" s="71"/>
      <c r="V896" s="71"/>
      <c r="W896" s="71"/>
    </row>
    <row r="897" spans="20:23" x14ac:dyDescent="0.25">
      <c r="T897" s="71"/>
      <c r="U897" s="71"/>
      <c r="V897" s="71"/>
      <c r="W897" s="71"/>
    </row>
    <row r="898" spans="20:23" x14ac:dyDescent="0.25">
      <c r="T898" s="71"/>
      <c r="U898" s="71"/>
      <c r="V898" s="71"/>
      <c r="W898" s="71"/>
    </row>
    <row r="899" spans="20:23" x14ac:dyDescent="0.25">
      <c r="T899" s="71"/>
      <c r="U899" s="71"/>
      <c r="V899" s="71"/>
      <c r="W899" s="71"/>
    </row>
    <row r="900" spans="20:23" x14ac:dyDescent="0.25">
      <c r="T900" s="71"/>
      <c r="U900" s="71"/>
      <c r="V900" s="71"/>
      <c r="W900" s="71"/>
    </row>
    <row r="901" spans="20:23" x14ac:dyDescent="0.25">
      <c r="T901" s="71"/>
      <c r="U901" s="71"/>
      <c r="V901" s="71"/>
      <c r="W901" s="71"/>
    </row>
    <row r="902" spans="20:23" x14ac:dyDescent="0.25">
      <c r="T902" s="71"/>
      <c r="U902" s="71"/>
      <c r="V902" s="71"/>
      <c r="W902" s="71"/>
    </row>
    <row r="903" spans="20:23" x14ac:dyDescent="0.25">
      <c r="T903" s="71"/>
      <c r="U903" s="71"/>
      <c r="V903" s="71"/>
      <c r="W903" s="71"/>
    </row>
    <row r="904" spans="20:23" x14ac:dyDescent="0.25">
      <c r="T904" s="71"/>
      <c r="U904" s="71"/>
      <c r="V904" s="71"/>
      <c r="W904" s="71"/>
    </row>
    <row r="905" spans="20:23" x14ac:dyDescent="0.25">
      <c r="T905" s="71"/>
      <c r="U905" s="71"/>
      <c r="V905" s="71"/>
      <c r="W905" s="71"/>
    </row>
    <row r="906" spans="20:23" x14ac:dyDescent="0.25">
      <c r="T906" s="71"/>
      <c r="U906" s="71"/>
      <c r="V906" s="71"/>
      <c r="W906" s="71"/>
    </row>
    <row r="907" spans="20:23" x14ac:dyDescent="0.25">
      <c r="T907" s="71"/>
      <c r="U907" s="71"/>
      <c r="V907" s="71"/>
      <c r="W907" s="71"/>
    </row>
    <row r="908" spans="20:23" x14ac:dyDescent="0.25">
      <c r="T908" s="71"/>
      <c r="U908" s="71"/>
      <c r="V908" s="71"/>
      <c r="W908" s="71"/>
    </row>
    <row r="909" spans="20:23" x14ac:dyDescent="0.25">
      <c r="T909" s="71"/>
      <c r="U909" s="71"/>
      <c r="V909" s="71"/>
      <c r="W909" s="71"/>
    </row>
    <row r="910" spans="20:23" x14ac:dyDescent="0.25">
      <c r="T910" s="71"/>
      <c r="U910" s="71"/>
      <c r="V910" s="71"/>
      <c r="W910" s="71"/>
    </row>
    <row r="911" spans="20:23" x14ac:dyDescent="0.25">
      <c r="T911" s="71"/>
      <c r="U911" s="71"/>
      <c r="V911" s="71"/>
      <c r="W911" s="71"/>
    </row>
    <row r="912" spans="20:23" x14ac:dyDescent="0.25">
      <c r="T912" s="71"/>
      <c r="U912" s="71"/>
      <c r="V912" s="71"/>
      <c r="W912" s="71"/>
    </row>
    <row r="913" spans="20:23" x14ac:dyDescent="0.25">
      <c r="T913" s="71"/>
      <c r="U913" s="71"/>
      <c r="V913" s="71"/>
      <c r="W913" s="71"/>
    </row>
    <row r="914" spans="20:23" x14ac:dyDescent="0.25">
      <c r="T914" s="71"/>
      <c r="U914" s="71"/>
      <c r="V914" s="71"/>
      <c r="W914" s="71"/>
    </row>
    <row r="915" spans="20:23" x14ac:dyDescent="0.25">
      <c r="T915" s="71"/>
      <c r="U915" s="71"/>
      <c r="V915" s="71"/>
      <c r="W915" s="71"/>
    </row>
    <row r="916" spans="20:23" x14ac:dyDescent="0.25">
      <c r="T916" s="71"/>
      <c r="U916" s="71"/>
      <c r="V916" s="71"/>
      <c r="W916" s="71"/>
    </row>
    <row r="917" spans="20:23" x14ac:dyDescent="0.25">
      <c r="T917" s="71"/>
      <c r="U917" s="71"/>
      <c r="V917" s="71"/>
      <c r="W917" s="71"/>
    </row>
    <row r="918" spans="20:23" x14ac:dyDescent="0.25">
      <c r="T918" s="71"/>
      <c r="U918" s="71"/>
      <c r="V918" s="71"/>
      <c r="W918" s="71"/>
    </row>
    <row r="919" spans="20:23" x14ac:dyDescent="0.25">
      <c r="T919" s="71"/>
      <c r="U919" s="71"/>
      <c r="V919" s="71"/>
      <c r="W919" s="71"/>
    </row>
    <row r="920" spans="20:23" x14ac:dyDescent="0.25">
      <c r="T920" s="71"/>
      <c r="U920" s="71"/>
      <c r="V920" s="71"/>
      <c r="W920" s="71"/>
    </row>
    <row r="921" spans="20:23" x14ac:dyDescent="0.25">
      <c r="T921" s="71"/>
      <c r="U921" s="71"/>
      <c r="V921" s="71"/>
      <c r="W921" s="71"/>
    </row>
    <row r="922" spans="20:23" x14ac:dyDescent="0.25">
      <c r="T922" s="71"/>
      <c r="U922" s="71"/>
      <c r="V922" s="71"/>
      <c r="W922" s="71"/>
    </row>
    <row r="923" spans="20:23" x14ac:dyDescent="0.25">
      <c r="T923" s="71"/>
      <c r="U923" s="71"/>
      <c r="V923" s="71"/>
      <c r="W923" s="71"/>
    </row>
    <row r="924" spans="20:23" x14ac:dyDescent="0.25">
      <c r="T924" s="71"/>
      <c r="U924" s="71"/>
      <c r="V924" s="71"/>
      <c r="W924" s="71"/>
    </row>
    <row r="925" spans="20:23" x14ac:dyDescent="0.25">
      <c r="T925" s="71"/>
      <c r="U925" s="71"/>
      <c r="V925" s="71"/>
      <c r="W925" s="71"/>
    </row>
    <row r="926" spans="20:23" x14ac:dyDescent="0.25">
      <c r="T926" s="71"/>
      <c r="U926" s="71"/>
      <c r="V926" s="71"/>
      <c r="W926" s="71"/>
    </row>
    <row r="927" spans="20:23" x14ac:dyDescent="0.25">
      <c r="T927" s="71"/>
      <c r="U927" s="71"/>
      <c r="V927" s="71"/>
      <c r="W927" s="71"/>
    </row>
    <row r="928" spans="20:23" x14ac:dyDescent="0.25">
      <c r="T928" s="71"/>
      <c r="U928" s="71"/>
      <c r="V928" s="71"/>
      <c r="W928" s="71"/>
    </row>
    <row r="929" spans="20:23" x14ac:dyDescent="0.25">
      <c r="T929" s="71"/>
      <c r="U929" s="71"/>
      <c r="V929" s="71"/>
      <c r="W929" s="71"/>
    </row>
    <row r="930" spans="20:23" x14ac:dyDescent="0.25">
      <c r="T930" s="71"/>
      <c r="U930" s="71"/>
      <c r="V930" s="71"/>
      <c r="W930" s="71"/>
    </row>
    <row r="931" spans="20:23" x14ac:dyDescent="0.25">
      <c r="T931" s="71"/>
      <c r="U931" s="71"/>
      <c r="V931" s="71"/>
      <c r="W931" s="71"/>
    </row>
    <row r="932" spans="20:23" x14ac:dyDescent="0.25">
      <c r="T932" s="71"/>
      <c r="U932" s="71"/>
      <c r="V932" s="71"/>
      <c r="W932" s="71"/>
    </row>
    <row r="933" spans="20:23" x14ac:dyDescent="0.25">
      <c r="T933" s="71"/>
      <c r="U933" s="71"/>
      <c r="V933" s="71"/>
      <c r="W933" s="71"/>
    </row>
    <row r="934" spans="20:23" x14ac:dyDescent="0.25">
      <c r="T934" s="71"/>
      <c r="U934" s="71"/>
      <c r="V934" s="71"/>
      <c r="W934" s="71"/>
    </row>
    <row r="935" spans="20:23" x14ac:dyDescent="0.25">
      <c r="T935" s="71"/>
      <c r="U935" s="71"/>
      <c r="V935" s="71"/>
      <c r="W935" s="71"/>
    </row>
    <row r="936" spans="20:23" x14ac:dyDescent="0.25">
      <c r="T936" s="71"/>
      <c r="U936" s="71"/>
      <c r="V936" s="71"/>
      <c r="W936" s="71"/>
    </row>
    <row r="937" spans="20:23" x14ac:dyDescent="0.25">
      <c r="T937" s="71"/>
      <c r="U937" s="71"/>
      <c r="V937" s="71"/>
      <c r="W937" s="71"/>
    </row>
    <row r="938" spans="20:23" x14ac:dyDescent="0.25">
      <c r="T938" s="71"/>
      <c r="U938" s="71"/>
      <c r="V938" s="71"/>
      <c r="W938" s="71"/>
    </row>
    <row r="939" spans="20:23" x14ac:dyDescent="0.25">
      <c r="T939" s="71"/>
      <c r="U939" s="71"/>
      <c r="V939" s="71"/>
      <c r="W939" s="71"/>
    </row>
    <row r="940" spans="20:23" x14ac:dyDescent="0.25">
      <c r="T940" s="71"/>
      <c r="U940" s="71"/>
      <c r="V940" s="71"/>
      <c r="W940" s="71"/>
    </row>
    <row r="941" spans="20:23" x14ac:dyDescent="0.25">
      <c r="T941" s="71"/>
      <c r="U941" s="71"/>
      <c r="V941" s="71"/>
      <c r="W941" s="71"/>
    </row>
    <row r="942" spans="20:23" x14ac:dyDescent="0.25">
      <c r="T942" s="71"/>
      <c r="U942" s="71"/>
      <c r="V942" s="71"/>
      <c r="W942" s="71"/>
    </row>
    <row r="943" spans="20:23" x14ac:dyDescent="0.25">
      <c r="T943" s="71"/>
      <c r="U943" s="71"/>
      <c r="V943" s="71"/>
      <c r="W943" s="71"/>
    </row>
    <row r="944" spans="20:23" x14ac:dyDescent="0.25">
      <c r="T944" s="71"/>
      <c r="U944" s="71"/>
      <c r="V944" s="71"/>
      <c r="W944" s="71"/>
    </row>
    <row r="945" spans="20:23" x14ac:dyDescent="0.25">
      <c r="T945" s="71"/>
      <c r="U945" s="71"/>
      <c r="V945" s="71"/>
      <c r="W945" s="71"/>
    </row>
    <row r="946" spans="20:23" x14ac:dyDescent="0.25">
      <c r="T946" s="71"/>
      <c r="U946" s="71"/>
      <c r="V946" s="71"/>
      <c r="W946" s="71"/>
    </row>
    <row r="947" spans="20:23" x14ac:dyDescent="0.25">
      <c r="T947" s="71"/>
      <c r="U947" s="71"/>
      <c r="V947" s="71"/>
      <c r="W947" s="71"/>
    </row>
    <row r="948" spans="20:23" x14ac:dyDescent="0.25">
      <c r="T948" s="71"/>
      <c r="U948" s="71"/>
      <c r="V948" s="71"/>
      <c r="W948" s="71"/>
    </row>
    <row r="949" spans="20:23" x14ac:dyDescent="0.25">
      <c r="T949" s="71"/>
      <c r="U949" s="71"/>
      <c r="V949" s="71"/>
      <c r="W949" s="71"/>
    </row>
    <row r="950" spans="20:23" x14ac:dyDescent="0.25">
      <c r="T950" s="71"/>
      <c r="U950" s="71"/>
      <c r="V950" s="71"/>
      <c r="W950" s="71"/>
    </row>
    <row r="951" spans="20:23" x14ac:dyDescent="0.25">
      <c r="T951" s="71"/>
      <c r="U951" s="71"/>
      <c r="V951" s="71"/>
      <c r="W951" s="71"/>
    </row>
    <row r="952" spans="20:23" x14ac:dyDescent="0.25">
      <c r="T952" s="71"/>
      <c r="U952" s="71"/>
      <c r="V952" s="71"/>
      <c r="W952" s="71"/>
    </row>
    <row r="953" spans="20:23" x14ac:dyDescent="0.25">
      <c r="T953" s="71"/>
      <c r="U953" s="71"/>
      <c r="V953" s="71"/>
      <c r="W953" s="71"/>
    </row>
    <row r="954" spans="20:23" x14ac:dyDescent="0.25">
      <c r="T954" s="71"/>
      <c r="U954" s="71"/>
      <c r="V954" s="71"/>
      <c r="W954" s="71"/>
    </row>
    <row r="955" spans="20:23" x14ac:dyDescent="0.25">
      <c r="T955" s="71"/>
      <c r="U955" s="71"/>
      <c r="V955" s="71"/>
      <c r="W955" s="71"/>
    </row>
    <row r="956" spans="20:23" x14ac:dyDescent="0.25">
      <c r="T956" s="71"/>
      <c r="U956" s="71"/>
      <c r="V956" s="71"/>
      <c r="W956" s="71"/>
    </row>
    <row r="957" spans="20:23" x14ac:dyDescent="0.25">
      <c r="T957" s="71"/>
      <c r="U957" s="71"/>
      <c r="V957" s="71"/>
      <c r="W957" s="71"/>
    </row>
    <row r="958" spans="20:23" x14ac:dyDescent="0.25">
      <c r="T958" s="71"/>
      <c r="U958" s="71"/>
      <c r="V958" s="71"/>
      <c r="W958" s="71"/>
    </row>
    <row r="959" spans="20:23" x14ac:dyDescent="0.25">
      <c r="T959" s="71"/>
      <c r="U959" s="71"/>
      <c r="V959" s="71"/>
      <c r="W959" s="71"/>
    </row>
    <row r="960" spans="20:23" x14ac:dyDescent="0.25">
      <c r="T960" s="71"/>
      <c r="U960" s="71"/>
      <c r="V960" s="71"/>
      <c r="W960" s="71"/>
    </row>
    <row r="961" spans="20:23" x14ac:dyDescent="0.25">
      <c r="T961" s="71"/>
      <c r="U961" s="71"/>
      <c r="V961" s="71"/>
      <c r="W961" s="71"/>
    </row>
    <row r="962" spans="20:23" x14ac:dyDescent="0.25">
      <c r="T962" s="71"/>
      <c r="U962" s="71"/>
      <c r="V962" s="71"/>
      <c r="W962" s="71"/>
    </row>
    <row r="963" spans="20:23" x14ac:dyDescent="0.25">
      <c r="T963" s="71"/>
      <c r="U963" s="71"/>
      <c r="V963" s="71"/>
      <c r="W963" s="71"/>
    </row>
    <row r="964" spans="20:23" x14ac:dyDescent="0.25">
      <c r="T964" s="71"/>
      <c r="U964" s="71"/>
      <c r="V964" s="71"/>
      <c r="W964" s="71"/>
    </row>
    <row r="965" spans="20:23" x14ac:dyDescent="0.25">
      <c r="T965" s="71"/>
      <c r="U965" s="71"/>
      <c r="V965" s="71"/>
      <c r="W965" s="71"/>
    </row>
    <row r="966" spans="20:23" x14ac:dyDescent="0.25">
      <c r="T966" s="71"/>
      <c r="U966" s="71"/>
      <c r="V966" s="71"/>
      <c r="W966" s="71"/>
    </row>
    <row r="967" spans="20:23" x14ac:dyDescent="0.25">
      <c r="T967" s="71"/>
      <c r="U967" s="71"/>
      <c r="V967" s="71"/>
      <c r="W967" s="71"/>
    </row>
    <row r="968" spans="20:23" x14ac:dyDescent="0.25">
      <c r="T968" s="71"/>
      <c r="U968" s="71"/>
      <c r="V968" s="71"/>
      <c r="W968" s="71"/>
    </row>
    <row r="969" spans="20:23" x14ac:dyDescent="0.25">
      <c r="T969" s="71"/>
      <c r="U969" s="71"/>
      <c r="V969" s="71"/>
      <c r="W969" s="71"/>
    </row>
    <row r="970" spans="20:23" x14ac:dyDescent="0.25">
      <c r="T970" s="71"/>
      <c r="U970" s="71"/>
      <c r="V970" s="71"/>
      <c r="W970" s="71"/>
    </row>
    <row r="971" spans="20:23" x14ac:dyDescent="0.25">
      <c r="T971" s="71"/>
      <c r="U971" s="71"/>
      <c r="V971" s="71"/>
      <c r="W971" s="71"/>
    </row>
    <row r="972" spans="20:23" x14ac:dyDescent="0.25">
      <c r="T972" s="71"/>
      <c r="U972" s="71"/>
      <c r="V972" s="71"/>
      <c r="W972" s="71"/>
    </row>
    <row r="973" spans="20:23" x14ac:dyDescent="0.25">
      <c r="T973" s="71"/>
      <c r="U973" s="71"/>
      <c r="V973" s="71"/>
      <c r="W973" s="71"/>
    </row>
    <row r="974" spans="20:23" x14ac:dyDescent="0.25">
      <c r="T974" s="71"/>
      <c r="U974" s="71"/>
      <c r="V974" s="71"/>
      <c r="W974" s="71"/>
    </row>
    <row r="975" spans="20:23" x14ac:dyDescent="0.25">
      <c r="T975" s="71"/>
      <c r="U975" s="71"/>
      <c r="V975" s="71"/>
      <c r="W975" s="71"/>
    </row>
    <row r="976" spans="20:23" x14ac:dyDescent="0.25">
      <c r="T976" s="71"/>
      <c r="U976" s="71"/>
      <c r="V976" s="71"/>
      <c r="W976" s="71"/>
    </row>
    <row r="977" spans="20:23" x14ac:dyDescent="0.25">
      <c r="T977" s="71"/>
      <c r="U977" s="71"/>
      <c r="V977" s="71"/>
      <c r="W977" s="71"/>
    </row>
    <row r="978" spans="20:23" x14ac:dyDescent="0.25">
      <c r="T978" s="71"/>
      <c r="U978" s="71"/>
      <c r="V978" s="71"/>
      <c r="W978" s="71"/>
    </row>
    <row r="979" spans="20:23" x14ac:dyDescent="0.25">
      <c r="T979" s="71"/>
      <c r="U979" s="71"/>
      <c r="V979" s="71"/>
      <c r="W979" s="71"/>
    </row>
    <row r="980" spans="20:23" x14ac:dyDescent="0.25">
      <c r="T980" s="71"/>
      <c r="U980" s="71"/>
      <c r="V980" s="71"/>
      <c r="W980" s="71"/>
    </row>
    <row r="981" spans="20:23" x14ac:dyDescent="0.25">
      <c r="T981" s="71"/>
      <c r="U981" s="71"/>
      <c r="V981" s="71"/>
      <c r="W981" s="71"/>
    </row>
    <row r="982" spans="20:23" x14ac:dyDescent="0.25">
      <c r="T982" s="71"/>
      <c r="U982" s="71"/>
      <c r="V982" s="71"/>
      <c r="W982" s="71"/>
    </row>
    <row r="983" spans="20:23" x14ac:dyDescent="0.25">
      <c r="T983" s="71"/>
      <c r="U983" s="71"/>
      <c r="V983" s="71"/>
      <c r="W983" s="71"/>
    </row>
    <row r="984" spans="20:23" x14ac:dyDescent="0.25">
      <c r="T984" s="71"/>
      <c r="U984" s="71"/>
      <c r="V984" s="71"/>
      <c r="W984" s="71"/>
    </row>
    <row r="985" spans="20:23" x14ac:dyDescent="0.25">
      <c r="T985" s="71"/>
      <c r="U985" s="71"/>
      <c r="V985" s="71"/>
      <c r="W985" s="71"/>
    </row>
    <row r="986" spans="20:23" x14ac:dyDescent="0.25">
      <c r="T986" s="71"/>
      <c r="U986" s="71"/>
      <c r="V986" s="71"/>
      <c r="W986" s="71"/>
    </row>
    <row r="987" spans="20:23" x14ac:dyDescent="0.25">
      <c r="T987" s="71"/>
      <c r="U987" s="71"/>
      <c r="V987" s="71"/>
      <c r="W987" s="71"/>
    </row>
    <row r="988" spans="20:23" x14ac:dyDescent="0.25">
      <c r="T988" s="71"/>
      <c r="U988" s="71"/>
      <c r="V988" s="71"/>
      <c r="W988" s="71"/>
    </row>
    <row r="989" spans="20:23" x14ac:dyDescent="0.25">
      <c r="T989" s="71"/>
      <c r="U989" s="71"/>
      <c r="V989" s="71"/>
      <c r="W989" s="71"/>
    </row>
    <row r="990" spans="20:23" x14ac:dyDescent="0.25">
      <c r="T990" s="71"/>
      <c r="U990" s="71"/>
      <c r="V990" s="71"/>
      <c r="W990" s="71"/>
    </row>
    <row r="991" spans="20:23" x14ac:dyDescent="0.25">
      <c r="T991" s="71"/>
      <c r="U991" s="71"/>
      <c r="V991" s="71"/>
      <c r="W991" s="71"/>
    </row>
    <row r="992" spans="20:23" x14ac:dyDescent="0.25">
      <c r="T992" s="71"/>
      <c r="U992" s="71"/>
      <c r="V992" s="71"/>
      <c r="W992" s="71"/>
    </row>
    <row r="993" spans="20:23" x14ac:dyDescent="0.25">
      <c r="T993" s="71"/>
      <c r="U993" s="71"/>
      <c r="V993" s="71"/>
      <c r="W993" s="71"/>
    </row>
    <row r="994" spans="20:23" x14ac:dyDescent="0.25">
      <c r="T994" s="71"/>
      <c r="U994" s="71"/>
      <c r="V994" s="71"/>
      <c r="W994" s="71"/>
    </row>
    <row r="995" spans="20:23" x14ac:dyDescent="0.25">
      <c r="T995" s="71"/>
      <c r="U995" s="71"/>
      <c r="V995" s="71"/>
      <c r="W995" s="71"/>
    </row>
    <row r="996" spans="20:23" x14ac:dyDescent="0.25">
      <c r="T996" s="71"/>
      <c r="U996" s="71"/>
      <c r="V996" s="71"/>
      <c r="W996" s="71"/>
    </row>
    <row r="997" spans="20:23" x14ac:dyDescent="0.25">
      <c r="T997" s="71"/>
      <c r="U997" s="71"/>
      <c r="V997" s="71"/>
      <c r="W997" s="71"/>
    </row>
    <row r="998" spans="20:23" x14ac:dyDescent="0.25">
      <c r="T998" s="71"/>
      <c r="U998" s="71"/>
      <c r="V998" s="71"/>
      <c r="W998" s="71"/>
    </row>
    <row r="999" spans="20:23" x14ac:dyDescent="0.25">
      <c r="T999" s="71"/>
      <c r="U999" s="71"/>
      <c r="V999" s="71"/>
      <c r="W999" s="71"/>
    </row>
    <row r="1000" spans="20:23" x14ac:dyDescent="0.25">
      <c r="T1000" s="71"/>
      <c r="U1000" s="71"/>
      <c r="V1000" s="71"/>
      <c r="W1000" s="71"/>
    </row>
    <row r="1001" spans="20:23" x14ac:dyDescent="0.25">
      <c r="T1001" s="71"/>
      <c r="U1001" s="71"/>
      <c r="V1001" s="71"/>
      <c r="W1001" s="71"/>
    </row>
    <row r="1002" spans="20:23" x14ac:dyDescent="0.25">
      <c r="T1002" s="71"/>
      <c r="U1002" s="71"/>
      <c r="V1002" s="71"/>
      <c r="W1002" s="71"/>
    </row>
    <row r="1003" spans="20:23" x14ac:dyDescent="0.25">
      <c r="T1003" s="71"/>
      <c r="U1003" s="71"/>
      <c r="V1003" s="71"/>
      <c r="W1003" s="71"/>
    </row>
    <row r="1004" spans="20:23" x14ac:dyDescent="0.25">
      <c r="T1004" s="71"/>
      <c r="U1004" s="71"/>
      <c r="V1004" s="71"/>
      <c r="W1004" s="71"/>
    </row>
    <row r="1005" spans="20:23" x14ac:dyDescent="0.25">
      <c r="T1005" s="71"/>
      <c r="U1005" s="71"/>
      <c r="V1005" s="71"/>
      <c r="W1005" s="71"/>
    </row>
    <row r="1006" spans="20:23" x14ac:dyDescent="0.25">
      <c r="T1006" s="71"/>
      <c r="U1006" s="71"/>
      <c r="V1006" s="71"/>
      <c r="W1006" s="71"/>
    </row>
    <row r="1007" spans="20:23" x14ac:dyDescent="0.25">
      <c r="T1007" s="71"/>
      <c r="U1007" s="71"/>
      <c r="V1007" s="71"/>
      <c r="W1007" s="71"/>
    </row>
    <row r="1008" spans="20:23" x14ac:dyDescent="0.25">
      <c r="T1008" s="71"/>
      <c r="U1008" s="71"/>
      <c r="V1008" s="71"/>
      <c r="W1008" s="71"/>
    </row>
    <row r="1009" spans="20:23" x14ac:dyDescent="0.25">
      <c r="T1009" s="71"/>
      <c r="U1009" s="71"/>
      <c r="V1009" s="71"/>
      <c r="W1009" s="71"/>
    </row>
    <row r="1010" spans="20:23" x14ac:dyDescent="0.25">
      <c r="T1010" s="71"/>
      <c r="U1010" s="71"/>
      <c r="V1010" s="71"/>
      <c r="W1010" s="71"/>
    </row>
    <row r="1011" spans="20:23" x14ac:dyDescent="0.25">
      <c r="T1011" s="71"/>
      <c r="U1011" s="71"/>
      <c r="V1011" s="71"/>
      <c r="W1011" s="71"/>
    </row>
    <row r="1012" spans="20:23" x14ac:dyDescent="0.25">
      <c r="T1012" s="71"/>
      <c r="U1012" s="71"/>
      <c r="V1012" s="71"/>
      <c r="W1012" s="71"/>
    </row>
    <row r="1013" spans="20:23" x14ac:dyDescent="0.25">
      <c r="T1013" s="71"/>
      <c r="U1013" s="71"/>
      <c r="V1013" s="71"/>
      <c r="W1013" s="71"/>
    </row>
    <row r="1014" spans="20:23" x14ac:dyDescent="0.25">
      <c r="T1014" s="71"/>
      <c r="U1014" s="71"/>
      <c r="V1014" s="71"/>
      <c r="W1014" s="71"/>
    </row>
    <row r="1015" spans="20:23" x14ac:dyDescent="0.25">
      <c r="T1015" s="71"/>
      <c r="U1015" s="71"/>
      <c r="V1015" s="71"/>
      <c r="W1015" s="71"/>
    </row>
    <row r="1016" spans="20:23" x14ac:dyDescent="0.25">
      <c r="T1016" s="71"/>
      <c r="U1016" s="71"/>
      <c r="V1016" s="71"/>
      <c r="W1016" s="71"/>
    </row>
    <row r="1017" spans="20:23" x14ac:dyDescent="0.25">
      <c r="T1017" s="71"/>
      <c r="U1017" s="71"/>
      <c r="V1017" s="71"/>
      <c r="W1017" s="71"/>
    </row>
    <row r="1018" spans="20:23" x14ac:dyDescent="0.25">
      <c r="T1018" s="71"/>
      <c r="U1018" s="71"/>
      <c r="V1018" s="71"/>
      <c r="W1018" s="71"/>
    </row>
    <row r="1019" spans="20:23" x14ac:dyDescent="0.25">
      <c r="T1019" s="71"/>
      <c r="U1019" s="71"/>
      <c r="V1019" s="71"/>
      <c r="W1019" s="71"/>
    </row>
    <row r="1020" spans="20:23" x14ac:dyDescent="0.25">
      <c r="T1020" s="71"/>
      <c r="U1020" s="71"/>
      <c r="V1020" s="71"/>
      <c r="W1020" s="71"/>
    </row>
    <row r="1021" spans="20:23" x14ac:dyDescent="0.25">
      <c r="T1021" s="71"/>
      <c r="U1021" s="71"/>
      <c r="V1021" s="71"/>
      <c r="W1021" s="71"/>
    </row>
    <row r="1022" spans="20:23" x14ac:dyDescent="0.25">
      <c r="T1022" s="71"/>
      <c r="U1022" s="71"/>
      <c r="V1022" s="71"/>
      <c r="W1022" s="71"/>
    </row>
    <row r="1023" spans="20:23" x14ac:dyDescent="0.25">
      <c r="T1023" s="71"/>
      <c r="U1023" s="71"/>
      <c r="V1023" s="71"/>
      <c r="W1023" s="71"/>
    </row>
    <row r="1024" spans="20:23" x14ac:dyDescent="0.25">
      <c r="T1024" s="71"/>
      <c r="U1024" s="71"/>
      <c r="V1024" s="71"/>
      <c r="W1024" s="71"/>
    </row>
    <row r="1025" spans="20:23" x14ac:dyDescent="0.25">
      <c r="T1025" s="71"/>
      <c r="U1025" s="71"/>
      <c r="V1025" s="71"/>
      <c r="W1025" s="71"/>
    </row>
    <row r="1026" spans="20:23" x14ac:dyDescent="0.25">
      <c r="T1026" s="71"/>
      <c r="U1026" s="71"/>
      <c r="V1026" s="71"/>
      <c r="W1026" s="71"/>
    </row>
    <row r="1027" spans="20:23" x14ac:dyDescent="0.25">
      <c r="T1027" s="71"/>
      <c r="U1027" s="71"/>
      <c r="V1027" s="71"/>
      <c r="W1027" s="71"/>
    </row>
    <row r="1028" spans="20:23" x14ac:dyDescent="0.25">
      <c r="T1028" s="71"/>
      <c r="U1028" s="71"/>
      <c r="V1028" s="71"/>
      <c r="W1028" s="71"/>
    </row>
    <row r="1029" spans="20:23" x14ac:dyDescent="0.25">
      <c r="T1029" s="71"/>
      <c r="U1029" s="71"/>
      <c r="V1029" s="71"/>
      <c r="W1029" s="71"/>
    </row>
    <row r="1030" spans="20:23" x14ac:dyDescent="0.25">
      <c r="T1030" s="71"/>
      <c r="U1030" s="71"/>
      <c r="V1030" s="71"/>
      <c r="W1030" s="71"/>
    </row>
    <row r="1031" spans="20:23" x14ac:dyDescent="0.25">
      <c r="T1031" s="71"/>
      <c r="U1031" s="71"/>
      <c r="V1031" s="71"/>
      <c r="W1031" s="71"/>
    </row>
    <row r="1032" spans="20:23" x14ac:dyDescent="0.25">
      <c r="T1032" s="71"/>
      <c r="U1032" s="71"/>
      <c r="V1032" s="71"/>
      <c r="W1032" s="71"/>
    </row>
    <row r="1033" spans="20:23" x14ac:dyDescent="0.25">
      <c r="T1033" s="71"/>
      <c r="U1033" s="71"/>
      <c r="V1033" s="71"/>
      <c r="W1033" s="71"/>
    </row>
    <row r="1034" spans="20:23" x14ac:dyDescent="0.25">
      <c r="T1034" s="71"/>
      <c r="U1034" s="71"/>
      <c r="V1034" s="71"/>
      <c r="W1034" s="71"/>
    </row>
    <row r="1035" spans="20:23" x14ac:dyDescent="0.25">
      <c r="T1035" s="71"/>
      <c r="U1035" s="71"/>
      <c r="V1035" s="71"/>
      <c r="W1035" s="71"/>
    </row>
    <row r="1036" spans="20:23" x14ac:dyDescent="0.25">
      <c r="T1036" s="71"/>
      <c r="U1036" s="71"/>
      <c r="V1036" s="71"/>
      <c r="W1036" s="71"/>
    </row>
    <row r="1037" spans="20:23" x14ac:dyDescent="0.25">
      <c r="T1037" s="71"/>
      <c r="U1037" s="71"/>
      <c r="V1037" s="71"/>
      <c r="W1037" s="71"/>
    </row>
    <row r="1038" spans="20:23" x14ac:dyDescent="0.25">
      <c r="T1038" s="71"/>
      <c r="U1038" s="71"/>
      <c r="V1038" s="71"/>
      <c r="W1038" s="71"/>
    </row>
    <row r="1039" spans="20:23" x14ac:dyDescent="0.25">
      <c r="T1039" s="71"/>
      <c r="U1039" s="71"/>
      <c r="V1039" s="71"/>
      <c r="W1039" s="71"/>
    </row>
    <row r="1040" spans="20:23" x14ac:dyDescent="0.25">
      <c r="T1040" s="71"/>
      <c r="U1040" s="71"/>
      <c r="V1040" s="71"/>
      <c r="W1040" s="71"/>
    </row>
    <row r="1041" spans="20:23" x14ac:dyDescent="0.25">
      <c r="T1041" s="71"/>
      <c r="U1041" s="71"/>
      <c r="V1041" s="71"/>
      <c r="W1041" s="71"/>
    </row>
    <row r="1042" spans="20:23" x14ac:dyDescent="0.25">
      <c r="T1042" s="71"/>
      <c r="U1042" s="71"/>
      <c r="V1042" s="71"/>
      <c r="W1042" s="71"/>
    </row>
    <row r="1043" spans="20:23" x14ac:dyDescent="0.25">
      <c r="T1043" s="71"/>
      <c r="U1043" s="71"/>
      <c r="V1043" s="71"/>
      <c r="W1043" s="71"/>
    </row>
    <row r="1044" spans="20:23" x14ac:dyDescent="0.25">
      <c r="T1044" s="71"/>
      <c r="U1044" s="71"/>
      <c r="V1044" s="71"/>
      <c r="W1044" s="71"/>
    </row>
    <row r="1045" spans="20:23" x14ac:dyDescent="0.25">
      <c r="T1045" s="71"/>
      <c r="U1045" s="71"/>
      <c r="V1045" s="71"/>
      <c r="W1045" s="71"/>
    </row>
    <row r="1046" spans="20:23" x14ac:dyDescent="0.25">
      <c r="T1046" s="71"/>
      <c r="U1046" s="71"/>
      <c r="V1046" s="71"/>
      <c r="W1046" s="71"/>
    </row>
    <row r="1047" spans="20:23" x14ac:dyDescent="0.25">
      <c r="T1047" s="71"/>
      <c r="U1047" s="71"/>
      <c r="V1047" s="71"/>
      <c r="W1047" s="71"/>
    </row>
    <row r="1048" spans="20:23" x14ac:dyDescent="0.25">
      <c r="T1048" s="71"/>
      <c r="U1048" s="71"/>
      <c r="V1048" s="71"/>
      <c r="W1048" s="71"/>
    </row>
    <row r="1049" spans="20:23" x14ac:dyDescent="0.25">
      <c r="T1049" s="71"/>
      <c r="U1049" s="71"/>
      <c r="V1049" s="71"/>
      <c r="W1049" s="71"/>
    </row>
    <row r="1050" spans="20:23" x14ac:dyDescent="0.25">
      <c r="T1050" s="71"/>
      <c r="U1050" s="71"/>
      <c r="V1050" s="71"/>
      <c r="W1050" s="71"/>
    </row>
    <row r="1051" spans="20:23" x14ac:dyDescent="0.25">
      <c r="T1051" s="71"/>
      <c r="U1051" s="71"/>
      <c r="V1051" s="71"/>
      <c r="W1051" s="71"/>
    </row>
    <row r="1052" spans="20:23" x14ac:dyDescent="0.25">
      <c r="T1052" s="71"/>
      <c r="U1052" s="71"/>
      <c r="V1052" s="71"/>
      <c r="W1052" s="71"/>
    </row>
    <row r="1053" spans="20:23" x14ac:dyDescent="0.25">
      <c r="T1053" s="71"/>
      <c r="U1053" s="71"/>
      <c r="V1053" s="71"/>
      <c r="W1053" s="71"/>
    </row>
    <row r="1054" spans="20:23" x14ac:dyDescent="0.25">
      <c r="T1054" s="71"/>
      <c r="U1054" s="71"/>
      <c r="V1054" s="71"/>
      <c r="W1054" s="71"/>
    </row>
    <row r="1055" spans="20:23" x14ac:dyDescent="0.25">
      <c r="T1055" s="71"/>
      <c r="U1055" s="71"/>
      <c r="V1055" s="71"/>
      <c r="W1055" s="71"/>
    </row>
    <row r="1056" spans="20:23" x14ac:dyDescent="0.25">
      <c r="T1056" s="71"/>
      <c r="U1056" s="71"/>
      <c r="V1056" s="71"/>
      <c r="W1056" s="71"/>
    </row>
    <row r="1057" spans="20:23" x14ac:dyDescent="0.25">
      <c r="T1057" s="71"/>
      <c r="U1057" s="71"/>
      <c r="V1057" s="71"/>
      <c r="W1057" s="71"/>
    </row>
    <row r="1058" spans="20:23" x14ac:dyDescent="0.25">
      <c r="T1058" s="71"/>
      <c r="U1058" s="71"/>
      <c r="V1058" s="71"/>
      <c r="W1058" s="71"/>
    </row>
    <row r="1059" spans="20:23" x14ac:dyDescent="0.25">
      <c r="T1059" s="71"/>
      <c r="U1059" s="71"/>
      <c r="V1059" s="71"/>
      <c r="W1059" s="71"/>
    </row>
    <row r="1060" spans="20:23" x14ac:dyDescent="0.25">
      <c r="T1060" s="71"/>
      <c r="U1060" s="71"/>
      <c r="V1060" s="71"/>
      <c r="W1060" s="71"/>
    </row>
    <row r="1061" spans="20:23" x14ac:dyDescent="0.25">
      <c r="T1061" s="71"/>
      <c r="U1061" s="71"/>
      <c r="V1061" s="71"/>
      <c r="W1061" s="71"/>
    </row>
    <row r="1062" spans="20:23" x14ac:dyDescent="0.25">
      <c r="T1062" s="71"/>
      <c r="U1062" s="71"/>
      <c r="V1062" s="71"/>
      <c r="W1062" s="71"/>
    </row>
    <row r="1063" spans="20:23" x14ac:dyDescent="0.25">
      <c r="T1063" s="71"/>
      <c r="U1063" s="71"/>
      <c r="V1063" s="71"/>
      <c r="W1063" s="71"/>
    </row>
    <row r="1064" spans="20:23" x14ac:dyDescent="0.25">
      <c r="T1064" s="71"/>
      <c r="U1064" s="71"/>
      <c r="V1064" s="71"/>
      <c r="W1064" s="71"/>
    </row>
    <row r="1065" spans="20:23" x14ac:dyDescent="0.25">
      <c r="T1065" s="71"/>
      <c r="U1065" s="71"/>
      <c r="V1065" s="71"/>
      <c r="W1065" s="71"/>
    </row>
    <row r="1066" spans="20:23" x14ac:dyDescent="0.25">
      <c r="T1066" s="71"/>
      <c r="U1066" s="71"/>
      <c r="V1066" s="71"/>
      <c r="W1066" s="71"/>
    </row>
    <row r="1067" spans="20:23" x14ac:dyDescent="0.25">
      <c r="T1067" s="71"/>
      <c r="U1067" s="71"/>
      <c r="V1067" s="71"/>
      <c r="W1067" s="71"/>
    </row>
    <row r="1068" spans="20:23" x14ac:dyDescent="0.25">
      <c r="T1068" s="71"/>
      <c r="U1068" s="71"/>
      <c r="V1068" s="71"/>
      <c r="W1068" s="71"/>
    </row>
    <row r="1069" spans="20:23" x14ac:dyDescent="0.25">
      <c r="T1069" s="71"/>
      <c r="U1069" s="71"/>
      <c r="V1069" s="71"/>
      <c r="W1069" s="71"/>
    </row>
    <row r="1070" spans="20:23" x14ac:dyDescent="0.25">
      <c r="T1070" s="71"/>
      <c r="U1070" s="71"/>
      <c r="V1070" s="71"/>
      <c r="W1070" s="71"/>
    </row>
    <row r="1071" spans="20:23" x14ac:dyDescent="0.25">
      <c r="T1071" s="71"/>
      <c r="U1071" s="71"/>
      <c r="V1071" s="71"/>
      <c r="W1071" s="71"/>
    </row>
    <row r="1072" spans="20:23" x14ac:dyDescent="0.25">
      <c r="T1072" s="71"/>
      <c r="U1072" s="71"/>
      <c r="V1072" s="71"/>
      <c r="W1072" s="71"/>
    </row>
    <row r="1073" spans="20:23" x14ac:dyDescent="0.25">
      <c r="T1073" s="71"/>
      <c r="U1073" s="71"/>
      <c r="V1073" s="71"/>
      <c r="W1073" s="71"/>
    </row>
    <row r="1074" spans="20:23" x14ac:dyDescent="0.25">
      <c r="T1074" s="71"/>
      <c r="U1074" s="71"/>
      <c r="V1074" s="71"/>
      <c r="W1074" s="71"/>
    </row>
    <row r="1075" spans="20:23" x14ac:dyDescent="0.25">
      <c r="T1075" s="71"/>
      <c r="U1075" s="71"/>
      <c r="V1075" s="71"/>
      <c r="W1075" s="71"/>
    </row>
    <row r="1076" spans="20:23" x14ac:dyDescent="0.25">
      <c r="T1076" s="71"/>
      <c r="U1076" s="71"/>
      <c r="V1076" s="71"/>
      <c r="W1076" s="71"/>
    </row>
    <row r="1077" spans="20:23" x14ac:dyDescent="0.25">
      <c r="T1077" s="71"/>
      <c r="U1077" s="71"/>
      <c r="V1077" s="71"/>
      <c r="W1077" s="71"/>
    </row>
    <row r="1078" spans="20:23" x14ac:dyDescent="0.25">
      <c r="T1078" s="71"/>
      <c r="U1078" s="71"/>
      <c r="V1078" s="71"/>
      <c r="W1078" s="71"/>
    </row>
    <row r="1079" spans="20:23" x14ac:dyDescent="0.25">
      <c r="T1079" s="71"/>
      <c r="U1079" s="71"/>
      <c r="V1079" s="71"/>
      <c r="W1079" s="71"/>
    </row>
    <row r="1080" spans="20:23" x14ac:dyDescent="0.25">
      <c r="T1080" s="71"/>
      <c r="U1080" s="71"/>
      <c r="V1080" s="71"/>
      <c r="W1080" s="71"/>
    </row>
    <row r="1081" spans="20:23" x14ac:dyDescent="0.25">
      <c r="T1081" s="71"/>
      <c r="U1081" s="71"/>
      <c r="V1081" s="71"/>
      <c r="W1081" s="71"/>
    </row>
    <row r="1082" spans="20:23" x14ac:dyDescent="0.25">
      <c r="T1082" s="71"/>
      <c r="U1082" s="71"/>
      <c r="V1082" s="71"/>
      <c r="W1082" s="71"/>
    </row>
    <row r="1083" spans="20:23" x14ac:dyDescent="0.25">
      <c r="T1083" s="71"/>
      <c r="U1083" s="71"/>
      <c r="V1083" s="71"/>
      <c r="W1083" s="71"/>
    </row>
    <row r="1084" spans="20:23" x14ac:dyDescent="0.25">
      <c r="T1084" s="71"/>
      <c r="U1084" s="71"/>
      <c r="V1084" s="71"/>
      <c r="W1084" s="71"/>
    </row>
    <row r="1085" spans="20:23" x14ac:dyDescent="0.25">
      <c r="T1085" s="71"/>
      <c r="U1085" s="71"/>
      <c r="V1085" s="71"/>
      <c r="W1085" s="71"/>
    </row>
    <row r="1086" spans="20:23" x14ac:dyDescent="0.25">
      <c r="T1086" s="71"/>
      <c r="U1086" s="71"/>
      <c r="V1086" s="71"/>
      <c r="W1086" s="71"/>
    </row>
    <row r="1087" spans="20:23" x14ac:dyDescent="0.25">
      <c r="T1087" s="71"/>
      <c r="U1087" s="71"/>
      <c r="V1087" s="71"/>
      <c r="W1087" s="71"/>
    </row>
    <row r="1088" spans="20:23" x14ac:dyDescent="0.25">
      <c r="T1088" s="71"/>
      <c r="U1088" s="71"/>
      <c r="V1088" s="71"/>
      <c r="W1088" s="71"/>
    </row>
    <row r="1089" spans="20:23" x14ac:dyDescent="0.25">
      <c r="T1089" s="71"/>
      <c r="U1089" s="71"/>
      <c r="V1089" s="71"/>
      <c r="W1089" s="71"/>
    </row>
    <row r="1090" spans="20:23" x14ac:dyDescent="0.25">
      <c r="T1090" s="71"/>
      <c r="U1090" s="71"/>
      <c r="V1090" s="71"/>
      <c r="W1090" s="71"/>
    </row>
    <row r="1091" spans="20:23" x14ac:dyDescent="0.25">
      <c r="T1091" s="71"/>
      <c r="U1091" s="71"/>
      <c r="V1091" s="71"/>
      <c r="W1091" s="71"/>
    </row>
    <row r="1092" spans="20:23" x14ac:dyDescent="0.25">
      <c r="T1092" s="71"/>
      <c r="U1092" s="71"/>
      <c r="V1092" s="71"/>
      <c r="W1092" s="71"/>
    </row>
    <row r="1093" spans="20:23" x14ac:dyDescent="0.25">
      <c r="T1093" s="71"/>
      <c r="U1093" s="71"/>
      <c r="V1093" s="71"/>
      <c r="W1093" s="71"/>
    </row>
    <row r="1094" spans="20:23" x14ac:dyDescent="0.25">
      <c r="T1094" s="71"/>
      <c r="U1094" s="71"/>
      <c r="V1094" s="71"/>
      <c r="W1094" s="71"/>
    </row>
    <row r="1095" spans="20:23" x14ac:dyDescent="0.25">
      <c r="T1095" s="71"/>
      <c r="U1095" s="71"/>
      <c r="V1095" s="71"/>
      <c r="W1095" s="71"/>
    </row>
    <row r="1096" spans="20:23" x14ac:dyDescent="0.25">
      <c r="T1096" s="71"/>
      <c r="U1096" s="71"/>
      <c r="V1096" s="71"/>
      <c r="W1096" s="71"/>
    </row>
    <row r="1097" spans="20:23" x14ac:dyDescent="0.25">
      <c r="T1097" s="71"/>
      <c r="U1097" s="71"/>
      <c r="V1097" s="71"/>
      <c r="W1097" s="71"/>
    </row>
    <row r="1098" spans="20:23" x14ac:dyDescent="0.25">
      <c r="T1098" s="71"/>
      <c r="U1098" s="71"/>
      <c r="V1098" s="71"/>
      <c r="W1098" s="71"/>
    </row>
    <row r="1099" spans="20:23" x14ac:dyDescent="0.25">
      <c r="T1099" s="71"/>
      <c r="U1099" s="71"/>
      <c r="V1099" s="71"/>
      <c r="W1099" s="71"/>
    </row>
    <row r="1100" spans="20:23" x14ac:dyDescent="0.25">
      <c r="T1100" s="71"/>
      <c r="U1100" s="71"/>
      <c r="V1100" s="71"/>
      <c r="W1100" s="71"/>
    </row>
    <row r="1101" spans="20:23" x14ac:dyDescent="0.25">
      <c r="T1101" s="71"/>
      <c r="U1101" s="71"/>
      <c r="V1101" s="71"/>
      <c r="W1101" s="71"/>
    </row>
    <row r="1102" spans="20:23" x14ac:dyDescent="0.25">
      <c r="T1102" s="71"/>
      <c r="U1102" s="71"/>
      <c r="V1102" s="71"/>
      <c r="W1102" s="71"/>
    </row>
    <row r="1103" spans="20:23" x14ac:dyDescent="0.25">
      <c r="T1103" s="71"/>
      <c r="U1103" s="71"/>
      <c r="V1103" s="71"/>
      <c r="W1103" s="71"/>
    </row>
    <row r="1104" spans="20:23" x14ac:dyDescent="0.25">
      <c r="T1104" s="71"/>
      <c r="U1104" s="71"/>
      <c r="V1104" s="71"/>
      <c r="W1104" s="71"/>
    </row>
    <row r="1105" spans="20:23" x14ac:dyDescent="0.25">
      <c r="T1105" s="71"/>
      <c r="U1105" s="71"/>
      <c r="V1105" s="71"/>
      <c r="W1105" s="71"/>
    </row>
    <row r="1106" spans="20:23" x14ac:dyDescent="0.25">
      <c r="T1106" s="71"/>
      <c r="U1106" s="71"/>
      <c r="V1106" s="71"/>
      <c r="W1106" s="71"/>
    </row>
    <row r="1107" spans="20:23" x14ac:dyDescent="0.25">
      <c r="T1107" s="71"/>
      <c r="U1107" s="71"/>
      <c r="V1107" s="71"/>
      <c r="W1107" s="71"/>
    </row>
    <row r="1108" spans="20:23" x14ac:dyDescent="0.25">
      <c r="T1108" s="71"/>
      <c r="U1108" s="71"/>
      <c r="V1108" s="71"/>
      <c r="W1108" s="71"/>
    </row>
    <row r="1109" spans="20:23" x14ac:dyDescent="0.25">
      <c r="T1109" s="71"/>
      <c r="U1109" s="71"/>
      <c r="V1109" s="71"/>
      <c r="W1109" s="71"/>
    </row>
    <row r="1110" spans="20:23" x14ac:dyDescent="0.25">
      <c r="T1110" s="71"/>
      <c r="U1110" s="71"/>
      <c r="V1110" s="71"/>
      <c r="W1110" s="71"/>
    </row>
    <row r="1111" spans="20:23" x14ac:dyDescent="0.25">
      <c r="T1111" s="71"/>
      <c r="U1111" s="71"/>
      <c r="V1111" s="71"/>
      <c r="W1111" s="71"/>
    </row>
    <row r="1112" spans="20:23" x14ac:dyDescent="0.25">
      <c r="T1112" s="71"/>
      <c r="U1112" s="71"/>
      <c r="V1112" s="71"/>
      <c r="W1112" s="71"/>
    </row>
    <row r="1113" spans="20:23" x14ac:dyDescent="0.25">
      <c r="T1113" s="71"/>
      <c r="U1113" s="71"/>
      <c r="V1113" s="71"/>
      <c r="W1113" s="71"/>
    </row>
    <row r="1114" spans="20:23" x14ac:dyDescent="0.25">
      <c r="T1114" s="71"/>
      <c r="U1114" s="71"/>
      <c r="V1114" s="71"/>
      <c r="W1114" s="71"/>
    </row>
    <row r="1115" spans="20:23" x14ac:dyDescent="0.25">
      <c r="T1115" s="71"/>
      <c r="U1115" s="71"/>
      <c r="V1115" s="71"/>
      <c r="W1115" s="71"/>
    </row>
    <row r="1116" spans="20:23" x14ac:dyDescent="0.25">
      <c r="T1116" s="71"/>
      <c r="U1116" s="71"/>
      <c r="V1116" s="71"/>
      <c r="W1116" s="71"/>
    </row>
    <row r="1117" spans="20:23" x14ac:dyDescent="0.25">
      <c r="T1117" s="71"/>
      <c r="U1117" s="71"/>
      <c r="V1117" s="71"/>
      <c r="W1117" s="71"/>
    </row>
    <row r="1118" spans="20:23" x14ac:dyDescent="0.25">
      <c r="T1118" s="71"/>
      <c r="U1118" s="71"/>
      <c r="V1118" s="71"/>
      <c r="W1118" s="71"/>
    </row>
    <row r="1119" spans="20:23" x14ac:dyDescent="0.25">
      <c r="T1119" s="71"/>
      <c r="U1119" s="71"/>
      <c r="V1119" s="71"/>
      <c r="W1119" s="71"/>
    </row>
    <row r="1120" spans="20:23" x14ac:dyDescent="0.25">
      <c r="T1120" s="71"/>
      <c r="U1120" s="71"/>
      <c r="V1120" s="71"/>
      <c r="W1120" s="71"/>
    </row>
    <row r="1121" spans="20:23" x14ac:dyDescent="0.25">
      <c r="T1121" s="71"/>
      <c r="U1121" s="71"/>
      <c r="V1121" s="71"/>
      <c r="W1121" s="71"/>
    </row>
    <row r="1122" spans="20:23" x14ac:dyDescent="0.25">
      <c r="T1122" s="71"/>
      <c r="U1122" s="71"/>
      <c r="V1122" s="71"/>
      <c r="W1122" s="71"/>
    </row>
    <row r="1123" spans="20:23" x14ac:dyDescent="0.25">
      <c r="T1123" s="71"/>
      <c r="U1123" s="71"/>
      <c r="V1123" s="71"/>
      <c r="W1123" s="71"/>
    </row>
    <row r="1124" spans="20:23" x14ac:dyDescent="0.25">
      <c r="T1124" s="71"/>
      <c r="U1124" s="71"/>
      <c r="V1124" s="71"/>
      <c r="W1124" s="71"/>
    </row>
    <row r="1125" spans="20:23" x14ac:dyDescent="0.25">
      <c r="T1125" s="71"/>
      <c r="U1125" s="71"/>
      <c r="V1125" s="71"/>
      <c r="W1125" s="71"/>
    </row>
    <row r="1126" spans="20:23" x14ac:dyDescent="0.25">
      <c r="T1126" s="71"/>
      <c r="U1126" s="71"/>
      <c r="V1126" s="71"/>
      <c r="W1126" s="71"/>
    </row>
    <row r="1127" spans="20:23" x14ac:dyDescent="0.25">
      <c r="T1127" s="71"/>
      <c r="U1127" s="71"/>
      <c r="V1127" s="71"/>
      <c r="W1127" s="71"/>
    </row>
    <row r="1128" spans="20:23" x14ac:dyDescent="0.25">
      <c r="T1128" s="71"/>
      <c r="U1128" s="71"/>
      <c r="V1128" s="71"/>
      <c r="W1128" s="71"/>
    </row>
    <row r="1129" spans="20:23" x14ac:dyDescent="0.25">
      <c r="T1129" s="71"/>
      <c r="U1129" s="71"/>
      <c r="V1129" s="71"/>
      <c r="W1129" s="71"/>
    </row>
    <row r="1130" spans="20:23" x14ac:dyDescent="0.25">
      <c r="T1130" s="71"/>
      <c r="U1130" s="71"/>
      <c r="V1130" s="71"/>
      <c r="W1130" s="71"/>
    </row>
    <row r="1131" spans="20:23" x14ac:dyDescent="0.25">
      <c r="T1131" s="71"/>
      <c r="U1131" s="71"/>
      <c r="V1131" s="71"/>
      <c r="W1131" s="71"/>
    </row>
    <row r="1132" spans="20:23" x14ac:dyDescent="0.25">
      <c r="T1132" s="71"/>
      <c r="U1132" s="71"/>
      <c r="V1132" s="71"/>
      <c r="W1132" s="71"/>
    </row>
    <row r="1133" spans="20:23" x14ac:dyDescent="0.25">
      <c r="T1133" s="71"/>
      <c r="U1133" s="71"/>
      <c r="V1133" s="71"/>
      <c r="W1133" s="71"/>
    </row>
    <row r="1134" spans="20:23" x14ac:dyDescent="0.25">
      <c r="T1134" s="71"/>
      <c r="U1134" s="71"/>
      <c r="V1134" s="71"/>
      <c r="W1134" s="71"/>
    </row>
    <row r="1135" spans="20:23" x14ac:dyDescent="0.25">
      <c r="T1135" s="71"/>
      <c r="U1135" s="71"/>
      <c r="V1135" s="71"/>
      <c r="W1135" s="71"/>
    </row>
    <row r="1136" spans="20:23" x14ac:dyDescent="0.25">
      <c r="T1136" s="71"/>
      <c r="U1136" s="71"/>
      <c r="V1136" s="71"/>
      <c r="W1136" s="71"/>
    </row>
    <row r="1137" spans="20:23" x14ac:dyDescent="0.25">
      <c r="T1137" s="71"/>
      <c r="U1137" s="71"/>
      <c r="V1137" s="71"/>
      <c r="W1137" s="71"/>
    </row>
    <row r="1138" spans="20:23" x14ac:dyDescent="0.25">
      <c r="T1138" s="71"/>
      <c r="U1138" s="71"/>
      <c r="V1138" s="71"/>
      <c r="W1138" s="71"/>
    </row>
    <row r="1139" spans="20:23" x14ac:dyDescent="0.25">
      <c r="T1139" s="71"/>
      <c r="U1139" s="71"/>
      <c r="V1139" s="71"/>
      <c r="W1139" s="71"/>
    </row>
    <row r="1140" spans="20:23" x14ac:dyDescent="0.25">
      <c r="T1140" s="71"/>
      <c r="U1140" s="71"/>
      <c r="V1140" s="71"/>
      <c r="W1140" s="71"/>
    </row>
    <row r="1141" spans="20:23" x14ac:dyDescent="0.25">
      <c r="T1141" s="71"/>
      <c r="U1141" s="71"/>
      <c r="V1141" s="71"/>
      <c r="W1141" s="71"/>
    </row>
    <row r="1142" spans="20:23" x14ac:dyDescent="0.25">
      <c r="T1142" s="71"/>
      <c r="U1142" s="71"/>
      <c r="V1142" s="71"/>
      <c r="W1142" s="71"/>
    </row>
    <row r="1143" spans="20:23" x14ac:dyDescent="0.25">
      <c r="T1143" s="71"/>
      <c r="U1143" s="71"/>
      <c r="V1143" s="71"/>
      <c r="W1143" s="71"/>
    </row>
    <row r="1144" spans="20:23" x14ac:dyDescent="0.25">
      <c r="T1144" s="71"/>
      <c r="U1144" s="71"/>
      <c r="V1144" s="71"/>
      <c r="W1144" s="71"/>
    </row>
    <row r="1145" spans="20:23" x14ac:dyDescent="0.25">
      <c r="T1145" s="71"/>
      <c r="U1145" s="71"/>
      <c r="V1145" s="71"/>
      <c r="W1145" s="71"/>
    </row>
    <row r="1146" spans="20:23" x14ac:dyDescent="0.25">
      <c r="T1146" s="71"/>
      <c r="U1146" s="71"/>
      <c r="V1146" s="71"/>
      <c r="W1146" s="71"/>
    </row>
    <row r="1147" spans="20:23" x14ac:dyDescent="0.25">
      <c r="T1147" s="71"/>
      <c r="U1147" s="71"/>
      <c r="V1147" s="71"/>
      <c r="W1147" s="71"/>
    </row>
    <row r="1148" spans="20:23" x14ac:dyDescent="0.25">
      <c r="T1148" s="71"/>
      <c r="U1148" s="71"/>
      <c r="V1148" s="71"/>
      <c r="W1148" s="71"/>
    </row>
    <row r="1149" spans="20:23" x14ac:dyDescent="0.25">
      <c r="T1149" s="71"/>
      <c r="U1149" s="71"/>
      <c r="V1149" s="71"/>
      <c r="W1149" s="71"/>
    </row>
    <row r="1150" spans="20:23" x14ac:dyDescent="0.25">
      <c r="T1150" s="71"/>
      <c r="U1150" s="71"/>
      <c r="V1150" s="71"/>
      <c r="W1150" s="71"/>
    </row>
    <row r="1151" spans="20:23" x14ac:dyDescent="0.25">
      <c r="T1151" s="71"/>
      <c r="U1151" s="71"/>
      <c r="V1151" s="71"/>
      <c r="W1151" s="71"/>
    </row>
    <row r="1152" spans="20:23" x14ac:dyDescent="0.25">
      <c r="T1152" s="71"/>
      <c r="U1152" s="71"/>
      <c r="V1152" s="71"/>
      <c r="W1152" s="71"/>
    </row>
    <row r="1153" spans="20:23" x14ac:dyDescent="0.25">
      <c r="T1153" s="71"/>
      <c r="U1153" s="71"/>
      <c r="V1153" s="71"/>
      <c r="W1153" s="71"/>
    </row>
    <row r="1154" spans="20:23" x14ac:dyDescent="0.25">
      <c r="T1154" s="71"/>
      <c r="U1154" s="71"/>
      <c r="V1154" s="71"/>
      <c r="W1154" s="71"/>
    </row>
    <row r="1155" spans="20:23" x14ac:dyDescent="0.25">
      <c r="T1155" s="71"/>
      <c r="U1155" s="71"/>
      <c r="V1155" s="71"/>
      <c r="W1155" s="71"/>
    </row>
    <row r="1156" spans="20:23" x14ac:dyDescent="0.25">
      <c r="T1156" s="71"/>
      <c r="U1156" s="71"/>
      <c r="V1156" s="71"/>
      <c r="W1156" s="71"/>
    </row>
    <row r="1157" spans="20:23" x14ac:dyDescent="0.25">
      <c r="T1157" s="71"/>
      <c r="U1157" s="71"/>
      <c r="V1157" s="71"/>
      <c r="W1157" s="71"/>
    </row>
    <row r="1158" spans="20:23" x14ac:dyDescent="0.25">
      <c r="T1158" s="71"/>
      <c r="U1158" s="71"/>
      <c r="V1158" s="71"/>
      <c r="W1158" s="71"/>
    </row>
    <row r="1159" spans="20:23" x14ac:dyDescent="0.25">
      <c r="T1159" s="71"/>
      <c r="U1159" s="71"/>
      <c r="V1159" s="71"/>
      <c r="W1159" s="71"/>
    </row>
    <row r="1160" spans="20:23" x14ac:dyDescent="0.25">
      <c r="T1160" s="71"/>
      <c r="U1160" s="71"/>
      <c r="V1160" s="71"/>
      <c r="W1160" s="71"/>
    </row>
    <row r="1161" spans="20:23" x14ac:dyDescent="0.25">
      <c r="T1161" s="71"/>
      <c r="U1161" s="71"/>
      <c r="V1161" s="71"/>
      <c r="W1161" s="71"/>
    </row>
    <row r="1162" spans="20:23" x14ac:dyDescent="0.25">
      <c r="T1162" s="71"/>
      <c r="U1162" s="71"/>
      <c r="V1162" s="71"/>
      <c r="W1162" s="71"/>
    </row>
    <row r="1163" spans="20:23" x14ac:dyDescent="0.25">
      <c r="T1163" s="71"/>
      <c r="U1163" s="71"/>
      <c r="V1163" s="71"/>
      <c r="W1163" s="71"/>
    </row>
    <row r="1164" spans="20:23" x14ac:dyDescent="0.25">
      <c r="T1164" s="71"/>
      <c r="U1164" s="71"/>
      <c r="V1164" s="71"/>
      <c r="W1164" s="71"/>
    </row>
    <row r="1165" spans="20:23" x14ac:dyDescent="0.25">
      <c r="T1165" s="71"/>
      <c r="U1165" s="71"/>
      <c r="V1165" s="71"/>
      <c r="W1165" s="71"/>
    </row>
    <row r="1166" spans="20:23" x14ac:dyDescent="0.25">
      <c r="T1166" s="71"/>
      <c r="U1166" s="71"/>
      <c r="V1166" s="71"/>
      <c r="W1166" s="71"/>
    </row>
    <row r="1167" spans="20:23" x14ac:dyDescent="0.25">
      <c r="T1167" s="71"/>
      <c r="U1167" s="71"/>
      <c r="V1167" s="71"/>
      <c r="W1167" s="71"/>
    </row>
    <row r="1168" spans="20:23" x14ac:dyDescent="0.25">
      <c r="T1168" s="71"/>
      <c r="U1168" s="71"/>
      <c r="V1168" s="71"/>
      <c r="W1168" s="71"/>
    </row>
    <row r="1169" spans="20:23" x14ac:dyDescent="0.25">
      <c r="T1169" s="71"/>
      <c r="U1169" s="71"/>
      <c r="V1169" s="71"/>
      <c r="W1169" s="71"/>
    </row>
    <row r="1170" spans="20:23" x14ac:dyDescent="0.25">
      <c r="T1170" s="71"/>
      <c r="U1170" s="71"/>
      <c r="V1170" s="71"/>
      <c r="W1170" s="71"/>
    </row>
    <row r="1171" spans="20:23" x14ac:dyDescent="0.25">
      <c r="T1171" s="71"/>
      <c r="U1171" s="71"/>
      <c r="V1171" s="71"/>
      <c r="W1171" s="71"/>
    </row>
    <row r="1172" spans="20:23" x14ac:dyDescent="0.25">
      <c r="T1172" s="71"/>
      <c r="U1172" s="71"/>
      <c r="V1172" s="71"/>
      <c r="W1172" s="71"/>
    </row>
    <row r="1173" spans="20:23" x14ac:dyDescent="0.25">
      <c r="T1173" s="71"/>
      <c r="U1173" s="71"/>
      <c r="V1173" s="71"/>
      <c r="W1173" s="71"/>
    </row>
    <row r="1174" spans="20:23" x14ac:dyDescent="0.25">
      <c r="T1174" s="71"/>
      <c r="U1174" s="71"/>
      <c r="V1174" s="71"/>
      <c r="W1174" s="71"/>
    </row>
    <row r="1175" spans="20:23" x14ac:dyDescent="0.25">
      <c r="T1175" s="71"/>
      <c r="U1175" s="71"/>
      <c r="V1175" s="71"/>
      <c r="W1175" s="71"/>
    </row>
    <row r="1176" spans="20:23" x14ac:dyDescent="0.25">
      <c r="T1176" s="71"/>
      <c r="U1176" s="71"/>
      <c r="V1176" s="71"/>
      <c r="W1176" s="71"/>
    </row>
    <row r="1177" spans="20:23" x14ac:dyDescent="0.25">
      <c r="T1177" s="71"/>
      <c r="U1177" s="71"/>
      <c r="V1177" s="71"/>
      <c r="W1177" s="71"/>
    </row>
    <row r="1178" spans="20:23" x14ac:dyDescent="0.25">
      <c r="T1178" s="71"/>
      <c r="U1178" s="71"/>
      <c r="V1178" s="71"/>
      <c r="W1178" s="71"/>
    </row>
    <row r="1179" spans="20:23" x14ac:dyDescent="0.25">
      <c r="T1179" s="71"/>
      <c r="U1179" s="71"/>
      <c r="V1179" s="71"/>
      <c r="W1179" s="71"/>
    </row>
    <row r="1180" spans="20:23" x14ac:dyDescent="0.25">
      <c r="T1180" s="71"/>
      <c r="U1180" s="71"/>
      <c r="V1180" s="71"/>
      <c r="W1180" s="71"/>
    </row>
    <row r="1181" spans="20:23" x14ac:dyDescent="0.25">
      <c r="T1181" s="71"/>
      <c r="U1181" s="71"/>
      <c r="V1181" s="71"/>
      <c r="W1181" s="71"/>
    </row>
    <row r="1182" spans="20:23" x14ac:dyDescent="0.25">
      <c r="T1182" s="71"/>
      <c r="U1182" s="71"/>
      <c r="V1182" s="71"/>
      <c r="W1182" s="71"/>
    </row>
    <row r="1183" spans="20:23" x14ac:dyDescent="0.25">
      <c r="T1183" s="71"/>
      <c r="U1183" s="71"/>
      <c r="V1183" s="71"/>
      <c r="W1183" s="71"/>
    </row>
    <row r="1184" spans="20:23" x14ac:dyDescent="0.25">
      <c r="T1184" s="71"/>
      <c r="U1184" s="71"/>
      <c r="V1184" s="71"/>
      <c r="W1184" s="71"/>
    </row>
    <row r="1185" spans="20:23" x14ac:dyDescent="0.25">
      <c r="T1185" s="71"/>
      <c r="U1185" s="71"/>
      <c r="V1185" s="71"/>
      <c r="W1185" s="71"/>
    </row>
    <row r="1186" spans="20:23" x14ac:dyDescent="0.25">
      <c r="T1186" s="71"/>
      <c r="U1186" s="71"/>
      <c r="V1186" s="71"/>
      <c r="W1186" s="71"/>
    </row>
    <row r="1187" spans="20:23" x14ac:dyDescent="0.25">
      <c r="T1187" s="71"/>
      <c r="U1187" s="71"/>
      <c r="V1187" s="71"/>
      <c r="W1187" s="71"/>
    </row>
    <row r="1188" spans="20:23" x14ac:dyDescent="0.25">
      <c r="T1188" s="71"/>
      <c r="U1188" s="71"/>
      <c r="V1188" s="71"/>
      <c r="W1188" s="71"/>
    </row>
    <row r="1189" spans="20:23" x14ac:dyDescent="0.25">
      <c r="T1189" s="71"/>
      <c r="U1189" s="71"/>
      <c r="V1189" s="71"/>
      <c r="W1189" s="71"/>
    </row>
    <row r="1190" spans="20:23" x14ac:dyDescent="0.25">
      <c r="T1190" s="71"/>
      <c r="U1190" s="71"/>
      <c r="V1190" s="71"/>
      <c r="W1190" s="71"/>
    </row>
    <row r="1191" spans="20:23" x14ac:dyDescent="0.25">
      <c r="T1191" s="71"/>
      <c r="U1191" s="71"/>
      <c r="V1191" s="71"/>
      <c r="W1191" s="71"/>
    </row>
    <row r="1192" spans="20:23" x14ac:dyDescent="0.25">
      <c r="T1192" s="71"/>
      <c r="U1192" s="71"/>
      <c r="V1192" s="71"/>
      <c r="W1192" s="71"/>
    </row>
    <row r="1193" spans="20:23" x14ac:dyDescent="0.25">
      <c r="T1193" s="71"/>
      <c r="U1193" s="71"/>
      <c r="V1193" s="71"/>
      <c r="W1193" s="71"/>
    </row>
    <row r="1194" spans="20:23" x14ac:dyDescent="0.25">
      <c r="T1194" s="71"/>
      <c r="U1194" s="71"/>
      <c r="V1194" s="71"/>
      <c r="W1194" s="71"/>
    </row>
    <row r="1195" spans="20:23" x14ac:dyDescent="0.25">
      <c r="T1195" s="71"/>
      <c r="U1195" s="71"/>
      <c r="V1195" s="71"/>
      <c r="W1195" s="71"/>
    </row>
    <row r="1196" spans="20:23" x14ac:dyDescent="0.25">
      <c r="T1196" s="71"/>
      <c r="U1196" s="71"/>
      <c r="V1196" s="71"/>
      <c r="W1196" s="71"/>
    </row>
    <row r="1197" spans="20:23" x14ac:dyDescent="0.25">
      <c r="T1197" s="71"/>
      <c r="U1197" s="71"/>
      <c r="V1197" s="71"/>
      <c r="W1197" s="71"/>
    </row>
    <row r="1198" spans="20:23" x14ac:dyDescent="0.25">
      <c r="T1198" s="71"/>
      <c r="U1198" s="71"/>
      <c r="V1198" s="71"/>
      <c r="W1198" s="71"/>
    </row>
    <row r="1199" spans="20:23" x14ac:dyDescent="0.25">
      <c r="T1199" s="71"/>
      <c r="U1199" s="71"/>
      <c r="V1199" s="71"/>
      <c r="W1199" s="71"/>
    </row>
    <row r="1200" spans="20:23" x14ac:dyDescent="0.25">
      <c r="T1200" s="71"/>
      <c r="U1200" s="71"/>
      <c r="V1200" s="71"/>
      <c r="W1200" s="71"/>
    </row>
    <row r="1201" spans="20:23" x14ac:dyDescent="0.25">
      <c r="T1201" s="71"/>
      <c r="U1201" s="71"/>
      <c r="V1201" s="71"/>
      <c r="W1201" s="71"/>
    </row>
    <row r="1202" spans="20:23" x14ac:dyDescent="0.25">
      <c r="T1202" s="71"/>
      <c r="U1202" s="71"/>
      <c r="V1202" s="71"/>
      <c r="W1202" s="71"/>
    </row>
    <row r="1203" spans="20:23" x14ac:dyDescent="0.25">
      <c r="T1203" s="71"/>
      <c r="U1203" s="71"/>
      <c r="V1203" s="71"/>
      <c r="W1203" s="71"/>
    </row>
    <row r="1204" spans="20:23" x14ac:dyDescent="0.25">
      <c r="T1204" s="71"/>
      <c r="U1204" s="71"/>
      <c r="V1204" s="71"/>
      <c r="W1204" s="71"/>
    </row>
    <row r="1205" spans="20:23" x14ac:dyDescent="0.25">
      <c r="T1205" s="71"/>
      <c r="U1205" s="71"/>
      <c r="V1205" s="71"/>
      <c r="W1205" s="71"/>
    </row>
    <row r="1206" spans="20:23" x14ac:dyDescent="0.25">
      <c r="T1206" s="71"/>
      <c r="U1206" s="71"/>
      <c r="V1206" s="71"/>
      <c r="W1206" s="71"/>
    </row>
    <row r="1207" spans="20:23" x14ac:dyDescent="0.25">
      <c r="T1207" s="71"/>
      <c r="U1207" s="71"/>
      <c r="V1207" s="71"/>
      <c r="W1207" s="71"/>
    </row>
    <row r="1208" spans="20:23" x14ac:dyDescent="0.25">
      <c r="T1208" s="71"/>
      <c r="U1208" s="71"/>
      <c r="V1208" s="71"/>
      <c r="W1208" s="71"/>
    </row>
    <row r="1209" spans="20:23" x14ac:dyDescent="0.25">
      <c r="T1209" s="71"/>
      <c r="U1209" s="71"/>
      <c r="V1209" s="71"/>
      <c r="W1209" s="71"/>
    </row>
    <row r="1210" spans="20:23" x14ac:dyDescent="0.25">
      <c r="T1210" s="71"/>
      <c r="U1210" s="71"/>
      <c r="V1210" s="71"/>
      <c r="W1210" s="71"/>
    </row>
    <row r="1211" spans="20:23" x14ac:dyDescent="0.25">
      <c r="T1211" s="71"/>
      <c r="U1211" s="71"/>
      <c r="V1211" s="71"/>
      <c r="W1211" s="71"/>
    </row>
    <row r="1212" spans="20:23" x14ac:dyDescent="0.25">
      <c r="T1212" s="71"/>
      <c r="U1212" s="71"/>
      <c r="V1212" s="71"/>
      <c r="W1212" s="71"/>
    </row>
    <row r="1213" spans="20:23" x14ac:dyDescent="0.25">
      <c r="T1213" s="71"/>
      <c r="U1213" s="71"/>
      <c r="V1213" s="71"/>
      <c r="W1213" s="71"/>
    </row>
    <row r="1214" spans="20:23" x14ac:dyDescent="0.25">
      <c r="T1214" s="71"/>
      <c r="U1214" s="71"/>
      <c r="V1214" s="71"/>
      <c r="W1214" s="71"/>
    </row>
    <row r="1215" spans="20:23" x14ac:dyDescent="0.25">
      <c r="T1215" s="71"/>
      <c r="U1215" s="71"/>
      <c r="V1215" s="71"/>
      <c r="W1215" s="71"/>
    </row>
    <row r="1216" spans="20:23" x14ac:dyDescent="0.25">
      <c r="T1216" s="71"/>
      <c r="U1216" s="71"/>
      <c r="V1216" s="71"/>
      <c r="W1216" s="71"/>
    </row>
    <row r="1217" spans="20:23" x14ac:dyDescent="0.25">
      <c r="T1217" s="71"/>
      <c r="U1217" s="71"/>
      <c r="V1217" s="71"/>
      <c r="W1217" s="71"/>
    </row>
    <row r="1218" spans="20:23" x14ac:dyDescent="0.25">
      <c r="T1218" s="71"/>
      <c r="U1218" s="71"/>
      <c r="V1218" s="71"/>
      <c r="W1218" s="71"/>
    </row>
    <row r="1219" spans="20:23" x14ac:dyDescent="0.25">
      <c r="T1219" s="71"/>
      <c r="U1219" s="71"/>
      <c r="V1219" s="71"/>
      <c r="W1219" s="71"/>
    </row>
    <row r="1220" spans="20:23" x14ac:dyDescent="0.25">
      <c r="T1220" s="71"/>
      <c r="U1220" s="71"/>
      <c r="V1220" s="71"/>
      <c r="W1220" s="71"/>
    </row>
    <row r="1221" spans="20:23" x14ac:dyDescent="0.25">
      <c r="T1221" s="71"/>
      <c r="U1221" s="71"/>
      <c r="V1221" s="71"/>
      <c r="W1221" s="71"/>
    </row>
    <row r="1222" spans="20:23" x14ac:dyDescent="0.25">
      <c r="T1222" s="71"/>
      <c r="U1222" s="71"/>
      <c r="V1222" s="71"/>
      <c r="W1222" s="71"/>
    </row>
    <row r="1223" spans="20:23" x14ac:dyDescent="0.25">
      <c r="T1223" s="71"/>
      <c r="U1223" s="71"/>
      <c r="V1223" s="71"/>
      <c r="W1223" s="71"/>
    </row>
    <row r="1224" spans="20:23" x14ac:dyDescent="0.25">
      <c r="T1224" s="71"/>
      <c r="U1224" s="71"/>
      <c r="V1224" s="71"/>
      <c r="W1224" s="71"/>
    </row>
    <row r="1225" spans="20:23" x14ac:dyDescent="0.25">
      <c r="T1225" s="71"/>
      <c r="U1225" s="71"/>
      <c r="V1225" s="71"/>
      <c r="W1225" s="71"/>
    </row>
    <row r="1226" spans="20:23" x14ac:dyDescent="0.25">
      <c r="T1226" s="71"/>
      <c r="U1226" s="71"/>
      <c r="V1226" s="71"/>
      <c r="W1226" s="71"/>
    </row>
    <row r="1227" spans="20:23" x14ac:dyDescent="0.25">
      <c r="T1227" s="71"/>
      <c r="U1227" s="71"/>
      <c r="V1227" s="71"/>
      <c r="W1227" s="71"/>
    </row>
    <row r="1228" spans="20:23" x14ac:dyDescent="0.25">
      <c r="T1228" s="71"/>
      <c r="U1228" s="71"/>
      <c r="V1228" s="71"/>
      <c r="W1228" s="71"/>
    </row>
    <row r="1229" spans="20:23" x14ac:dyDescent="0.25">
      <c r="T1229" s="71"/>
      <c r="U1229" s="71"/>
      <c r="V1229" s="71"/>
      <c r="W1229" s="71"/>
    </row>
    <row r="1230" spans="20:23" x14ac:dyDescent="0.25">
      <c r="T1230" s="71"/>
      <c r="U1230" s="71"/>
      <c r="V1230" s="71"/>
      <c r="W1230" s="71"/>
    </row>
    <row r="1231" spans="20:23" x14ac:dyDescent="0.25">
      <c r="T1231" s="71"/>
      <c r="U1231" s="71"/>
      <c r="V1231" s="71"/>
      <c r="W1231" s="71"/>
    </row>
    <row r="1232" spans="20:23" x14ac:dyDescent="0.25">
      <c r="T1232" s="71"/>
      <c r="U1232" s="71"/>
      <c r="V1232" s="71"/>
      <c r="W1232" s="71"/>
    </row>
    <row r="1233" spans="20:23" x14ac:dyDescent="0.25">
      <c r="T1233" s="71"/>
      <c r="U1233" s="71"/>
      <c r="V1233" s="71"/>
      <c r="W1233" s="71"/>
    </row>
    <row r="1234" spans="20:23" x14ac:dyDescent="0.25">
      <c r="T1234" s="71"/>
      <c r="U1234" s="71"/>
      <c r="V1234" s="71"/>
      <c r="W1234" s="71"/>
    </row>
    <row r="1235" spans="20:23" x14ac:dyDescent="0.25">
      <c r="T1235" s="71"/>
      <c r="U1235" s="71"/>
      <c r="V1235" s="71"/>
      <c r="W1235" s="71"/>
    </row>
    <row r="1236" spans="20:23" x14ac:dyDescent="0.25">
      <c r="T1236" s="71"/>
      <c r="U1236" s="71"/>
      <c r="V1236" s="71"/>
      <c r="W1236" s="71"/>
    </row>
    <row r="1237" spans="20:23" x14ac:dyDescent="0.25">
      <c r="T1237" s="71"/>
      <c r="U1237" s="71"/>
      <c r="V1237" s="71"/>
      <c r="W1237" s="71"/>
    </row>
    <row r="1238" spans="20:23" x14ac:dyDescent="0.25">
      <c r="T1238" s="71"/>
      <c r="U1238" s="71"/>
      <c r="V1238" s="71"/>
      <c r="W1238" s="71"/>
    </row>
    <row r="1239" spans="20:23" x14ac:dyDescent="0.25">
      <c r="T1239" s="71"/>
      <c r="U1239" s="71"/>
      <c r="V1239" s="71"/>
      <c r="W1239" s="71"/>
    </row>
    <row r="1240" spans="20:23" x14ac:dyDescent="0.25">
      <c r="T1240" s="71"/>
      <c r="U1240" s="71"/>
      <c r="V1240" s="71"/>
      <c r="W1240" s="71"/>
    </row>
    <row r="1241" spans="20:23" x14ac:dyDescent="0.25">
      <c r="T1241" s="71"/>
      <c r="U1241" s="71"/>
      <c r="V1241" s="71"/>
      <c r="W1241" s="71"/>
    </row>
    <row r="1242" spans="20:23" x14ac:dyDescent="0.25">
      <c r="T1242" s="71"/>
      <c r="U1242" s="71"/>
      <c r="V1242" s="71"/>
      <c r="W1242" s="71"/>
    </row>
    <row r="1243" spans="20:23" x14ac:dyDescent="0.25">
      <c r="T1243" s="71"/>
      <c r="U1243" s="71"/>
      <c r="V1243" s="71"/>
      <c r="W1243" s="71"/>
    </row>
    <row r="1244" spans="20:23" x14ac:dyDescent="0.25">
      <c r="T1244" s="71"/>
      <c r="U1244" s="71"/>
      <c r="V1244" s="71"/>
      <c r="W1244" s="71"/>
    </row>
    <row r="1245" spans="20:23" x14ac:dyDescent="0.25">
      <c r="T1245" s="71"/>
      <c r="U1245" s="71"/>
      <c r="V1245" s="71"/>
      <c r="W1245" s="71"/>
    </row>
    <row r="1246" spans="20:23" x14ac:dyDescent="0.25">
      <c r="T1246" s="71"/>
      <c r="U1246" s="71"/>
      <c r="V1246" s="71"/>
      <c r="W1246" s="71"/>
    </row>
    <row r="1247" spans="20:23" x14ac:dyDescent="0.25">
      <c r="T1247" s="71"/>
      <c r="U1247" s="71"/>
      <c r="V1247" s="71"/>
      <c r="W1247" s="71"/>
    </row>
    <row r="1248" spans="20:23" x14ac:dyDescent="0.25">
      <c r="T1248" s="71"/>
      <c r="U1248" s="71"/>
      <c r="V1248" s="71"/>
      <c r="W1248" s="71"/>
    </row>
    <row r="1249" spans="20:23" x14ac:dyDescent="0.25">
      <c r="T1249" s="71"/>
      <c r="U1249" s="71"/>
      <c r="V1249" s="71"/>
      <c r="W1249" s="71"/>
    </row>
    <row r="1250" spans="20:23" x14ac:dyDescent="0.25">
      <c r="T1250" s="71"/>
      <c r="U1250" s="71"/>
      <c r="V1250" s="71"/>
      <c r="W1250" s="71"/>
    </row>
    <row r="1251" spans="20:23" x14ac:dyDescent="0.25">
      <c r="T1251" s="71"/>
      <c r="U1251" s="71"/>
      <c r="V1251" s="71"/>
      <c r="W1251" s="71"/>
    </row>
    <row r="1252" spans="20:23" x14ac:dyDescent="0.25">
      <c r="T1252" s="71"/>
      <c r="U1252" s="71"/>
      <c r="V1252" s="71"/>
      <c r="W1252" s="71"/>
    </row>
    <row r="1253" spans="20:23" x14ac:dyDescent="0.25">
      <c r="T1253" s="71"/>
      <c r="U1253" s="71"/>
      <c r="V1253" s="71"/>
      <c r="W1253" s="71"/>
    </row>
    <row r="1254" spans="20:23" x14ac:dyDescent="0.25">
      <c r="T1254" s="71"/>
      <c r="U1254" s="71"/>
      <c r="V1254" s="71"/>
      <c r="W1254" s="71"/>
    </row>
    <row r="1255" spans="20:23" x14ac:dyDescent="0.25">
      <c r="T1255" s="71"/>
      <c r="U1255" s="71"/>
      <c r="V1255" s="71"/>
      <c r="W1255" s="71"/>
    </row>
    <row r="1256" spans="20:23" x14ac:dyDescent="0.25">
      <c r="T1256" s="71"/>
      <c r="U1256" s="71"/>
      <c r="V1256" s="71"/>
      <c r="W1256" s="71"/>
    </row>
    <row r="1257" spans="20:23" x14ac:dyDescent="0.25">
      <c r="T1257" s="71"/>
      <c r="U1257" s="71"/>
      <c r="V1257" s="71"/>
      <c r="W1257" s="71"/>
    </row>
    <row r="1258" spans="20:23" x14ac:dyDescent="0.25">
      <c r="T1258" s="71"/>
      <c r="U1258" s="71"/>
      <c r="V1258" s="71"/>
      <c r="W1258" s="71"/>
    </row>
    <row r="1259" spans="20:23" x14ac:dyDescent="0.25">
      <c r="T1259" s="71"/>
      <c r="U1259" s="71"/>
      <c r="V1259" s="71"/>
      <c r="W1259" s="71"/>
    </row>
    <row r="1260" spans="20:23" x14ac:dyDescent="0.25">
      <c r="T1260" s="71"/>
      <c r="U1260" s="71"/>
      <c r="V1260" s="71"/>
      <c r="W1260" s="71"/>
    </row>
    <row r="1261" spans="20:23" x14ac:dyDescent="0.25">
      <c r="T1261" s="71"/>
      <c r="U1261" s="71"/>
      <c r="V1261" s="71"/>
      <c r="W1261" s="71"/>
    </row>
    <row r="1262" spans="20:23" x14ac:dyDescent="0.25">
      <c r="T1262" s="71"/>
      <c r="U1262" s="71"/>
      <c r="V1262" s="71"/>
      <c r="W1262" s="71"/>
    </row>
    <row r="1263" spans="20:23" x14ac:dyDescent="0.25">
      <c r="T1263" s="71"/>
      <c r="U1263" s="71"/>
      <c r="V1263" s="71"/>
      <c r="W1263" s="71"/>
    </row>
    <row r="1264" spans="20:23" x14ac:dyDescent="0.25">
      <c r="T1264" s="71"/>
      <c r="U1264" s="71"/>
      <c r="V1264" s="71"/>
      <c r="W1264" s="71"/>
    </row>
    <row r="1265" spans="20:23" x14ac:dyDescent="0.25">
      <c r="T1265" s="71"/>
      <c r="U1265" s="71"/>
      <c r="V1265" s="71"/>
      <c r="W1265" s="71"/>
    </row>
    <row r="1266" spans="20:23" x14ac:dyDescent="0.25">
      <c r="T1266" s="71"/>
      <c r="U1266" s="71"/>
      <c r="V1266" s="71"/>
      <c r="W1266" s="71"/>
    </row>
    <row r="1267" spans="20:23" x14ac:dyDescent="0.25">
      <c r="T1267" s="71"/>
      <c r="U1267" s="71"/>
      <c r="V1267" s="71"/>
      <c r="W1267" s="71"/>
    </row>
    <row r="1268" spans="20:23" x14ac:dyDescent="0.25">
      <c r="T1268" s="71"/>
      <c r="U1268" s="71"/>
      <c r="V1268" s="71"/>
      <c r="W1268" s="71"/>
    </row>
    <row r="1269" spans="20:23" x14ac:dyDescent="0.25">
      <c r="T1269" s="71"/>
      <c r="U1269" s="71"/>
      <c r="V1269" s="71"/>
      <c r="W1269" s="71"/>
    </row>
    <row r="1270" spans="20:23" x14ac:dyDescent="0.25">
      <c r="T1270" s="71"/>
      <c r="U1270" s="71"/>
      <c r="V1270" s="71"/>
      <c r="W1270" s="71"/>
    </row>
    <row r="1271" spans="20:23" x14ac:dyDescent="0.25">
      <c r="T1271" s="71"/>
      <c r="U1271" s="71"/>
      <c r="V1271" s="71"/>
      <c r="W1271" s="71"/>
    </row>
    <row r="1272" spans="20:23" x14ac:dyDescent="0.25">
      <c r="T1272" s="71"/>
      <c r="U1272" s="71"/>
      <c r="V1272" s="71"/>
      <c r="W1272" s="71"/>
    </row>
    <row r="1273" spans="20:23" x14ac:dyDescent="0.25">
      <c r="T1273" s="71"/>
      <c r="U1273" s="71"/>
      <c r="V1273" s="71"/>
      <c r="W1273" s="71"/>
    </row>
    <row r="1274" spans="20:23" x14ac:dyDescent="0.25">
      <c r="T1274" s="71"/>
      <c r="U1274" s="71"/>
      <c r="V1274" s="71"/>
      <c r="W1274" s="71"/>
    </row>
    <row r="1275" spans="20:23" x14ac:dyDescent="0.25">
      <c r="T1275" s="71"/>
      <c r="U1275" s="71"/>
      <c r="V1275" s="71"/>
      <c r="W1275" s="71"/>
    </row>
    <row r="1276" spans="20:23" x14ac:dyDescent="0.25">
      <c r="T1276" s="71"/>
      <c r="U1276" s="71"/>
      <c r="V1276" s="71"/>
      <c r="W1276" s="71"/>
    </row>
    <row r="1277" spans="20:23" x14ac:dyDescent="0.25">
      <c r="T1277" s="71"/>
      <c r="U1277" s="71"/>
      <c r="V1277" s="71"/>
      <c r="W1277" s="71"/>
    </row>
    <row r="1278" spans="20:23" x14ac:dyDescent="0.25">
      <c r="T1278" s="71"/>
      <c r="U1278" s="71"/>
      <c r="V1278" s="71"/>
      <c r="W1278" s="71"/>
    </row>
    <row r="1279" spans="20:23" x14ac:dyDescent="0.25">
      <c r="T1279" s="71"/>
      <c r="U1279" s="71"/>
      <c r="V1279" s="71"/>
      <c r="W1279" s="71"/>
    </row>
    <row r="1280" spans="20:23" x14ac:dyDescent="0.25">
      <c r="T1280" s="71"/>
      <c r="U1280" s="71"/>
      <c r="V1280" s="71"/>
      <c r="W1280" s="71"/>
    </row>
    <row r="1281" spans="20:23" x14ac:dyDescent="0.25">
      <c r="T1281" s="71"/>
      <c r="U1281" s="71"/>
      <c r="V1281" s="71"/>
      <c r="W1281" s="71"/>
    </row>
    <row r="1282" spans="20:23" x14ac:dyDescent="0.25">
      <c r="T1282" s="71"/>
      <c r="U1282" s="71"/>
      <c r="V1282" s="71"/>
      <c r="W1282" s="71"/>
    </row>
    <row r="1283" spans="20:23" x14ac:dyDescent="0.25">
      <c r="T1283" s="71"/>
      <c r="U1283" s="71"/>
      <c r="V1283" s="71"/>
      <c r="W1283" s="71"/>
    </row>
    <row r="1284" spans="20:23" x14ac:dyDescent="0.25">
      <c r="T1284" s="71"/>
      <c r="U1284" s="71"/>
      <c r="V1284" s="71"/>
      <c r="W1284" s="71"/>
    </row>
    <row r="1285" spans="20:23" x14ac:dyDescent="0.25">
      <c r="T1285" s="71"/>
      <c r="U1285" s="71"/>
      <c r="V1285" s="71"/>
      <c r="W1285" s="71"/>
    </row>
    <row r="1286" spans="20:23" x14ac:dyDescent="0.25">
      <c r="T1286" s="71"/>
      <c r="U1286" s="71"/>
      <c r="V1286" s="71"/>
      <c r="W1286" s="71"/>
    </row>
    <row r="1287" spans="20:23" x14ac:dyDescent="0.25">
      <c r="T1287" s="71"/>
      <c r="U1287" s="71"/>
      <c r="V1287" s="71"/>
      <c r="W1287" s="71"/>
    </row>
    <row r="1288" spans="20:23" x14ac:dyDescent="0.25">
      <c r="T1288" s="71"/>
      <c r="U1288" s="71"/>
      <c r="V1288" s="71"/>
      <c r="W1288" s="71"/>
    </row>
    <row r="1289" spans="20:23" x14ac:dyDescent="0.25">
      <c r="T1289" s="71"/>
      <c r="U1289" s="71"/>
      <c r="V1289" s="71"/>
      <c r="W1289" s="71"/>
    </row>
    <row r="1290" spans="20:23" x14ac:dyDescent="0.25">
      <c r="T1290" s="71"/>
      <c r="U1290" s="71"/>
      <c r="V1290" s="71"/>
      <c r="W1290" s="71"/>
    </row>
    <row r="1291" spans="20:23" x14ac:dyDescent="0.25">
      <c r="T1291" s="71"/>
      <c r="U1291" s="71"/>
      <c r="V1291" s="71"/>
      <c r="W1291" s="71"/>
    </row>
    <row r="1292" spans="20:23" x14ac:dyDescent="0.25">
      <c r="T1292" s="71"/>
      <c r="U1292" s="71"/>
      <c r="V1292" s="71"/>
      <c r="W1292" s="71"/>
    </row>
    <row r="1293" spans="20:23" x14ac:dyDescent="0.25">
      <c r="T1293" s="71"/>
      <c r="U1293" s="71"/>
      <c r="V1293" s="71"/>
      <c r="W1293" s="71"/>
    </row>
    <row r="1294" spans="20:23" x14ac:dyDescent="0.25">
      <c r="T1294" s="71"/>
      <c r="U1294" s="71"/>
      <c r="V1294" s="71"/>
      <c r="W1294" s="71"/>
    </row>
    <row r="1295" spans="20:23" x14ac:dyDescent="0.25">
      <c r="T1295" s="71"/>
      <c r="U1295" s="71"/>
      <c r="V1295" s="71"/>
      <c r="W1295" s="71"/>
    </row>
    <row r="1296" spans="20:23" x14ac:dyDescent="0.25">
      <c r="T1296" s="71"/>
      <c r="U1296" s="71"/>
      <c r="V1296" s="71"/>
      <c r="W1296" s="71"/>
    </row>
    <row r="1297" spans="20:23" x14ac:dyDescent="0.25">
      <c r="T1297" s="71"/>
      <c r="U1297" s="71"/>
      <c r="V1297" s="71"/>
      <c r="W1297" s="71"/>
    </row>
    <row r="1298" spans="20:23" x14ac:dyDescent="0.25">
      <c r="T1298" s="71"/>
      <c r="U1298" s="71"/>
      <c r="V1298" s="71"/>
      <c r="W1298" s="71"/>
    </row>
    <row r="1299" spans="20:23" x14ac:dyDescent="0.25">
      <c r="T1299" s="71"/>
      <c r="U1299" s="71"/>
      <c r="V1299" s="71"/>
      <c r="W1299" s="71"/>
    </row>
    <row r="1300" spans="20:23" x14ac:dyDescent="0.25">
      <c r="T1300" s="71"/>
      <c r="U1300" s="71"/>
      <c r="V1300" s="71"/>
      <c r="W1300" s="71"/>
    </row>
    <row r="1301" spans="20:23" x14ac:dyDescent="0.25">
      <c r="T1301" s="71"/>
      <c r="U1301" s="71"/>
      <c r="V1301" s="71"/>
      <c r="W1301" s="71"/>
    </row>
    <row r="1302" spans="20:23" x14ac:dyDescent="0.25">
      <c r="T1302" s="71"/>
      <c r="U1302" s="71"/>
      <c r="V1302" s="71"/>
      <c r="W1302" s="71"/>
    </row>
    <row r="1303" spans="20:23" x14ac:dyDescent="0.25">
      <c r="T1303" s="71"/>
      <c r="U1303" s="71"/>
      <c r="V1303" s="71"/>
      <c r="W1303" s="71"/>
    </row>
    <row r="1304" spans="20:23" x14ac:dyDescent="0.25">
      <c r="T1304" s="71"/>
      <c r="U1304" s="71"/>
      <c r="V1304" s="71"/>
      <c r="W1304" s="71"/>
    </row>
    <row r="1305" spans="20:23" x14ac:dyDescent="0.25">
      <c r="T1305" s="71"/>
      <c r="U1305" s="71"/>
      <c r="V1305" s="71"/>
      <c r="W1305" s="71"/>
    </row>
    <row r="1306" spans="20:23" x14ac:dyDescent="0.25">
      <c r="T1306" s="71"/>
      <c r="U1306" s="71"/>
      <c r="V1306" s="71"/>
      <c r="W1306" s="71"/>
    </row>
    <row r="1307" spans="20:23" x14ac:dyDescent="0.25">
      <c r="T1307" s="71"/>
      <c r="U1307" s="71"/>
      <c r="V1307" s="71"/>
      <c r="W1307" s="71"/>
    </row>
    <row r="1308" spans="20:23" x14ac:dyDescent="0.25">
      <c r="T1308" s="71"/>
      <c r="U1308" s="71"/>
      <c r="V1308" s="71"/>
      <c r="W1308" s="71"/>
    </row>
    <row r="1309" spans="20:23" x14ac:dyDescent="0.25">
      <c r="T1309" s="71"/>
      <c r="U1309" s="71"/>
      <c r="V1309" s="71"/>
      <c r="W1309" s="71"/>
    </row>
    <row r="1310" spans="20:23" x14ac:dyDescent="0.25">
      <c r="T1310" s="71"/>
      <c r="U1310" s="71"/>
      <c r="V1310" s="71"/>
      <c r="W1310" s="71"/>
    </row>
    <row r="1311" spans="20:23" x14ac:dyDescent="0.25">
      <c r="T1311" s="71"/>
      <c r="U1311" s="71"/>
      <c r="V1311" s="71"/>
      <c r="W1311" s="71"/>
    </row>
    <row r="1312" spans="20:23" x14ac:dyDescent="0.25">
      <c r="T1312" s="71"/>
      <c r="U1312" s="71"/>
      <c r="V1312" s="71"/>
      <c r="W1312" s="71"/>
    </row>
    <row r="1313" spans="20:23" x14ac:dyDescent="0.25">
      <c r="T1313" s="71"/>
      <c r="U1313" s="71"/>
      <c r="V1313" s="71"/>
      <c r="W1313" s="71"/>
    </row>
    <row r="1314" spans="20:23" x14ac:dyDescent="0.25">
      <c r="T1314" s="71"/>
      <c r="U1314" s="71"/>
      <c r="V1314" s="71"/>
      <c r="W1314" s="71"/>
    </row>
    <row r="1315" spans="20:23" x14ac:dyDescent="0.25">
      <c r="T1315" s="71"/>
      <c r="U1315" s="71"/>
      <c r="V1315" s="71"/>
      <c r="W1315" s="71"/>
    </row>
    <row r="1316" spans="20:23" x14ac:dyDescent="0.25">
      <c r="T1316" s="71"/>
      <c r="U1316" s="71"/>
      <c r="V1316" s="71"/>
      <c r="W1316" s="71"/>
    </row>
    <row r="1317" spans="20:23" x14ac:dyDescent="0.25">
      <c r="T1317" s="71"/>
      <c r="U1317" s="71"/>
      <c r="V1317" s="71"/>
      <c r="W1317" s="71"/>
    </row>
    <row r="1318" spans="20:23" x14ac:dyDescent="0.25">
      <c r="T1318" s="71"/>
      <c r="U1318" s="71"/>
      <c r="V1318" s="71"/>
      <c r="W1318" s="71"/>
    </row>
    <row r="1319" spans="20:23" x14ac:dyDescent="0.25">
      <c r="T1319" s="71"/>
      <c r="U1319" s="71"/>
      <c r="V1319" s="71"/>
      <c r="W1319" s="71"/>
    </row>
    <row r="1320" spans="20:23" x14ac:dyDescent="0.25">
      <c r="T1320" s="71"/>
      <c r="U1320" s="71"/>
      <c r="V1320" s="71"/>
      <c r="W1320" s="71"/>
    </row>
    <row r="1321" spans="20:23" x14ac:dyDescent="0.25">
      <c r="T1321" s="71"/>
      <c r="U1321" s="71"/>
      <c r="V1321" s="71"/>
      <c r="W1321" s="71"/>
    </row>
    <row r="1322" spans="20:23" x14ac:dyDescent="0.25">
      <c r="T1322" s="71"/>
      <c r="U1322" s="71"/>
      <c r="V1322" s="71"/>
      <c r="W1322" s="71"/>
    </row>
    <row r="1323" spans="20:23" x14ac:dyDescent="0.25">
      <c r="T1323" s="71"/>
      <c r="U1323" s="71"/>
      <c r="V1323" s="71"/>
      <c r="W1323" s="71"/>
    </row>
    <row r="1324" spans="20:23" x14ac:dyDescent="0.25">
      <c r="T1324" s="71"/>
      <c r="U1324" s="71"/>
      <c r="V1324" s="71"/>
      <c r="W1324" s="71"/>
    </row>
    <row r="1325" spans="20:23" x14ac:dyDescent="0.25">
      <c r="T1325" s="71"/>
      <c r="U1325" s="71"/>
      <c r="V1325" s="71"/>
      <c r="W1325" s="71"/>
    </row>
    <row r="1326" spans="20:23" x14ac:dyDescent="0.25">
      <c r="T1326" s="71"/>
      <c r="U1326" s="71"/>
      <c r="V1326" s="71"/>
      <c r="W1326" s="71"/>
    </row>
    <row r="1327" spans="20:23" x14ac:dyDescent="0.25">
      <c r="T1327" s="71"/>
      <c r="U1327" s="71"/>
      <c r="V1327" s="71"/>
      <c r="W1327" s="71"/>
    </row>
    <row r="1328" spans="20:23" x14ac:dyDescent="0.25">
      <c r="T1328" s="71"/>
      <c r="U1328" s="71"/>
      <c r="V1328" s="71"/>
      <c r="W1328" s="71"/>
    </row>
    <row r="1329" spans="20:23" x14ac:dyDescent="0.25">
      <c r="T1329" s="71"/>
      <c r="U1329" s="71"/>
      <c r="V1329" s="71"/>
      <c r="W1329" s="71"/>
    </row>
    <row r="1330" spans="20:23" x14ac:dyDescent="0.25">
      <c r="T1330" s="71"/>
      <c r="U1330" s="71"/>
      <c r="V1330" s="71"/>
      <c r="W1330" s="71"/>
    </row>
    <row r="1331" spans="20:23" x14ac:dyDescent="0.25">
      <c r="T1331" s="71"/>
      <c r="U1331" s="71"/>
      <c r="V1331" s="71"/>
      <c r="W1331" s="71"/>
    </row>
    <row r="1332" spans="20:23" x14ac:dyDescent="0.25">
      <c r="T1332" s="71"/>
      <c r="U1332" s="71"/>
      <c r="V1332" s="71"/>
      <c r="W1332" s="71"/>
    </row>
    <row r="1333" spans="20:23" x14ac:dyDescent="0.25">
      <c r="T1333" s="71"/>
      <c r="U1333" s="71"/>
      <c r="V1333" s="71"/>
      <c r="W1333" s="71"/>
    </row>
    <row r="1334" spans="20:23" x14ac:dyDescent="0.25">
      <c r="T1334" s="71"/>
      <c r="U1334" s="71"/>
      <c r="V1334" s="71"/>
      <c r="W1334" s="71"/>
    </row>
    <row r="1335" spans="20:23" x14ac:dyDescent="0.25">
      <c r="T1335" s="71"/>
      <c r="U1335" s="71"/>
      <c r="V1335" s="71"/>
      <c r="W1335" s="71"/>
    </row>
    <row r="1336" spans="20:23" x14ac:dyDescent="0.25">
      <c r="T1336" s="71"/>
      <c r="U1336" s="71"/>
      <c r="V1336" s="71"/>
      <c r="W1336" s="71"/>
    </row>
    <row r="1337" spans="20:23" x14ac:dyDescent="0.25">
      <c r="T1337" s="71"/>
      <c r="U1337" s="71"/>
      <c r="V1337" s="71"/>
      <c r="W1337" s="71"/>
    </row>
    <row r="1338" spans="20:23" x14ac:dyDescent="0.25">
      <c r="T1338" s="71"/>
      <c r="U1338" s="71"/>
      <c r="V1338" s="71"/>
      <c r="W1338" s="71"/>
    </row>
    <row r="1339" spans="20:23" x14ac:dyDescent="0.25">
      <c r="T1339" s="71"/>
      <c r="U1339" s="71"/>
      <c r="V1339" s="71"/>
      <c r="W1339" s="71"/>
    </row>
    <row r="1340" spans="20:23" x14ac:dyDescent="0.25">
      <c r="T1340" s="71"/>
      <c r="U1340" s="71"/>
      <c r="V1340" s="71"/>
      <c r="W1340" s="71"/>
    </row>
    <row r="1341" spans="20:23" x14ac:dyDescent="0.25">
      <c r="T1341" s="71"/>
      <c r="U1341" s="71"/>
      <c r="V1341" s="71"/>
      <c r="W1341" s="71"/>
    </row>
    <row r="1342" spans="20:23" x14ac:dyDescent="0.25">
      <c r="T1342" s="71"/>
      <c r="U1342" s="71"/>
      <c r="V1342" s="71"/>
      <c r="W1342" s="71"/>
    </row>
    <row r="1343" spans="20:23" x14ac:dyDescent="0.25">
      <c r="T1343" s="71"/>
      <c r="U1343" s="71"/>
      <c r="V1343" s="71"/>
      <c r="W1343" s="71"/>
    </row>
    <row r="1344" spans="20:23" x14ac:dyDescent="0.25">
      <c r="T1344" s="71"/>
      <c r="U1344" s="71"/>
      <c r="V1344" s="71"/>
      <c r="W1344" s="71"/>
    </row>
    <row r="1345" spans="20:23" x14ac:dyDescent="0.25">
      <c r="T1345" s="71"/>
      <c r="U1345" s="71"/>
      <c r="V1345" s="71"/>
      <c r="W1345" s="71"/>
    </row>
    <row r="1346" spans="20:23" x14ac:dyDescent="0.25">
      <c r="T1346" s="71"/>
      <c r="U1346" s="71"/>
      <c r="V1346" s="71"/>
      <c r="W1346" s="71"/>
    </row>
    <row r="1347" spans="20:23" x14ac:dyDescent="0.25">
      <c r="T1347" s="71"/>
      <c r="U1347" s="71"/>
      <c r="V1347" s="71"/>
      <c r="W1347" s="71"/>
    </row>
    <row r="1348" spans="20:23" x14ac:dyDescent="0.25">
      <c r="T1348" s="71"/>
      <c r="U1348" s="71"/>
      <c r="V1348" s="71"/>
      <c r="W1348" s="71"/>
    </row>
    <row r="1349" spans="20:23" x14ac:dyDescent="0.25">
      <c r="T1349" s="71"/>
      <c r="U1349" s="71"/>
      <c r="V1349" s="71"/>
      <c r="W1349" s="71"/>
    </row>
    <row r="1350" spans="20:23" x14ac:dyDescent="0.25">
      <c r="T1350" s="71"/>
      <c r="U1350" s="71"/>
      <c r="V1350" s="71"/>
      <c r="W1350" s="71"/>
    </row>
    <row r="1351" spans="20:23" x14ac:dyDescent="0.25">
      <c r="T1351" s="71"/>
      <c r="U1351" s="71"/>
      <c r="V1351" s="71"/>
      <c r="W1351" s="71"/>
    </row>
    <row r="1352" spans="20:23" x14ac:dyDescent="0.25">
      <c r="T1352" s="71"/>
      <c r="U1352" s="71"/>
      <c r="V1352" s="71"/>
      <c r="W1352" s="71"/>
    </row>
    <row r="1353" spans="20:23" x14ac:dyDescent="0.25">
      <c r="T1353" s="71"/>
      <c r="U1353" s="71"/>
      <c r="V1353" s="71"/>
      <c r="W1353" s="71"/>
    </row>
    <row r="1354" spans="20:23" x14ac:dyDescent="0.25">
      <c r="T1354" s="71"/>
      <c r="U1354" s="71"/>
      <c r="V1354" s="71"/>
      <c r="W1354" s="71"/>
    </row>
    <row r="1355" spans="20:23" x14ac:dyDescent="0.25">
      <c r="T1355" s="71"/>
      <c r="U1355" s="71"/>
      <c r="V1355" s="71"/>
      <c r="W1355" s="71"/>
    </row>
    <row r="1356" spans="20:23" x14ac:dyDescent="0.25">
      <c r="T1356" s="71"/>
      <c r="U1356" s="71"/>
      <c r="V1356" s="71"/>
      <c r="W1356" s="71"/>
    </row>
    <row r="1357" spans="20:23" x14ac:dyDescent="0.25">
      <c r="T1357" s="71"/>
      <c r="U1357" s="71"/>
      <c r="V1357" s="71"/>
      <c r="W1357" s="71"/>
    </row>
    <row r="1358" spans="20:23" x14ac:dyDescent="0.25">
      <c r="T1358" s="71"/>
      <c r="U1358" s="71"/>
      <c r="V1358" s="71"/>
      <c r="W1358" s="71"/>
    </row>
    <row r="1359" spans="20:23" x14ac:dyDescent="0.25">
      <c r="T1359" s="71"/>
      <c r="U1359" s="71"/>
      <c r="V1359" s="71"/>
      <c r="W1359" s="71"/>
    </row>
    <row r="1360" spans="20:23" x14ac:dyDescent="0.25">
      <c r="T1360" s="71"/>
      <c r="U1360" s="71"/>
      <c r="V1360" s="71"/>
      <c r="W1360" s="71"/>
    </row>
    <row r="1361" spans="20:23" x14ac:dyDescent="0.25">
      <c r="T1361" s="71"/>
      <c r="U1361" s="71"/>
      <c r="V1361" s="71"/>
      <c r="W1361" s="71"/>
    </row>
    <row r="1362" spans="20:23" x14ac:dyDescent="0.25">
      <c r="T1362" s="71"/>
      <c r="U1362" s="71"/>
      <c r="V1362" s="71"/>
      <c r="W1362" s="71"/>
    </row>
    <row r="1363" spans="20:23" x14ac:dyDescent="0.25">
      <c r="T1363" s="71"/>
      <c r="U1363" s="71"/>
      <c r="V1363" s="71"/>
      <c r="W1363" s="71"/>
    </row>
    <row r="1364" spans="20:23" x14ac:dyDescent="0.25">
      <c r="T1364" s="71"/>
      <c r="U1364" s="71"/>
      <c r="V1364" s="71"/>
      <c r="W1364" s="71"/>
    </row>
    <row r="1365" spans="20:23" x14ac:dyDescent="0.25">
      <c r="T1365" s="71"/>
      <c r="U1365" s="71"/>
      <c r="V1365" s="71"/>
      <c r="W1365" s="71"/>
    </row>
    <row r="1366" spans="20:23" x14ac:dyDescent="0.25">
      <c r="T1366" s="71"/>
      <c r="U1366" s="71"/>
      <c r="V1366" s="71"/>
      <c r="W1366" s="71"/>
    </row>
    <row r="1367" spans="20:23" x14ac:dyDescent="0.25">
      <c r="T1367" s="71"/>
      <c r="U1367" s="71"/>
      <c r="V1367" s="71"/>
      <c r="W1367" s="71"/>
    </row>
    <row r="1368" spans="20:23" x14ac:dyDescent="0.25">
      <c r="T1368" s="71"/>
      <c r="U1368" s="71"/>
      <c r="V1368" s="71"/>
      <c r="W1368" s="71"/>
    </row>
    <row r="1369" spans="20:23" x14ac:dyDescent="0.25">
      <c r="T1369" s="71"/>
      <c r="U1369" s="71"/>
      <c r="V1369" s="71"/>
      <c r="W1369" s="71"/>
    </row>
    <row r="1370" spans="20:23" x14ac:dyDescent="0.25">
      <c r="T1370" s="71"/>
      <c r="U1370" s="71"/>
      <c r="V1370" s="71"/>
      <c r="W1370" s="71"/>
    </row>
    <row r="1371" spans="20:23" x14ac:dyDescent="0.25">
      <c r="T1371" s="71"/>
      <c r="U1371" s="71"/>
      <c r="V1371" s="71"/>
      <c r="W1371" s="71"/>
    </row>
    <row r="1372" spans="20:23" x14ac:dyDescent="0.25">
      <c r="T1372" s="71"/>
      <c r="U1372" s="71"/>
      <c r="V1372" s="71"/>
      <c r="W1372" s="71"/>
    </row>
    <row r="1373" spans="20:23" x14ac:dyDescent="0.25">
      <c r="T1373" s="71"/>
      <c r="U1373" s="71"/>
      <c r="V1373" s="71"/>
      <c r="W1373" s="71"/>
    </row>
    <row r="1374" spans="20:23" x14ac:dyDescent="0.25">
      <c r="T1374" s="71"/>
      <c r="U1374" s="71"/>
      <c r="V1374" s="71"/>
      <c r="W1374" s="71"/>
    </row>
    <row r="1375" spans="20:23" x14ac:dyDescent="0.25">
      <c r="T1375" s="71"/>
      <c r="U1375" s="71"/>
      <c r="V1375" s="71"/>
      <c r="W1375" s="71"/>
    </row>
    <row r="1376" spans="20:23" x14ac:dyDescent="0.25">
      <c r="T1376" s="71"/>
      <c r="U1376" s="71"/>
      <c r="V1376" s="71"/>
      <c r="W1376" s="71"/>
    </row>
    <row r="1377" spans="20:23" x14ac:dyDescent="0.25">
      <c r="T1377" s="71"/>
      <c r="U1377" s="71"/>
      <c r="V1377" s="71"/>
      <c r="W1377" s="71"/>
    </row>
    <row r="1378" spans="20:23" x14ac:dyDescent="0.25">
      <c r="T1378" s="71"/>
      <c r="U1378" s="71"/>
      <c r="V1378" s="71"/>
      <c r="W1378" s="71"/>
    </row>
    <row r="1379" spans="20:23" x14ac:dyDescent="0.25">
      <c r="T1379" s="71"/>
      <c r="U1379" s="71"/>
      <c r="V1379" s="71"/>
      <c r="W1379" s="71"/>
    </row>
    <row r="1380" spans="20:23" x14ac:dyDescent="0.25">
      <c r="T1380" s="71"/>
      <c r="U1380" s="71"/>
      <c r="V1380" s="71"/>
      <c r="W1380" s="71"/>
    </row>
    <row r="1381" spans="20:23" x14ac:dyDescent="0.25">
      <c r="T1381" s="71"/>
      <c r="U1381" s="71"/>
      <c r="V1381" s="71"/>
      <c r="W1381" s="71"/>
    </row>
    <row r="1382" spans="20:23" x14ac:dyDescent="0.25">
      <c r="T1382" s="71"/>
      <c r="U1382" s="71"/>
      <c r="V1382" s="71"/>
      <c r="W1382" s="71"/>
    </row>
    <row r="1383" spans="20:23" x14ac:dyDescent="0.25">
      <c r="T1383" s="71"/>
      <c r="U1383" s="71"/>
      <c r="V1383" s="71"/>
      <c r="W1383" s="71"/>
    </row>
    <row r="1384" spans="20:23" x14ac:dyDescent="0.25">
      <c r="T1384" s="71"/>
      <c r="U1384" s="71"/>
      <c r="V1384" s="71"/>
      <c r="W1384" s="71"/>
    </row>
    <row r="1385" spans="20:23" x14ac:dyDescent="0.25">
      <c r="T1385" s="71"/>
      <c r="U1385" s="71"/>
      <c r="V1385" s="71"/>
      <c r="W1385" s="71"/>
    </row>
    <row r="1386" spans="20:23" x14ac:dyDescent="0.25">
      <c r="T1386" s="71"/>
      <c r="U1386" s="71"/>
      <c r="V1386" s="71"/>
      <c r="W1386" s="71"/>
    </row>
    <row r="1387" spans="20:23" x14ac:dyDescent="0.25">
      <c r="T1387" s="71"/>
      <c r="U1387" s="71"/>
      <c r="V1387" s="71"/>
      <c r="W1387" s="71"/>
    </row>
    <row r="1388" spans="20:23" x14ac:dyDescent="0.25">
      <c r="T1388" s="71"/>
      <c r="U1388" s="71"/>
      <c r="V1388" s="71"/>
      <c r="W1388" s="71"/>
    </row>
    <row r="1389" spans="20:23" x14ac:dyDescent="0.25">
      <c r="T1389" s="71"/>
      <c r="U1389" s="71"/>
      <c r="V1389" s="71"/>
      <c r="W1389" s="71"/>
    </row>
    <row r="1390" spans="20:23" x14ac:dyDescent="0.25">
      <c r="T1390" s="71"/>
      <c r="U1390" s="71"/>
      <c r="V1390" s="71"/>
      <c r="W1390" s="71"/>
    </row>
    <row r="1391" spans="20:23" x14ac:dyDescent="0.25">
      <c r="T1391" s="71"/>
      <c r="U1391" s="71"/>
      <c r="V1391" s="71"/>
      <c r="W1391" s="71"/>
    </row>
    <row r="1392" spans="20:23" x14ac:dyDescent="0.25">
      <c r="T1392" s="71"/>
      <c r="U1392" s="71"/>
      <c r="V1392" s="71"/>
      <c r="W1392" s="71"/>
    </row>
    <row r="1393" spans="20:23" x14ac:dyDescent="0.25">
      <c r="T1393" s="71"/>
      <c r="U1393" s="71"/>
      <c r="V1393" s="71"/>
      <c r="W1393" s="71"/>
    </row>
    <row r="1394" spans="20:23" x14ac:dyDescent="0.25">
      <c r="T1394" s="71"/>
      <c r="U1394" s="71"/>
      <c r="V1394" s="71"/>
      <c r="W1394" s="71"/>
    </row>
    <row r="1395" spans="20:23" x14ac:dyDescent="0.25">
      <c r="T1395" s="71"/>
      <c r="U1395" s="71"/>
      <c r="V1395" s="71"/>
      <c r="W1395" s="71"/>
    </row>
    <row r="1396" spans="20:23" x14ac:dyDescent="0.25">
      <c r="T1396" s="71"/>
      <c r="U1396" s="71"/>
      <c r="V1396" s="71"/>
      <c r="W1396" s="71"/>
    </row>
    <row r="1397" spans="20:23" x14ac:dyDescent="0.25">
      <c r="T1397" s="71"/>
      <c r="U1397" s="71"/>
      <c r="V1397" s="71"/>
      <c r="W1397" s="71"/>
    </row>
    <row r="1398" spans="20:23" x14ac:dyDescent="0.25">
      <c r="T1398" s="71"/>
      <c r="U1398" s="71"/>
      <c r="V1398" s="71"/>
      <c r="W1398" s="71"/>
    </row>
    <row r="1399" spans="20:23" x14ac:dyDescent="0.25">
      <c r="T1399" s="71"/>
      <c r="U1399" s="71"/>
      <c r="V1399" s="71"/>
      <c r="W1399" s="71"/>
    </row>
    <row r="1400" spans="20:23" x14ac:dyDescent="0.25">
      <c r="T1400" s="71"/>
      <c r="U1400" s="71"/>
      <c r="V1400" s="71"/>
      <c r="W1400" s="71"/>
    </row>
    <row r="1401" spans="20:23" x14ac:dyDescent="0.25">
      <c r="T1401" s="71"/>
      <c r="U1401" s="71"/>
      <c r="V1401" s="71"/>
      <c r="W1401" s="71"/>
    </row>
    <row r="1402" spans="20:23" x14ac:dyDescent="0.25">
      <c r="T1402" s="71"/>
      <c r="U1402" s="71"/>
      <c r="V1402" s="71"/>
      <c r="W1402" s="71"/>
    </row>
    <row r="1403" spans="20:23" x14ac:dyDescent="0.25">
      <c r="T1403" s="71"/>
      <c r="U1403" s="71"/>
      <c r="V1403" s="71"/>
      <c r="W1403" s="71"/>
    </row>
    <row r="1404" spans="20:23" x14ac:dyDescent="0.25">
      <c r="T1404" s="71"/>
      <c r="U1404" s="71"/>
      <c r="V1404" s="71"/>
      <c r="W1404" s="71"/>
    </row>
    <row r="1405" spans="20:23" x14ac:dyDescent="0.25">
      <c r="T1405" s="71"/>
      <c r="U1405" s="71"/>
      <c r="V1405" s="71"/>
      <c r="W1405" s="71"/>
    </row>
    <row r="1406" spans="20:23" x14ac:dyDescent="0.25">
      <c r="T1406" s="71"/>
      <c r="U1406" s="71"/>
      <c r="V1406" s="71"/>
      <c r="W1406" s="71"/>
    </row>
    <row r="1407" spans="20:23" x14ac:dyDescent="0.25">
      <c r="T1407" s="71"/>
      <c r="U1407" s="71"/>
      <c r="V1407" s="71"/>
      <c r="W1407" s="71"/>
    </row>
    <row r="1408" spans="20:23" x14ac:dyDescent="0.25">
      <c r="T1408" s="71"/>
      <c r="U1408" s="71"/>
      <c r="V1408" s="71"/>
      <c r="W1408" s="71"/>
    </row>
    <row r="1409" spans="20:23" x14ac:dyDescent="0.25">
      <c r="T1409" s="71"/>
      <c r="U1409" s="71"/>
      <c r="V1409" s="71"/>
      <c r="W1409" s="71"/>
    </row>
    <row r="1410" spans="20:23" x14ac:dyDescent="0.25">
      <c r="T1410" s="71"/>
      <c r="U1410" s="71"/>
      <c r="V1410" s="71"/>
      <c r="W1410" s="71"/>
    </row>
    <row r="1411" spans="20:23" x14ac:dyDescent="0.25">
      <c r="T1411" s="71"/>
      <c r="U1411" s="71"/>
      <c r="V1411" s="71"/>
      <c r="W1411" s="71"/>
    </row>
    <row r="1412" spans="20:23" x14ac:dyDescent="0.25">
      <c r="T1412" s="71"/>
      <c r="U1412" s="71"/>
      <c r="V1412" s="71"/>
      <c r="W1412" s="71"/>
    </row>
    <row r="1413" spans="20:23" x14ac:dyDescent="0.25">
      <c r="T1413" s="71"/>
      <c r="U1413" s="71"/>
      <c r="V1413" s="71"/>
      <c r="W1413" s="71"/>
    </row>
    <row r="1414" spans="20:23" x14ac:dyDescent="0.25">
      <c r="T1414" s="71"/>
      <c r="U1414" s="71"/>
      <c r="V1414" s="71"/>
      <c r="W1414" s="71"/>
    </row>
    <row r="1415" spans="20:23" x14ac:dyDescent="0.25">
      <c r="T1415" s="71"/>
      <c r="U1415" s="71"/>
      <c r="V1415" s="71"/>
      <c r="W1415" s="71"/>
    </row>
    <row r="1416" spans="20:23" x14ac:dyDescent="0.25">
      <c r="T1416" s="71"/>
      <c r="U1416" s="71"/>
      <c r="V1416" s="71"/>
      <c r="W1416" s="71"/>
    </row>
    <row r="1417" spans="20:23" x14ac:dyDescent="0.25">
      <c r="T1417" s="71"/>
      <c r="U1417" s="71"/>
      <c r="V1417" s="71"/>
      <c r="W1417" s="71"/>
    </row>
    <row r="1418" spans="20:23" x14ac:dyDescent="0.25">
      <c r="T1418" s="71"/>
      <c r="U1418" s="71"/>
      <c r="V1418" s="71"/>
      <c r="W1418" s="71"/>
    </row>
    <row r="1419" spans="20:23" x14ac:dyDescent="0.25">
      <c r="T1419" s="71"/>
      <c r="U1419" s="71"/>
      <c r="V1419" s="71"/>
      <c r="W1419" s="71"/>
    </row>
    <row r="1420" spans="20:23" x14ac:dyDescent="0.25">
      <c r="T1420" s="71"/>
      <c r="U1420" s="71"/>
      <c r="V1420" s="71"/>
      <c r="W1420" s="71"/>
    </row>
    <row r="1421" spans="20:23" x14ac:dyDescent="0.25">
      <c r="T1421" s="71"/>
      <c r="U1421" s="71"/>
      <c r="V1421" s="71"/>
      <c r="W1421" s="71"/>
    </row>
    <row r="1422" spans="20:23" x14ac:dyDescent="0.25">
      <c r="T1422" s="71"/>
      <c r="U1422" s="71"/>
      <c r="V1422" s="71"/>
      <c r="W1422" s="71"/>
    </row>
    <row r="1423" spans="20:23" x14ac:dyDescent="0.25">
      <c r="T1423" s="71"/>
      <c r="U1423" s="71"/>
      <c r="V1423" s="71"/>
      <c r="W1423" s="71"/>
    </row>
    <row r="1424" spans="20:23" x14ac:dyDescent="0.25">
      <c r="T1424" s="71"/>
      <c r="U1424" s="71"/>
      <c r="V1424" s="71"/>
      <c r="W1424" s="71"/>
    </row>
    <row r="1425" spans="20:23" x14ac:dyDescent="0.25">
      <c r="T1425" s="71"/>
      <c r="U1425" s="71"/>
      <c r="V1425" s="71"/>
      <c r="W1425" s="71"/>
    </row>
    <row r="1426" spans="20:23" x14ac:dyDescent="0.25">
      <c r="T1426" s="71"/>
      <c r="U1426" s="71"/>
      <c r="V1426" s="71"/>
      <c r="W1426" s="71"/>
    </row>
    <row r="1427" spans="20:23" x14ac:dyDescent="0.25">
      <c r="T1427" s="71"/>
      <c r="U1427" s="71"/>
      <c r="V1427" s="71"/>
      <c r="W1427" s="71"/>
    </row>
    <row r="1428" spans="20:23" x14ac:dyDescent="0.25">
      <c r="T1428" s="71"/>
      <c r="U1428" s="71"/>
      <c r="V1428" s="71"/>
      <c r="W1428" s="71"/>
    </row>
    <row r="1429" spans="20:23" x14ac:dyDescent="0.25">
      <c r="T1429" s="71"/>
      <c r="U1429" s="71"/>
      <c r="V1429" s="71"/>
      <c r="W1429" s="71"/>
    </row>
    <row r="1430" spans="20:23" x14ac:dyDescent="0.25">
      <c r="T1430" s="71"/>
      <c r="U1430" s="71"/>
      <c r="V1430" s="71"/>
      <c r="W1430" s="71"/>
    </row>
    <row r="1431" spans="20:23" x14ac:dyDescent="0.25">
      <c r="T1431" s="71"/>
      <c r="U1431" s="71"/>
      <c r="V1431" s="71"/>
      <c r="W1431" s="71"/>
    </row>
    <row r="1432" spans="20:23" x14ac:dyDescent="0.25">
      <c r="T1432" s="71"/>
      <c r="U1432" s="71"/>
      <c r="V1432" s="71"/>
      <c r="W1432" s="71"/>
    </row>
    <row r="1433" spans="20:23" x14ac:dyDescent="0.25">
      <c r="T1433" s="71"/>
      <c r="U1433" s="71"/>
      <c r="V1433" s="71"/>
      <c r="W1433" s="71"/>
    </row>
    <row r="1434" spans="20:23" x14ac:dyDescent="0.25">
      <c r="T1434" s="71"/>
      <c r="U1434" s="71"/>
      <c r="V1434" s="71"/>
      <c r="W1434" s="71"/>
    </row>
    <row r="1435" spans="20:23" x14ac:dyDescent="0.25">
      <c r="T1435" s="71"/>
      <c r="U1435" s="71"/>
      <c r="V1435" s="71"/>
      <c r="W1435" s="71"/>
    </row>
    <row r="1436" spans="20:23" x14ac:dyDescent="0.25">
      <c r="T1436" s="71"/>
      <c r="U1436" s="71"/>
      <c r="V1436" s="71"/>
      <c r="W1436" s="71"/>
    </row>
    <row r="1437" spans="20:23" x14ac:dyDescent="0.25">
      <c r="T1437" s="71"/>
      <c r="U1437" s="71"/>
      <c r="V1437" s="71"/>
      <c r="W1437" s="71"/>
    </row>
    <row r="1438" spans="20:23" x14ac:dyDescent="0.25">
      <c r="T1438" s="71"/>
      <c r="U1438" s="71"/>
      <c r="V1438" s="71"/>
      <c r="W1438" s="71"/>
    </row>
    <row r="1439" spans="20:23" x14ac:dyDescent="0.25">
      <c r="T1439" s="71"/>
      <c r="U1439" s="71"/>
      <c r="V1439" s="71"/>
      <c r="W1439" s="71"/>
    </row>
    <row r="1440" spans="20:23" x14ac:dyDescent="0.25">
      <c r="T1440" s="71"/>
      <c r="U1440" s="71"/>
      <c r="V1440" s="71"/>
      <c r="W1440" s="71"/>
    </row>
    <row r="1441" spans="20:23" x14ac:dyDescent="0.25">
      <c r="T1441" s="71"/>
      <c r="U1441" s="71"/>
      <c r="V1441" s="71"/>
      <c r="W1441" s="71"/>
    </row>
    <row r="1442" spans="20:23" x14ac:dyDescent="0.25">
      <c r="T1442" s="71"/>
      <c r="U1442" s="71"/>
      <c r="V1442" s="71"/>
      <c r="W1442" s="71"/>
    </row>
    <row r="1443" spans="20:23" x14ac:dyDescent="0.25">
      <c r="T1443" s="71"/>
      <c r="U1443" s="71"/>
      <c r="V1443" s="71"/>
      <c r="W1443" s="71"/>
    </row>
    <row r="1444" spans="20:23" x14ac:dyDescent="0.25">
      <c r="T1444" s="71"/>
      <c r="U1444" s="71"/>
      <c r="V1444" s="71"/>
      <c r="W1444" s="71"/>
    </row>
    <row r="1445" spans="20:23" x14ac:dyDescent="0.25">
      <c r="T1445" s="71"/>
      <c r="U1445" s="71"/>
      <c r="V1445" s="71"/>
      <c r="W1445" s="71"/>
    </row>
    <row r="1446" spans="20:23" x14ac:dyDescent="0.25">
      <c r="T1446" s="71"/>
      <c r="U1446" s="71"/>
      <c r="V1446" s="71"/>
      <c r="W1446" s="71"/>
    </row>
    <row r="1447" spans="20:23" x14ac:dyDescent="0.25">
      <c r="T1447" s="71"/>
      <c r="U1447" s="71"/>
      <c r="V1447" s="71"/>
      <c r="W1447" s="71"/>
    </row>
    <row r="1448" spans="20:23" x14ac:dyDescent="0.25">
      <c r="T1448" s="71"/>
      <c r="U1448" s="71"/>
      <c r="V1448" s="71"/>
      <c r="W1448" s="71"/>
    </row>
    <row r="1449" spans="20:23" x14ac:dyDescent="0.25">
      <c r="T1449" s="71"/>
      <c r="U1449" s="71"/>
      <c r="V1449" s="71"/>
      <c r="W1449" s="71"/>
    </row>
    <row r="1450" spans="20:23" x14ac:dyDescent="0.25">
      <c r="T1450" s="71"/>
      <c r="U1450" s="71"/>
      <c r="V1450" s="71"/>
      <c r="W1450" s="71"/>
    </row>
    <row r="1451" spans="20:23" x14ac:dyDescent="0.25">
      <c r="T1451" s="71"/>
      <c r="U1451" s="71"/>
      <c r="V1451" s="71"/>
      <c r="W1451" s="71"/>
    </row>
    <row r="1452" spans="20:23" x14ac:dyDescent="0.25">
      <c r="T1452" s="71"/>
      <c r="U1452" s="71"/>
      <c r="V1452" s="71"/>
      <c r="W1452" s="71"/>
    </row>
    <row r="1453" spans="20:23" x14ac:dyDescent="0.25">
      <c r="T1453" s="71"/>
      <c r="U1453" s="71"/>
      <c r="V1453" s="71"/>
      <c r="W1453" s="71"/>
    </row>
    <row r="1454" spans="20:23" x14ac:dyDescent="0.25">
      <c r="T1454" s="71"/>
      <c r="U1454" s="71"/>
      <c r="V1454" s="71"/>
      <c r="W1454" s="71"/>
    </row>
    <row r="1455" spans="20:23" x14ac:dyDescent="0.25">
      <c r="T1455" s="71"/>
      <c r="U1455" s="71"/>
      <c r="V1455" s="71"/>
      <c r="W1455" s="71"/>
    </row>
    <row r="1456" spans="20:23" x14ac:dyDescent="0.25">
      <c r="T1456" s="71"/>
      <c r="U1456" s="71"/>
      <c r="V1456" s="71"/>
      <c r="W1456" s="71"/>
    </row>
    <row r="1457" spans="20:23" x14ac:dyDescent="0.25">
      <c r="T1457" s="71"/>
      <c r="U1457" s="71"/>
      <c r="V1457" s="71"/>
      <c r="W1457" s="71"/>
    </row>
    <row r="1458" spans="20:23" x14ac:dyDescent="0.25">
      <c r="T1458" s="71"/>
      <c r="U1458" s="71"/>
      <c r="V1458" s="71"/>
      <c r="W1458" s="71"/>
    </row>
    <row r="1459" spans="20:23" x14ac:dyDescent="0.25">
      <c r="T1459" s="71"/>
      <c r="U1459" s="71"/>
      <c r="V1459" s="71"/>
      <c r="W1459" s="71"/>
    </row>
    <row r="1460" spans="20:23" x14ac:dyDescent="0.25">
      <c r="T1460" s="71"/>
      <c r="U1460" s="71"/>
      <c r="V1460" s="71"/>
      <c r="W1460" s="71"/>
    </row>
    <row r="1461" spans="20:23" x14ac:dyDescent="0.25">
      <c r="T1461" s="71"/>
      <c r="U1461" s="71"/>
      <c r="V1461" s="71"/>
      <c r="W1461" s="71"/>
    </row>
    <row r="1462" spans="20:23" x14ac:dyDescent="0.25">
      <c r="T1462" s="71"/>
      <c r="U1462" s="71"/>
      <c r="V1462" s="71"/>
      <c r="W1462" s="71"/>
    </row>
    <row r="1463" spans="20:23" x14ac:dyDescent="0.25">
      <c r="T1463" s="71"/>
      <c r="U1463" s="71"/>
      <c r="V1463" s="71"/>
      <c r="W1463" s="71"/>
    </row>
    <row r="1464" spans="20:23" x14ac:dyDescent="0.25">
      <c r="T1464" s="71"/>
      <c r="U1464" s="71"/>
      <c r="V1464" s="71"/>
      <c r="W1464" s="71"/>
    </row>
    <row r="1465" spans="20:23" x14ac:dyDescent="0.25">
      <c r="T1465" s="71"/>
      <c r="U1465" s="71"/>
      <c r="V1465" s="71"/>
      <c r="W1465" s="71"/>
    </row>
    <row r="1466" spans="20:23" x14ac:dyDescent="0.25">
      <c r="T1466" s="71"/>
      <c r="U1466" s="71"/>
      <c r="V1466" s="71"/>
      <c r="W1466" s="71"/>
    </row>
    <row r="1467" spans="20:23" x14ac:dyDescent="0.25">
      <c r="T1467" s="71"/>
      <c r="U1467" s="71"/>
      <c r="V1467" s="71"/>
      <c r="W1467" s="71"/>
    </row>
    <row r="1468" spans="20:23" x14ac:dyDescent="0.25">
      <c r="T1468" s="71"/>
      <c r="U1468" s="71"/>
      <c r="V1468" s="71"/>
      <c r="W1468" s="71"/>
    </row>
    <row r="1469" spans="20:23" x14ac:dyDescent="0.25">
      <c r="T1469" s="71"/>
      <c r="U1469" s="71"/>
      <c r="V1469" s="71"/>
      <c r="W1469" s="71"/>
    </row>
    <row r="1470" spans="20:23" x14ac:dyDescent="0.25">
      <c r="T1470" s="71"/>
      <c r="U1470" s="71"/>
      <c r="V1470" s="71"/>
      <c r="W1470" s="71"/>
    </row>
    <row r="1471" spans="20:23" x14ac:dyDescent="0.25">
      <c r="T1471" s="71"/>
      <c r="U1471" s="71"/>
      <c r="V1471" s="71"/>
      <c r="W1471" s="71"/>
    </row>
    <row r="1472" spans="20:23" x14ac:dyDescent="0.25">
      <c r="T1472" s="71"/>
      <c r="U1472" s="71"/>
      <c r="V1472" s="71"/>
      <c r="W1472" s="71"/>
    </row>
    <row r="1473" spans="20:23" x14ac:dyDescent="0.25">
      <c r="T1473" s="71"/>
      <c r="U1473" s="71"/>
      <c r="V1473" s="71"/>
      <c r="W1473" s="71"/>
    </row>
    <row r="1474" spans="20:23" x14ac:dyDescent="0.25">
      <c r="T1474" s="71"/>
      <c r="U1474" s="71"/>
      <c r="V1474" s="71"/>
      <c r="W1474" s="71"/>
    </row>
    <row r="1475" spans="20:23" x14ac:dyDescent="0.25">
      <c r="T1475" s="71"/>
      <c r="U1475" s="71"/>
      <c r="V1475" s="71"/>
      <c r="W1475" s="71"/>
    </row>
    <row r="1476" spans="20:23" x14ac:dyDescent="0.25">
      <c r="T1476" s="71"/>
      <c r="U1476" s="71"/>
      <c r="V1476" s="71"/>
      <c r="W1476" s="71"/>
    </row>
    <row r="1477" spans="20:23" x14ac:dyDescent="0.25">
      <c r="T1477" s="71"/>
      <c r="U1477" s="71"/>
      <c r="V1477" s="71"/>
      <c r="W1477" s="71"/>
    </row>
    <row r="1478" spans="20:23" x14ac:dyDescent="0.25">
      <c r="T1478" s="71"/>
      <c r="U1478" s="71"/>
      <c r="V1478" s="71"/>
      <c r="W1478" s="71"/>
    </row>
    <row r="1479" spans="20:23" x14ac:dyDescent="0.25">
      <c r="T1479" s="71"/>
      <c r="U1479" s="71"/>
      <c r="V1479" s="71"/>
      <c r="W1479" s="71"/>
    </row>
    <row r="1480" spans="20:23" x14ac:dyDescent="0.25">
      <c r="T1480" s="71"/>
      <c r="U1480" s="71"/>
      <c r="V1480" s="71"/>
      <c r="W1480" s="71"/>
    </row>
    <row r="1481" spans="20:23" x14ac:dyDescent="0.25">
      <c r="T1481" s="71"/>
      <c r="U1481" s="71"/>
      <c r="V1481" s="71"/>
      <c r="W1481" s="71"/>
    </row>
    <row r="1482" spans="20:23" x14ac:dyDescent="0.25">
      <c r="T1482" s="71"/>
      <c r="U1482" s="71"/>
      <c r="V1482" s="71"/>
      <c r="W1482" s="71"/>
    </row>
    <row r="1483" spans="20:23" x14ac:dyDescent="0.25">
      <c r="T1483" s="71"/>
      <c r="U1483" s="71"/>
      <c r="V1483" s="71"/>
      <c r="W1483" s="71"/>
    </row>
    <row r="1484" spans="20:23" x14ac:dyDescent="0.25">
      <c r="T1484" s="71"/>
      <c r="U1484" s="71"/>
      <c r="V1484" s="71"/>
      <c r="W1484" s="71"/>
    </row>
    <row r="1485" spans="20:23" x14ac:dyDescent="0.25">
      <c r="T1485" s="71"/>
      <c r="U1485" s="71"/>
      <c r="V1485" s="71"/>
      <c r="W1485" s="71"/>
    </row>
    <row r="1486" spans="20:23" x14ac:dyDescent="0.25">
      <c r="T1486" s="71"/>
      <c r="U1486" s="71"/>
      <c r="V1486" s="71"/>
      <c r="W1486" s="71"/>
    </row>
    <row r="1487" spans="20:23" x14ac:dyDescent="0.25">
      <c r="T1487" s="71"/>
      <c r="U1487" s="71"/>
      <c r="V1487" s="71"/>
      <c r="W1487" s="71"/>
    </row>
    <row r="1488" spans="20:23" x14ac:dyDescent="0.25">
      <c r="T1488" s="71"/>
      <c r="U1488" s="71"/>
      <c r="V1488" s="71"/>
      <c r="W1488" s="71"/>
    </row>
    <row r="1489" spans="20:23" x14ac:dyDescent="0.25">
      <c r="T1489" s="71"/>
      <c r="U1489" s="71"/>
      <c r="V1489" s="71"/>
      <c r="W1489" s="71"/>
    </row>
    <row r="1490" spans="20:23" x14ac:dyDescent="0.25">
      <c r="T1490" s="71"/>
      <c r="U1490" s="71"/>
      <c r="V1490" s="71"/>
      <c r="W1490" s="71"/>
    </row>
    <row r="1491" spans="20:23" x14ac:dyDescent="0.25">
      <c r="T1491" s="71"/>
      <c r="U1491" s="71"/>
      <c r="V1491" s="71"/>
      <c r="W1491" s="71"/>
    </row>
    <row r="1492" spans="20:23" x14ac:dyDescent="0.25">
      <c r="T1492" s="71"/>
      <c r="U1492" s="71"/>
      <c r="V1492" s="71"/>
      <c r="W1492" s="71"/>
    </row>
    <row r="1493" spans="20:23" x14ac:dyDescent="0.25">
      <c r="T1493" s="71"/>
      <c r="U1493" s="71"/>
      <c r="V1493" s="71"/>
      <c r="W1493" s="71"/>
    </row>
    <row r="1494" spans="20:23" x14ac:dyDescent="0.25">
      <c r="T1494" s="71"/>
      <c r="U1494" s="71"/>
      <c r="V1494" s="71"/>
      <c r="W1494" s="71"/>
    </row>
    <row r="1495" spans="20:23" x14ac:dyDescent="0.25">
      <c r="T1495" s="71"/>
      <c r="U1495" s="71"/>
      <c r="V1495" s="71"/>
      <c r="W1495" s="71"/>
    </row>
    <row r="1496" spans="20:23" x14ac:dyDescent="0.25">
      <c r="T1496" s="71"/>
      <c r="U1496" s="71"/>
      <c r="V1496" s="71"/>
      <c r="W1496" s="71"/>
    </row>
    <row r="1497" spans="20:23" x14ac:dyDescent="0.25">
      <c r="T1497" s="71"/>
      <c r="U1497" s="71"/>
      <c r="V1497" s="71"/>
      <c r="W1497" s="71"/>
    </row>
    <row r="1498" spans="20:23" x14ac:dyDescent="0.25">
      <c r="T1498" s="71"/>
      <c r="U1498" s="71"/>
      <c r="V1498" s="71"/>
      <c r="W1498" s="71"/>
    </row>
    <row r="1499" spans="20:23" x14ac:dyDescent="0.25">
      <c r="T1499" s="71"/>
      <c r="U1499" s="71"/>
      <c r="V1499" s="71"/>
      <c r="W1499" s="71"/>
    </row>
    <row r="1500" spans="20:23" x14ac:dyDescent="0.25">
      <c r="T1500" s="71"/>
      <c r="U1500" s="71"/>
      <c r="V1500" s="71"/>
      <c r="W1500" s="71"/>
    </row>
    <row r="1501" spans="20:23" x14ac:dyDescent="0.25">
      <c r="T1501" s="71"/>
      <c r="U1501" s="71"/>
      <c r="V1501" s="71"/>
      <c r="W1501" s="71"/>
    </row>
    <row r="1502" spans="20:23" x14ac:dyDescent="0.25">
      <c r="T1502" s="71"/>
      <c r="U1502" s="71"/>
      <c r="V1502" s="71"/>
      <c r="W1502" s="71"/>
    </row>
    <row r="1503" spans="20:23" x14ac:dyDescent="0.25">
      <c r="T1503" s="71"/>
      <c r="U1503" s="71"/>
      <c r="V1503" s="71"/>
      <c r="W1503" s="71"/>
    </row>
    <row r="1504" spans="20:23" x14ac:dyDescent="0.25">
      <c r="T1504" s="71"/>
      <c r="U1504" s="71"/>
      <c r="V1504" s="71"/>
      <c r="W1504" s="71"/>
    </row>
    <row r="1505" spans="20:23" x14ac:dyDescent="0.25">
      <c r="T1505" s="71"/>
      <c r="U1505" s="71"/>
      <c r="V1505" s="71"/>
      <c r="W1505" s="71"/>
    </row>
    <row r="1506" spans="20:23" x14ac:dyDescent="0.25">
      <c r="T1506" s="71"/>
      <c r="U1506" s="71"/>
      <c r="V1506" s="71"/>
      <c r="W1506" s="71"/>
    </row>
    <row r="1507" spans="20:23" x14ac:dyDescent="0.25">
      <c r="T1507" s="71"/>
      <c r="U1507" s="71"/>
      <c r="V1507" s="71"/>
      <c r="W1507" s="71"/>
    </row>
    <row r="1508" spans="20:23" x14ac:dyDescent="0.25">
      <c r="T1508" s="71"/>
      <c r="U1508" s="71"/>
      <c r="V1508" s="71"/>
      <c r="W1508" s="71"/>
    </row>
    <row r="1509" spans="20:23" x14ac:dyDescent="0.25">
      <c r="T1509" s="71"/>
      <c r="U1509" s="71"/>
      <c r="V1509" s="71"/>
      <c r="W1509" s="71"/>
    </row>
    <row r="1510" spans="20:23" x14ac:dyDescent="0.25">
      <c r="T1510" s="71"/>
      <c r="U1510" s="71"/>
      <c r="V1510" s="71"/>
      <c r="W1510" s="71"/>
    </row>
    <row r="1511" spans="20:23" x14ac:dyDescent="0.25">
      <c r="T1511" s="71"/>
      <c r="U1511" s="71"/>
      <c r="V1511" s="71"/>
      <c r="W1511" s="71"/>
    </row>
    <row r="1512" spans="20:23" x14ac:dyDescent="0.25">
      <c r="T1512" s="71"/>
      <c r="U1512" s="71"/>
      <c r="V1512" s="71"/>
      <c r="W1512" s="71"/>
    </row>
    <row r="1513" spans="20:23" x14ac:dyDescent="0.25">
      <c r="T1513" s="71"/>
      <c r="U1513" s="71"/>
      <c r="V1513" s="71"/>
      <c r="W1513" s="71"/>
    </row>
    <row r="1514" spans="20:23" x14ac:dyDescent="0.25">
      <c r="T1514" s="71"/>
      <c r="U1514" s="71"/>
      <c r="V1514" s="71"/>
      <c r="W1514" s="71"/>
    </row>
    <row r="1515" spans="20:23" x14ac:dyDescent="0.25">
      <c r="T1515" s="71"/>
      <c r="U1515" s="71"/>
      <c r="V1515" s="71"/>
      <c r="W1515" s="71"/>
    </row>
    <row r="1516" spans="20:23" x14ac:dyDescent="0.25">
      <c r="T1516" s="71"/>
      <c r="U1516" s="71"/>
      <c r="V1516" s="71"/>
      <c r="W1516" s="71"/>
    </row>
    <row r="1517" spans="20:23" x14ac:dyDescent="0.25">
      <c r="T1517" s="71"/>
      <c r="U1517" s="71"/>
      <c r="V1517" s="71"/>
      <c r="W1517" s="71"/>
    </row>
    <row r="1518" spans="20:23" x14ac:dyDescent="0.25">
      <c r="T1518" s="71"/>
      <c r="U1518" s="71"/>
      <c r="V1518" s="71"/>
      <c r="W1518" s="71"/>
    </row>
    <row r="1519" spans="20:23" x14ac:dyDescent="0.25">
      <c r="T1519" s="71"/>
      <c r="U1519" s="71"/>
      <c r="V1519" s="71"/>
      <c r="W1519" s="71"/>
    </row>
    <row r="1520" spans="20:23" x14ac:dyDescent="0.25">
      <c r="T1520" s="71"/>
      <c r="U1520" s="71"/>
      <c r="V1520" s="71"/>
      <c r="W1520" s="71"/>
    </row>
    <row r="1521" spans="20:23" x14ac:dyDescent="0.25">
      <c r="T1521" s="71"/>
      <c r="U1521" s="71"/>
      <c r="V1521" s="71"/>
      <c r="W1521" s="71"/>
    </row>
    <row r="1522" spans="20:23" x14ac:dyDescent="0.25">
      <c r="T1522" s="71"/>
      <c r="U1522" s="71"/>
      <c r="V1522" s="71"/>
      <c r="W1522" s="71"/>
    </row>
    <row r="1523" spans="20:23" x14ac:dyDescent="0.25">
      <c r="T1523" s="71"/>
      <c r="U1523" s="71"/>
      <c r="V1523" s="71"/>
      <c r="W1523" s="71"/>
    </row>
    <row r="1524" spans="20:23" x14ac:dyDescent="0.25">
      <c r="T1524" s="71"/>
      <c r="U1524" s="71"/>
      <c r="V1524" s="71"/>
      <c r="W1524" s="71"/>
    </row>
    <row r="1525" spans="20:23" x14ac:dyDescent="0.25">
      <c r="T1525" s="71"/>
      <c r="U1525" s="71"/>
      <c r="V1525" s="71"/>
      <c r="W1525" s="71"/>
    </row>
    <row r="1526" spans="20:23" x14ac:dyDescent="0.25">
      <c r="T1526" s="71"/>
      <c r="U1526" s="71"/>
      <c r="V1526" s="71"/>
      <c r="W1526" s="71"/>
    </row>
    <row r="1527" spans="20:23" x14ac:dyDescent="0.25">
      <c r="T1527" s="71"/>
      <c r="U1527" s="71"/>
      <c r="V1527" s="71"/>
      <c r="W1527" s="71"/>
    </row>
    <row r="1528" spans="20:23" x14ac:dyDescent="0.25">
      <c r="T1528" s="71"/>
      <c r="U1528" s="71"/>
      <c r="V1528" s="71"/>
      <c r="W1528" s="71"/>
    </row>
    <row r="1529" spans="20:23" x14ac:dyDescent="0.25">
      <c r="T1529" s="71"/>
      <c r="U1529" s="71"/>
      <c r="V1529" s="71"/>
      <c r="W1529" s="71"/>
    </row>
    <row r="1530" spans="20:23" x14ac:dyDescent="0.25">
      <c r="T1530" s="71"/>
      <c r="U1530" s="71"/>
      <c r="V1530" s="71"/>
      <c r="W1530" s="71"/>
    </row>
    <row r="1531" spans="20:23" x14ac:dyDescent="0.25">
      <c r="T1531" s="71"/>
      <c r="U1531" s="71"/>
      <c r="V1531" s="71"/>
      <c r="W1531" s="71"/>
    </row>
    <row r="1532" spans="20:23" x14ac:dyDescent="0.25">
      <c r="T1532" s="71"/>
      <c r="U1532" s="71"/>
      <c r="V1532" s="71"/>
      <c r="W1532" s="71"/>
    </row>
    <row r="1533" spans="20:23" x14ac:dyDescent="0.25">
      <c r="T1533" s="71"/>
      <c r="U1533" s="71"/>
      <c r="V1533" s="71"/>
      <c r="W1533" s="71"/>
    </row>
    <row r="1534" spans="20:23" x14ac:dyDescent="0.25">
      <c r="T1534" s="71"/>
      <c r="U1534" s="71"/>
      <c r="V1534" s="71"/>
      <c r="W1534" s="71"/>
    </row>
    <row r="1535" spans="20:23" x14ac:dyDescent="0.25">
      <c r="T1535" s="71"/>
      <c r="U1535" s="71"/>
      <c r="V1535" s="71"/>
      <c r="W1535" s="71"/>
    </row>
    <row r="1536" spans="20:23" x14ac:dyDescent="0.25">
      <c r="T1536" s="71"/>
      <c r="U1536" s="71"/>
      <c r="V1536" s="71"/>
      <c r="W1536" s="71"/>
    </row>
    <row r="1537" spans="20:23" x14ac:dyDescent="0.25">
      <c r="T1537" s="71"/>
      <c r="U1537" s="71"/>
      <c r="V1537" s="71"/>
      <c r="W1537" s="71"/>
    </row>
    <row r="1538" spans="20:23" x14ac:dyDescent="0.25">
      <c r="T1538" s="71"/>
      <c r="U1538" s="71"/>
      <c r="V1538" s="71"/>
      <c r="W1538" s="71"/>
    </row>
    <row r="1539" spans="20:23" x14ac:dyDescent="0.25">
      <c r="T1539" s="71"/>
      <c r="U1539" s="71"/>
      <c r="V1539" s="71"/>
      <c r="W1539" s="71"/>
    </row>
    <row r="1540" spans="20:23" x14ac:dyDescent="0.25">
      <c r="T1540" s="71"/>
      <c r="U1540" s="71"/>
      <c r="V1540" s="71"/>
      <c r="W1540" s="71"/>
    </row>
    <row r="1541" spans="20:23" x14ac:dyDescent="0.25">
      <c r="T1541" s="71"/>
      <c r="U1541" s="71"/>
      <c r="V1541" s="71"/>
      <c r="W1541" s="71"/>
    </row>
    <row r="1542" spans="20:23" x14ac:dyDescent="0.25">
      <c r="T1542" s="71"/>
      <c r="U1542" s="71"/>
      <c r="V1542" s="71"/>
      <c r="W1542" s="71"/>
    </row>
    <row r="1543" spans="20:23" x14ac:dyDescent="0.25">
      <c r="T1543" s="71"/>
      <c r="U1543" s="71"/>
      <c r="V1543" s="71"/>
      <c r="W1543" s="71"/>
    </row>
    <row r="1544" spans="20:23" x14ac:dyDescent="0.25">
      <c r="T1544" s="71"/>
      <c r="U1544" s="71"/>
      <c r="V1544" s="71"/>
      <c r="W1544" s="71"/>
    </row>
    <row r="1545" spans="20:23" x14ac:dyDescent="0.25">
      <c r="T1545" s="71"/>
      <c r="U1545" s="71"/>
      <c r="V1545" s="71"/>
      <c r="W1545" s="71"/>
    </row>
    <row r="1546" spans="20:23" x14ac:dyDescent="0.25">
      <c r="T1546" s="71"/>
      <c r="U1546" s="71"/>
      <c r="V1546" s="71"/>
      <c r="W1546" s="71"/>
    </row>
    <row r="1547" spans="20:23" x14ac:dyDescent="0.25">
      <c r="T1547" s="71"/>
      <c r="U1547" s="71"/>
      <c r="V1547" s="71"/>
      <c r="W1547" s="71"/>
    </row>
    <row r="1548" spans="20:23" x14ac:dyDescent="0.25">
      <c r="T1548" s="71"/>
      <c r="U1548" s="71"/>
      <c r="V1548" s="71"/>
      <c r="W1548" s="71"/>
    </row>
    <row r="1549" spans="20:23" x14ac:dyDescent="0.25">
      <c r="T1549" s="71"/>
      <c r="U1549" s="71"/>
      <c r="V1549" s="71"/>
      <c r="W1549" s="71"/>
    </row>
    <row r="1550" spans="20:23" x14ac:dyDescent="0.25">
      <c r="T1550" s="71"/>
      <c r="U1550" s="71"/>
      <c r="V1550" s="71"/>
      <c r="W1550" s="71"/>
    </row>
    <row r="1551" spans="20:23" x14ac:dyDescent="0.25">
      <c r="T1551" s="71"/>
      <c r="U1551" s="71"/>
      <c r="V1551" s="71"/>
      <c r="W1551" s="71"/>
    </row>
    <row r="1552" spans="20:23" x14ac:dyDescent="0.25">
      <c r="T1552" s="71"/>
      <c r="U1552" s="71"/>
      <c r="V1552" s="71"/>
      <c r="W1552" s="71"/>
    </row>
    <row r="1553" spans="20:23" x14ac:dyDescent="0.25">
      <c r="T1553" s="71"/>
      <c r="U1553" s="71"/>
      <c r="V1553" s="71"/>
      <c r="W1553" s="71"/>
    </row>
    <row r="1554" spans="20:23" x14ac:dyDescent="0.25">
      <c r="T1554" s="71"/>
      <c r="U1554" s="71"/>
      <c r="V1554" s="71"/>
      <c r="W1554" s="71"/>
    </row>
    <row r="1555" spans="20:23" x14ac:dyDescent="0.25">
      <c r="T1555" s="71"/>
      <c r="U1555" s="71"/>
      <c r="V1555" s="71"/>
      <c r="W1555" s="71"/>
    </row>
    <row r="1556" spans="20:23" x14ac:dyDescent="0.25">
      <c r="T1556" s="71"/>
      <c r="U1556" s="71"/>
      <c r="V1556" s="71"/>
      <c r="W1556" s="71"/>
    </row>
    <row r="1557" spans="20:23" x14ac:dyDescent="0.25">
      <c r="T1557" s="71"/>
      <c r="U1557" s="71"/>
      <c r="V1557" s="71"/>
      <c r="W1557" s="71"/>
    </row>
    <row r="1558" spans="20:23" x14ac:dyDescent="0.25">
      <c r="T1558" s="71"/>
      <c r="U1558" s="71"/>
      <c r="V1558" s="71"/>
      <c r="W1558" s="71"/>
    </row>
    <row r="1559" spans="20:23" x14ac:dyDescent="0.25">
      <c r="T1559" s="71"/>
      <c r="U1559" s="71"/>
      <c r="V1559" s="71"/>
      <c r="W1559" s="71"/>
    </row>
    <row r="1560" spans="20:23" x14ac:dyDescent="0.25">
      <c r="T1560" s="71"/>
      <c r="U1560" s="71"/>
      <c r="V1560" s="71"/>
      <c r="W1560" s="71"/>
    </row>
    <row r="1561" spans="20:23" x14ac:dyDescent="0.25">
      <c r="T1561" s="71"/>
      <c r="U1561" s="71"/>
      <c r="V1561" s="71"/>
      <c r="W1561" s="71"/>
    </row>
    <row r="1562" spans="20:23" x14ac:dyDescent="0.25">
      <c r="T1562" s="71"/>
      <c r="U1562" s="71"/>
      <c r="V1562" s="71"/>
      <c r="W1562" s="71"/>
    </row>
    <row r="1563" spans="20:23" x14ac:dyDescent="0.25">
      <c r="T1563" s="71"/>
      <c r="U1563" s="71"/>
      <c r="V1563" s="71"/>
      <c r="W1563" s="71"/>
    </row>
    <row r="1564" spans="20:23" x14ac:dyDescent="0.25">
      <c r="T1564" s="71"/>
      <c r="U1564" s="71"/>
      <c r="V1564" s="71"/>
      <c r="W1564" s="71"/>
    </row>
    <row r="1565" spans="20:23" x14ac:dyDescent="0.25">
      <c r="T1565" s="71"/>
      <c r="U1565" s="71"/>
      <c r="V1565" s="71"/>
      <c r="W1565" s="71"/>
    </row>
    <row r="1566" spans="20:23" x14ac:dyDescent="0.25">
      <c r="T1566" s="71"/>
      <c r="U1566" s="71"/>
      <c r="V1566" s="71"/>
      <c r="W1566" s="71"/>
    </row>
    <row r="1567" spans="20:23" x14ac:dyDescent="0.25">
      <c r="T1567" s="71"/>
      <c r="U1567" s="71"/>
      <c r="V1567" s="71"/>
      <c r="W1567" s="71"/>
    </row>
    <row r="1568" spans="20:23" x14ac:dyDescent="0.25">
      <c r="T1568" s="71"/>
      <c r="U1568" s="71"/>
      <c r="V1568" s="71"/>
      <c r="W1568" s="71"/>
    </row>
    <row r="1569" spans="20:23" x14ac:dyDescent="0.25">
      <c r="T1569" s="71"/>
      <c r="U1569" s="71"/>
      <c r="V1569" s="71"/>
      <c r="W1569" s="71"/>
    </row>
    <row r="1570" spans="20:23" x14ac:dyDescent="0.25">
      <c r="T1570" s="71"/>
      <c r="U1570" s="71"/>
      <c r="V1570" s="71"/>
      <c r="W1570" s="71"/>
    </row>
    <row r="1571" spans="20:23" x14ac:dyDescent="0.25">
      <c r="T1571" s="71"/>
      <c r="U1571" s="71"/>
      <c r="V1571" s="71"/>
      <c r="W1571" s="71"/>
    </row>
    <row r="1572" spans="20:23" x14ac:dyDescent="0.25">
      <c r="T1572" s="71"/>
      <c r="U1572" s="71"/>
      <c r="V1572" s="71"/>
      <c r="W1572" s="71"/>
    </row>
    <row r="1573" spans="20:23" x14ac:dyDescent="0.25">
      <c r="T1573" s="71"/>
      <c r="U1573" s="71"/>
      <c r="V1573" s="71"/>
      <c r="W1573" s="71"/>
    </row>
    <row r="1574" spans="20:23" x14ac:dyDescent="0.25">
      <c r="T1574" s="71"/>
      <c r="U1574" s="71"/>
      <c r="V1574" s="71"/>
      <c r="W1574" s="71"/>
    </row>
    <row r="1575" spans="20:23" x14ac:dyDescent="0.25">
      <c r="T1575" s="71"/>
      <c r="U1575" s="71"/>
      <c r="V1575" s="71"/>
      <c r="W1575" s="71"/>
    </row>
    <row r="1576" spans="20:23" x14ac:dyDescent="0.25">
      <c r="T1576" s="71"/>
      <c r="U1576" s="71"/>
      <c r="V1576" s="71"/>
      <c r="W1576" s="71"/>
    </row>
    <row r="1577" spans="20:23" x14ac:dyDescent="0.25">
      <c r="T1577" s="71"/>
      <c r="U1577" s="71"/>
      <c r="V1577" s="71"/>
      <c r="W1577" s="71"/>
    </row>
    <row r="1578" spans="20:23" x14ac:dyDescent="0.25">
      <c r="T1578" s="71"/>
      <c r="U1578" s="71"/>
      <c r="V1578" s="71"/>
      <c r="W1578" s="71"/>
    </row>
    <row r="1579" spans="20:23" x14ac:dyDescent="0.25">
      <c r="T1579" s="71"/>
      <c r="U1579" s="71"/>
      <c r="V1579" s="71"/>
      <c r="W1579" s="71"/>
    </row>
    <row r="1580" spans="20:23" x14ac:dyDescent="0.25">
      <c r="T1580" s="71"/>
      <c r="U1580" s="71"/>
      <c r="V1580" s="71"/>
      <c r="W1580" s="71"/>
    </row>
    <row r="1581" spans="20:23" x14ac:dyDescent="0.25">
      <c r="T1581" s="71"/>
      <c r="U1581" s="71"/>
      <c r="V1581" s="71"/>
      <c r="W1581" s="71"/>
    </row>
    <row r="1582" spans="20:23" x14ac:dyDescent="0.25">
      <c r="T1582" s="71"/>
      <c r="U1582" s="71"/>
      <c r="V1582" s="71"/>
      <c r="W1582" s="71"/>
    </row>
    <row r="1583" spans="20:23" x14ac:dyDescent="0.25">
      <c r="T1583" s="71"/>
      <c r="U1583" s="71"/>
      <c r="V1583" s="71"/>
      <c r="W1583" s="71"/>
    </row>
    <row r="1584" spans="20:23" x14ac:dyDescent="0.25">
      <c r="T1584" s="71"/>
      <c r="U1584" s="71"/>
      <c r="V1584" s="71"/>
      <c r="W1584" s="71"/>
    </row>
    <row r="1585" spans="20:23" x14ac:dyDescent="0.25">
      <c r="T1585" s="71"/>
      <c r="U1585" s="71"/>
      <c r="V1585" s="71"/>
      <c r="W1585" s="71"/>
    </row>
    <row r="1586" spans="20:23" x14ac:dyDescent="0.25">
      <c r="T1586" s="71"/>
      <c r="U1586" s="71"/>
      <c r="V1586" s="71"/>
      <c r="W1586" s="71"/>
    </row>
    <row r="1587" spans="20:23" x14ac:dyDescent="0.25">
      <c r="T1587" s="71"/>
      <c r="U1587" s="71"/>
      <c r="V1587" s="71"/>
      <c r="W1587" s="71"/>
    </row>
    <row r="1588" spans="20:23" x14ac:dyDescent="0.25">
      <c r="T1588" s="71"/>
      <c r="U1588" s="71"/>
      <c r="V1588" s="71"/>
      <c r="W1588" s="71"/>
    </row>
    <row r="1589" spans="20:23" x14ac:dyDescent="0.25">
      <c r="T1589" s="71"/>
      <c r="U1589" s="71"/>
      <c r="V1589" s="71"/>
      <c r="W1589" s="71"/>
    </row>
    <row r="1590" spans="20:23" x14ac:dyDescent="0.25">
      <c r="T1590" s="71"/>
      <c r="U1590" s="71"/>
      <c r="V1590" s="71"/>
      <c r="W1590" s="71"/>
    </row>
    <row r="1591" spans="20:23" x14ac:dyDescent="0.25">
      <c r="T1591" s="71"/>
      <c r="U1591" s="71"/>
      <c r="V1591" s="71"/>
      <c r="W1591" s="71"/>
    </row>
    <row r="1592" spans="20:23" x14ac:dyDescent="0.25">
      <c r="T1592" s="71"/>
      <c r="U1592" s="71"/>
      <c r="V1592" s="71"/>
      <c r="W1592" s="71"/>
    </row>
    <row r="1593" spans="20:23" x14ac:dyDescent="0.25">
      <c r="T1593" s="71"/>
      <c r="U1593" s="71"/>
      <c r="V1593" s="71"/>
      <c r="W1593" s="71"/>
    </row>
    <row r="1594" spans="20:23" x14ac:dyDescent="0.25">
      <c r="T1594" s="71"/>
      <c r="U1594" s="71"/>
      <c r="V1594" s="71"/>
      <c r="W1594" s="71"/>
    </row>
    <row r="1595" spans="20:23" x14ac:dyDescent="0.25">
      <c r="T1595" s="71"/>
      <c r="U1595" s="71"/>
      <c r="V1595" s="71"/>
      <c r="W1595" s="71"/>
    </row>
    <row r="1596" spans="20:23" x14ac:dyDescent="0.25">
      <c r="T1596" s="71"/>
      <c r="U1596" s="71"/>
      <c r="V1596" s="71"/>
      <c r="W1596" s="71"/>
    </row>
    <row r="1597" spans="20:23" x14ac:dyDescent="0.25">
      <c r="T1597" s="71"/>
      <c r="U1597" s="71"/>
      <c r="V1597" s="71"/>
      <c r="W1597" s="71"/>
    </row>
    <row r="1598" spans="20:23" x14ac:dyDescent="0.25">
      <c r="T1598" s="71"/>
      <c r="U1598" s="71"/>
      <c r="V1598" s="71"/>
      <c r="W1598" s="71"/>
    </row>
    <row r="1599" spans="20:23" x14ac:dyDescent="0.25">
      <c r="T1599" s="71"/>
      <c r="U1599" s="71"/>
      <c r="V1599" s="71"/>
      <c r="W1599" s="71"/>
    </row>
    <row r="1600" spans="20:23" x14ac:dyDescent="0.25">
      <c r="T1600" s="71"/>
      <c r="U1600" s="71"/>
      <c r="V1600" s="71"/>
      <c r="W1600" s="71"/>
    </row>
    <row r="1601" spans="20:23" x14ac:dyDescent="0.25">
      <c r="T1601" s="71"/>
      <c r="U1601" s="71"/>
      <c r="V1601" s="71"/>
      <c r="W1601" s="71"/>
    </row>
    <row r="1602" spans="20:23" x14ac:dyDescent="0.25">
      <c r="T1602" s="71"/>
      <c r="U1602" s="71"/>
      <c r="V1602" s="71"/>
      <c r="W1602" s="71"/>
    </row>
    <row r="1603" spans="20:23" x14ac:dyDescent="0.25">
      <c r="T1603" s="71"/>
      <c r="U1603" s="71"/>
      <c r="V1603" s="71"/>
      <c r="W1603" s="71"/>
    </row>
    <row r="1604" spans="20:23" x14ac:dyDescent="0.25">
      <c r="T1604" s="71"/>
      <c r="U1604" s="71"/>
      <c r="V1604" s="71"/>
      <c r="W1604" s="71"/>
    </row>
    <row r="1605" spans="20:23" x14ac:dyDescent="0.25">
      <c r="T1605" s="71"/>
      <c r="U1605" s="71"/>
      <c r="V1605" s="71"/>
      <c r="W1605" s="71"/>
    </row>
    <row r="1606" spans="20:23" x14ac:dyDescent="0.25">
      <c r="T1606" s="71"/>
      <c r="U1606" s="71"/>
      <c r="V1606" s="71"/>
      <c r="W1606" s="71"/>
    </row>
    <row r="1607" spans="20:23" x14ac:dyDescent="0.25">
      <c r="T1607" s="71"/>
      <c r="U1607" s="71"/>
      <c r="V1607" s="71"/>
      <c r="W1607" s="71"/>
    </row>
    <row r="1608" spans="20:23" x14ac:dyDescent="0.25">
      <c r="T1608" s="71"/>
      <c r="U1608" s="71"/>
      <c r="V1608" s="71"/>
      <c r="W1608" s="71"/>
    </row>
    <row r="1609" spans="20:23" x14ac:dyDescent="0.25">
      <c r="T1609" s="71"/>
      <c r="U1609" s="71"/>
      <c r="V1609" s="71"/>
      <c r="W1609" s="71"/>
    </row>
    <row r="1610" spans="20:23" x14ac:dyDescent="0.25">
      <c r="T1610" s="71"/>
      <c r="U1610" s="71"/>
      <c r="V1610" s="71"/>
      <c r="W1610" s="71"/>
    </row>
    <row r="1611" spans="20:23" x14ac:dyDescent="0.25">
      <c r="T1611" s="71"/>
      <c r="U1611" s="71"/>
      <c r="V1611" s="71"/>
      <c r="W1611" s="71"/>
    </row>
    <row r="1612" spans="20:23" x14ac:dyDescent="0.25">
      <c r="T1612" s="71"/>
      <c r="U1612" s="71"/>
      <c r="V1612" s="71"/>
      <c r="W1612" s="71"/>
    </row>
    <row r="1613" spans="20:23" x14ac:dyDescent="0.25">
      <c r="T1613" s="71"/>
      <c r="U1613" s="71"/>
      <c r="V1613" s="71"/>
      <c r="W1613" s="71"/>
    </row>
    <row r="1614" spans="20:23" x14ac:dyDescent="0.25">
      <c r="T1614" s="71"/>
      <c r="U1614" s="71"/>
      <c r="V1614" s="71"/>
      <c r="W1614" s="71"/>
    </row>
    <row r="1615" spans="20:23" x14ac:dyDescent="0.25">
      <c r="T1615" s="71"/>
      <c r="U1615" s="71"/>
      <c r="V1615" s="71"/>
      <c r="W1615" s="71"/>
    </row>
    <row r="1616" spans="20:23" x14ac:dyDescent="0.25">
      <c r="T1616" s="71"/>
      <c r="U1616" s="71"/>
      <c r="V1616" s="71"/>
      <c r="W1616" s="71"/>
    </row>
    <row r="1617" spans="20:23" x14ac:dyDescent="0.25">
      <c r="T1617" s="71"/>
      <c r="U1617" s="71"/>
      <c r="V1617" s="71"/>
      <c r="W1617" s="71"/>
    </row>
    <row r="1618" spans="20:23" x14ac:dyDescent="0.25">
      <c r="T1618" s="71"/>
      <c r="U1618" s="71"/>
      <c r="V1618" s="71"/>
      <c r="W1618" s="71"/>
    </row>
    <row r="1619" spans="20:23" x14ac:dyDescent="0.25">
      <c r="T1619" s="71"/>
      <c r="U1619" s="71"/>
      <c r="V1619" s="71"/>
      <c r="W1619" s="71"/>
    </row>
    <row r="1620" spans="20:23" x14ac:dyDescent="0.25">
      <c r="T1620" s="71"/>
      <c r="U1620" s="71"/>
      <c r="V1620" s="71"/>
      <c r="W1620" s="71"/>
    </row>
    <row r="1621" spans="20:23" x14ac:dyDescent="0.25">
      <c r="T1621" s="71"/>
      <c r="U1621" s="71"/>
      <c r="V1621" s="71"/>
      <c r="W1621" s="71"/>
    </row>
    <row r="1622" spans="20:23" x14ac:dyDescent="0.25">
      <c r="T1622" s="71"/>
      <c r="U1622" s="71"/>
      <c r="V1622" s="71"/>
      <c r="W1622" s="71"/>
    </row>
    <row r="1623" spans="20:23" x14ac:dyDescent="0.25">
      <c r="T1623" s="71"/>
      <c r="U1623" s="71"/>
      <c r="V1623" s="71"/>
      <c r="W1623" s="71"/>
    </row>
    <row r="1624" spans="20:23" x14ac:dyDescent="0.25">
      <c r="T1624" s="71"/>
      <c r="U1624" s="71"/>
      <c r="V1624" s="71"/>
      <c r="W1624" s="71"/>
    </row>
    <row r="1625" spans="20:23" x14ac:dyDescent="0.25">
      <c r="T1625" s="71"/>
      <c r="U1625" s="71"/>
      <c r="V1625" s="71"/>
      <c r="W1625" s="71"/>
    </row>
    <row r="1626" spans="20:23" x14ac:dyDescent="0.25">
      <c r="T1626" s="71"/>
      <c r="U1626" s="71"/>
      <c r="V1626" s="71"/>
      <c r="W1626" s="71"/>
    </row>
    <row r="1627" spans="20:23" x14ac:dyDescent="0.25">
      <c r="T1627" s="71"/>
      <c r="U1627" s="71"/>
      <c r="V1627" s="71"/>
      <c r="W1627" s="71"/>
    </row>
    <row r="1628" spans="20:23" x14ac:dyDescent="0.25">
      <c r="T1628" s="71"/>
      <c r="U1628" s="71"/>
      <c r="V1628" s="71"/>
      <c r="W1628" s="71"/>
    </row>
    <row r="1629" spans="20:23" x14ac:dyDescent="0.25">
      <c r="T1629" s="71"/>
      <c r="U1629" s="71"/>
      <c r="V1629" s="71"/>
      <c r="W1629" s="71"/>
    </row>
    <row r="1630" spans="20:23" x14ac:dyDescent="0.25">
      <c r="T1630" s="71"/>
      <c r="U1630" s="71"/>
      <c r="V1630" s="71"/>
      <c r="W1630" s="71"/>
    </row>
    <row r="1631" spans="20:23" x14ac:dyDescent="0.25">
      <c r="T1631" s="71"/>
      <c r="U1631" s="71"/>
      <c r="V1631" s="71"/>
      <c r="W1631" s="71"/>
    </row>
    <row r="1632" spans="20:23" x14ac:dyDescent="0.25">
      <c r="T1632" s="71"/>
      <c r="U1632" s="71"/>
      <c r="V1632" s="71"/>
      <c r="W1632" s="71"/>
    </row>
    <row r="1633" spans="20:23" x14ac:dyDescent="0.25">
      <c r="T1633" s="71"/>
      <c r="U1633" s="71"/>
      <c r="V1633" s="71"/>
      <c r="W1633" s="71"/>
    </row>
    <row r="1634" spans="20:23" x14ac:dyDescent="0.25">
      <c r="T1634" s="71"/>
      <c r="U1634" s="71"/>
      <c r="V1634" s="71"/>
      <c r="W1634" s="71"/>
    </row>
    <row r="1635" spans="20:23" x14ac:dyDescent="0.25">
      <c r="T1635" s="71"/>
      <c r="U1635" s="71"/>
      <c r="V1635" s="71"/>
      <c r="W1635" s="71"/>
    </row>
    <row r="1636" spans="20:23" x14ac:dyDescent="0.25">
      <c r="T1636" s="71"/>
      <c r="U1636" s="71"/>
      <c r="V1636" s="71"/>
      <c r="W1636" s="71"/>
    </row>
    <row r="1637" spans="20:23" x14ac:dyDescent="0.25">
      <c r="T1637" s="71"/>
      <c r="U1637" s="71"/>
      <c r="V1637" s="71"/>
      <c r="W1637" s="71"/>
    </row>
    <row r="1638" spans="20:23" x14ac:dyDescent="0.25">
      <c r="T1638" s="71"/>
      <c r="U1638" s="71"/>
      <c r="V1638" s="71"/>
      <c r="W1638" s="71"/>
    </row>
    <row r="1639" spans="20:23" x14ac:dyDescent="0.25">
      <c r="T1639" s="71"/>
      <c r="U1639" s="71"/>
      <c r="V1639" s="71"/>
      <c r="W1639" s="71"/>
    </row>
    <row r="1640" spans="20:23" x14ac:dyDescent="0.25">
      <c r="T1640" s="71"/>
      <c r="U1640" s="71"/>
      <c r="V1640" s="71"/>
      <c r="W1640" s="71"/>
    </row>
    <row r="1641" spans="20:23" x14ac:dyDescent="0.25">
      <c r="T1641" s="71"/>
      <c r="U1641" s="71"/>
      <c r="V1641" s="71"/>
      <c r="W1641" s="71"/>
    </row>
    <row r="1642" spans="20:23" x14ac:dyDescent="0.25">
      <c r="T1642" s="71"/>
      <c r="U1642" s="71"/>
      <c r="V1642" s="71"/>
      <c r="W1642" s="71"/>
    </row>
    <row r="1643" spans="20:23" x14ac:dyDescent="0.25">
      <c r="T1643" s="71"/>
      <c r="U1643" s="71"/>
      <c r="V1643" s="71"/>
      <c r="W1643" s="71"/>
    </row>
    <row r="1644" spans="20:23" x14ac:dyDescent="0.25">
      <c r="T1644" s="71"/>
      <c r="U1644" s="71"/>
      <c r="V1644" s="71"/>
      <c r="W1644" s="71"/>
    </row>
    <row r="1645" spans="20:23" x14ac:dyDescent="0.25">
      <c r="T1645" s="71"/>
      <c r="U1645" s="71"/>
      <c r="V1645" s="71"/>
      <c r="W1645" s="71"/>
    </row>
    <row r="1646" spans="20:23" x14ac:dyDescent="0.25">
      <c r="T1646" s="71"/>
      <c r="U1646" s="71"/>
      <c r="V1646" s="71"/>
      <c r="W1646" s="71"/>
    </row>
    <row r="1647" spans="20:23" x14ac:dyDescent="0.25">
      <c r="T1647" s="71"/>
      <c r="U1647" s="71"/>
      <c r="V1647" s="71"/>
      <c r="W1647" s="71"/>
    </row>
    <row r="1648" spans="20:23" x14ac:dyDescent="0.25">
      <c r="T1648" s="71"/>
      <c r="U1648" s="71"/>
      <c r="V1648" s="71"/>
      <c r="W1648" s="71"/>
    </row>
    <row r="1649" spans="20:23" x14ac:dyDescent="0.25">
      <c r="T1649" s="71"/>
      <c r="U1649" s="71"/>
      <c r="V1649" s="71"/>
      <c r="W1649" s="71"/>
    </row>
    <row r="1650" spans="20:23" x14ac:dyDescent="0.25">
      <c r="T1650" s="71"/>
      <c r="U1650" s="71"/>
      <c r="V1650" s="71"/>
      <c r="W1650" s="71"/>
    </row>
    <row r="1651" spans="20:23" x14ac:dyDescent="0.25">
      <c r="T1651" s="71"/>
      <c r="U1651" s="71"/>
      <c r="V1651" s="71"/>
      <c r="W1651" s="71"/>
    </row>
    <row r="1652" spans="20:23" x14ac:dyDescent="0.25">
      <c r="T1652" s="71"/>
      <c r="U1652" s="71"/>
      <c r="V1652" s="71"/>
      <c r="W1652" s="71"/>
    </row>
    <row r="1653" spans="20:23" x14ac:dyDescent="0.25">
      <c r="T1653" s="71"/>
      <c r="U1653" s="71"/>
      <c r="V1653" s="71"/>
      <c r="W1653" s="71"/>
    </row>
    <row r="1654" spans="20:23" x14ac:dyDescent="0.25">
      <c r="T1654" s="71"/>
      <c r="U1654" s="71"/>
      <c r="V1654" s="71"/>
      <c r="W1654" s="71"/>
    </row>
    <row r="1655" spans="20:23" x14ac:dyDescent="0.25">
      <c r="T1655" s="71"/>
      <c r="U1655" s="71"/>
      <c r="V1655" s="71"/>
      <c r="W1655" s="71"/>
    </row>
    <row r="1656" spans="20:23" x14ac:dyDescent="0.25">
      <c r="T1656" s="71"/>
      <c r="U1656" s="71"/>
      <c r="V1656" s="71"/>
      <c r="W1656" s="71"/>
    </row>
    <row r="1657" spans="20:23" x14ac:dyDescent="0.25">
      <c r="T1657" s="71"/>
      <c r="U1657" s="71"/>
      <c r="V1657" s="71"/>
      <c r="W1657" s="71"/>
    </row>
    <row r="1658" spans="20:23" x14ac:dyDescent="0.25">
      <c r="T1658" s="71"/>
      <c r="U1658" s="71"/>
      <c r="V1658" s="71"/>
      <c r="W1658" s="71"/>
    </row>
    <row r="1659" spans="20:23" x14ac:dyDescent="0.25">
      <c r="T1659" s="71"/>
      <c r="U1659" s="71"/>
      <c r="V1659" s="71"/>
      <c r="W1659" s="71"/>
    </row>
    <row r="1660" spans="20:23" x14ac:dyDescent="0.25">
      <c r="T1660" s="71"/>
      <c r="U1660" s="71"/>
      <c r="V1660" s="71"/>
      <c r="W1660" s="71"/>
    </row>
    <row r="1661" spans="20:23" x14ac:dyDescent="0.25">
      <c r="T1661" s="71"/>
      <c r="U1661" s="71"/>
      <c r="V1661" s="71"/>
      <c r="W1661" s="71"/>
    </row>
    <row r="1662" spans="20:23" x14ac:dyDescent="0.25">
      <c r="T1662" s="71"/>
      <c r="U1662" s="71"/>
      <c r="V1662" s="71"/>
      <c r="W1662" s="71"/>
    </row>
    <row r="1663" spans="20:23" x14ac:dyDescent="0.25">
      <c r="T1663" s="71"/>
      <c r="U1663" s="71"/>
      <c r="V1663" s="71"/>
      <c r="W1663" s="71"/>
    </row>
    <row r="1664" spans="20:23" x14ac:dyDescent="0.25">
      <c r="T1664" s="71"/>
      <c r="U1664" s="71"/>
      <c r="V1664" s="71"/>
      <c r="W1664" s="71"/>
    </row>
    <row r="1665" spans="20:23" x14ac:dyDescent="0.25">
      <c r="T1665" s="71"/>
      <c r="U1665" s="71"/>
      <c r="V1665" s="71"/>
      <c r="W1665" s="71"/>
    </row>
    <row r="1666" spans="20:23" x14ac:dyDescent="0.25">
      <c r="T1666" s="71"/>
      <c r="U1666" s="71"/>
      <c r="V1666" s="71"/>
      <c r="W1666" s="71"/>
    </row>
    <row r="1667" spans="20:23" x14ac:dyDescent="0.25">
      <c r="T1667" s="71"/>
      <c r="U1667" s="71"/>
      <c r="V1667" s="71"/>
      <c r="W1667" s="71"/>
    </row>
    <row r="1668" spans="20:23" x14ac:dyDescent="0.25">
      <c r="T1668" s="71"/>
      <c r="U1668" s="71"/>
      <c r="V1668" s="71"/>
      <c r="W1668" s="71"/>
    </row>
    <row r="1669" spans="20:23" x14ac:dyDescent="0.25">
      <c r="T1669" s="71"/>
      <c r="U1669" s="71"/>
      <c r="V1669" s="71"/>
      <c r="W1669" s="71"/>
    </row>
    <row r="1670" spans="20:23" x14ac:dyDescent="0.25">
      <c r="T1670" s="71"/>
      <c r="U1670" s="71"/>
      <c r="V1670" s="71"/>
      <c r="W1670" s="71"/>
    </row>
    <row r="1671" spans="20:23" x14ac:dyDescent="0.25">
      <c r="T1671" s="71"/>
      <c r="U1671" s="71"/>
      <c r="V1671" s="71"/>
      <c r="W1671" s="71"/>
    </row>
    <row r="1672" spans="20:23" x14ac:dyDescent="0.25">
      <c r="T1672" s="71"/>
      <c r="U1672" s="71"/>
      <c r="V1672" s="71"/>
      <c r="W1672" s="71"/>
    </row>
    <row r="1673" spans="20:23" x14ac:dyDescent="0.25">
      <c r="T1673" s="71"/>
      <c r="U1673" s="71"/>
      <c r="V1673" s="71"/>
      <c r="W1673" s="71"/>
    </row>
    <row r="1674" spans="20:23" x14ac:dyDescent="0.25">
      <c r="T1674" s="71"/>
      <c r="U1674" s="71"/>
      <c r="V1674" s="71"/>
      <c r="W1674" s="71"/>
    </row>
    <row r="1675" spans="20:23" x14ac:dyDescent="0.25">
      <c r="T1675" s="71"/>
      <c r="U1675" s="71"/>
      <c r="V1675" s="71"/>
      <c r="W1675" s="71"/>
    </row>
    <row r="1676" spans="20:23" x14ac:dyDescent="0.25">
      <c r="T1676" s="71"/>
      <c r="U1676" s="71"/>
      <c r="V1676" s="71"/>
      <c r="W1676" s="71"/>
    </row>
    <row r="1677" spans="20:23" x14ac:dyDescent="0.25">
      <c r="T1677" s="71"/>
      <c r="U1677" s="71"/>
      <c r="V1677" s="71"/>
      <c r="W1677" s="71"/>
    </row>
    <row r="1678" spans="20:23" x14ac:dyDescent="0.25">
      <c r="T1678" s="71"/>
      <c r="U1678" s="71"/>
      <c r="V1678" s="71"/>
      <c r="W1678" s="71"/>
    </row>
    <row r="1679" spans="20:23" x14ac:dyDescent="0.25">
      <c r="T1679" s="71"/>
      <c r="U1679" s="71"/>
      <c r="V1679" s="71"/>
      <c r="W1679" s="71"/>
    </row>
    <row r="1680" spans="20:23" x14ac:dyDescent="0.25">
      <c r="T1680" s="71"/>
      <c r="U1680" s="71"/>
      <c r="V1680" s="71"/>
      <c r="W1680" s="71"/>
    </row>
    <row r="1681" spans="20:23" x14ac:dyDescent="0.25">
      <c r="T1681" s="71"/>
      <c r="U1681" s="71"/>
      <c r="V1681" s="71"/>
      <c r="W1681" s="71"/>
    </row>
    <row r="1682" spans="20:23" x14ac:dyDescent="0.25">
      <c r="T1682" s="71"/>
      <c r="U1682" s="71"/>
      <c r="V1682" s="71"/>
      <c r="W1682" s="71"/>
    </row>
    <row r="1683" spans="20:23" x14ac:dyDescent="0.25">
      <c r="T1683" s="71"/>
      <c r="U1683" s="71"/>
      <c r="V1683" s="71"/>
      <c r="W1683" s="71"/>
    </row>
    <row r="1684" spans="20:23" x14ac:dyDescent="0.25">
      <c r="T1684" s="71"/>
      <c r="U1684" s="71"/>
      <c r="V1684" s="71"/>
      <c r="W1684" s="71"/>
    </row>
    <row r="1685" spans="20:23" x14ac:dyDescent="0.25">
      <c r="T1685" s="71"/>
      <c r="U1685" s="71"/>
      <c r="V1685" s="71"/>
      <c r="W1685" s="71"/>
    </row>
    <row r="1686" spans="20:23" x14ac:dyDescent="0.25">
      <c r="T1686" s="71"/>
      <c r="U1686" s="71"/>
      <c r="V1686" s="71"/>
      <c r="W1686" s="71"/>
    </row>
    <row r="1687" spans="20:23" x14ac:dyDescent="0.25">
      <c r="T1687" s="71"/>
      <c r="U1687" s="71"/>
      <c r="V1687" s="71"/>
      <c r="W1687" s="71"/>
    </row>
    <row r="1688" spans="20:23" x14ac:dyDescent="0.25">
      <c r="T1688" s="71"/>
      <c r="U1688" s="71"/>
      <c r="V1688" s="71"/>
      <c r="W1688" s="71"/>
    </row>
    <row r="1689" spans="20:23" x14ac:dyDescent="0.25">
      <c r="T1689" s="71"/>
      <c r="U1689" s="71"/>
      <c r="V1689" s="71"/>
      <c r="W1689" s="71"/>
    </row>
    <row r="1690" spans="20:23" x14ac:dyDescent="0.25">
      <c r="T1690" s="71"/>
      <c r="U1690" s="71"/>
      <c r="V1690" s="71"/>
      <c r="W1690" s="71"/>
    </row>
    <row r="1691" spans="20:23" x14ac:dyDescent="0.25">
      <c r="T1691" s="71"/>
      <c r="U1691" s="71"/>
      <c r="V1691" s="71"/>
      <c r="W1691" s="71"/>
    </row>
    <row r="1692" spans="20:23" x14ac:dyDescent="0.25">
      <c r="T1692" s="71"/>
      <c r="U1692" s="71"/>
      <c r="V1692" s="71"/>
      <c r="W1692" s="71"/>
    </row>
    <row r="1693" spans="20:23" x14ac:dyDescent="0.25">
      <c r="T1693" s="71"/>
      <c r="U1693" s="71"/>
      <c r="V1693" s="71"/>
      <c r="W1693" s="71"/>
    </row>
    <row r="1694" spans="20:23" x14ac:dyDescent="0.25">
      <c r="T1694" s="71"/>
      <c r="U1694" s="71"/>
      <c r="V1694" s="71"/>
      <c r="W1694" s="71"/>
    </row>
    <row r="1695" spans="20:23" x14ac:dyDescent="0.25">
      <c r="T1695" s="71"/>
      <c r="U1695" s="71"/>
      <c r="V1695" s="71"/>
      <c r="W1695" s="71"/>
    </row>
    <row r="1696" spans="20:23" x14ac:dyDescent="0.25">
      <c r="T1696" s="71"/>
      <c r="U1696" s="71"/>
      <c r="V1696" s="71"/>
      <c r="W1696" s="71"/>
    </row>
    <row r="1697" spans="20:23" x14ac:dyDescent="0.25">
      <c r="T1697" s="71"/>
      <c r="U1697" s="71"/>
      <c r="V1697" s="71"/>
      <c r="W1697" s="71"/>
    </row>
    <row r="1698" spans="20:23" x14ac:dyDescent="0.25">
      <c r="T1698" s="71"/>
      <c r="U1698" s="71"/>
      <c r="V1698" s="71"/>
      <c r="W1698" s="71"/>
    </row>
    <row r="1699" spans="20:23" x14ac:dyDescent="0.25">
      <c r="T1699" s="71"/>
      <c r="U1699" s="71"/>
      <c r="V1699" s="71"/>
      <c r="W1699" s="71"/>
    </row>
    <row r="1700" spans="20:23" x14ac:dyDescent="0.25">
      <c r="T1700" s="71"/>
      <c r="U1700" s="71"/>
      <c r="V1700" s="71"/>
      <c r="W1700" s="71"/>
    </row>
    <row r="1701" spans="20:23" x14ac:dyDescent="0.25">
      <c r="T1701" s="71"/>
      <c r="U1701" s="71"/>
      <c r="V1701" s="71"/>
      <c r="W1701" s="71"/>
    </row>
    <row r="1702" spans="20:23" x14ac:dyDescent="0.25">
      <c r="T1702" s="71"/>
      <c r="U1702" s="71"/>
      <c r="V1702" s="71"/>
      <c r="W1702" s="71"/>
    </row>
    <row r="1703" spans="20:23" x14ac:dyDescent="0.25">
      <c r="T1703" s="71"/>
      <c r="U1703" s="71"/>
      <c r="V1703" s="71"/>
      <c r="W1703" s="71"/>
    </row>
    <row r="1704" spans="20:23" x14ac:dyDescent="0.25">
      <c r="T1704" s="71"/>
      <c r="U1704" s="71"/>
      <c r="V1704" s="71"/>
      <c r="W1704" s="71"/>
    </row>
    <row r="1705" spans="20:23" x14ac:dyDescent="0.25">
      <c r="T1705" s="71"/>
      <c r="U1705" s="71"/>
      <c r="V1705" s="71"/>
      <c r="W1705" s="71"/>
    </row>
    <row r="1706" spans="20:23" x14ac:dyDescent="0.25">
      <c r="T1706" s="71"/>
      <c r="U1706" s="71"/>
      <c r="V1706" s="71"/>
      <c r="W1706" s="71"/>
    </row>
    <row r="1707" spans="20:23" x14ac:dyDescent="0.25">
      <c r="T1707" s="71"/>
      <c r="U1707" s="71"/>
      <c r="V1707" s="71"/>
      <c r="W1707" s="71"/>
    </row>
    <row r="1708" spans="20:23" x14ac:dyDescent="0.25">
      <c r="T1708" s="71"/>
      <c r="U1708" s="71"/>
      <c r="V1708" s="71"/>
      <c r="W1708" s="71"/>
    </row>
    <row r="1709" spans="20:23" x14ac:dyDescent="0.25">
      <c r="T1709" s="71"/>
      <c r="U1709" s="71"/>
      <c r="V1709" s="71"/>
      <c r="W1709" s="71"/>
    </row>
    <row r="1710" spans="20:23" x14ac:dyDescent="0.25">
      <c r="T1710" s="71"/>
      <c r="U1710" s="71"/>
      <c r="V1710" s="71"/>
      <c r="W1710" s="71"/>
    </row>
    <row r="1711" spans="20:23" x14ac:dyDescent="0.25">
      <c r="T1711" s="71"/>
      <c r="U1711" s="71"/>
      <c r="V1711" s="71"/>
      <c r="W1711" s="71"/>
    </row>
    <row r="1712" spans="20:23" x14ac:dyDescent="0.25">
      <c r="T1712" s="71"/>
      <c r="U1712" s="71"/>
      <c r="V1712" s="71"/>
      <c r="W1712" s="71"/>
    </row>
    <row r="1713" spans="20:23" x14ac:dyDescent="0.25">
      <c r="T1713" s="71"/>
      <c r="U1713" s="71"/>
      <c r="V1713" s="71"/>
      <c r="W1713" s="71"/>
    </row>
    <row r="1714" spans="20:23" x14ac:dyDescent="0.25">
      <c r="T1714" s="71"/>
      <c r="U1714" s="71"/>
      <c r="V1714" s="71"/>
      <c r="W1714" s="71"/>
    </row>
    <row r="1715" spans="20:23" x14ac:dyDescent="0.25">
      <c r="T1715" s="71"/>
      <c r="U1715" s="71"/>
      <c r="V1715" s="71"/>
      <c r="W1715" s="71"/>
    </row>
    <row r="1716" spans="20:23" x14ac:dyDescent="0.25">
      <c r="T1716" s="71"/>
      <c r="U1716" s="71"/>
      <c r="V1716" s="71"/>
      <c r="W1716" s="71"/>
    </row>
    <row r="1717" spans="20:23" x14ac:dyDescent="0.25">
      <c r="T1717" s="71"/>
      <c r="U1717" s="71"/>
      <c r="V1717" s="71"/>
      <c r="W1717" s="71"/>
    </row>
    <row r="1718" spans="20:23" x14ac:dyDescent="0.25">
      <c r="T1718" s="71"/>
      <c r="U1718" s="71"/>
      <c r="V1718" s="71"/>
      <c r="W1718" s="71"/>
    </row>
    <row r="1719" spans="20:23" x14ac:dyDescent="0.25">
      <c r="T1719" s="71"/>
      <c r="U1719" s="71"/>
      <c r="V1719" s="71"/>
      <c r="W1719" s="71"/>
    </row>
    <row r="1720" spans="20:23" x14ac:dyDescent="0.25">
      <c r="T1720" s="71"/>
      <c r="U1720" s="71"/>
      <c r="V1720" s="71"/>
      <c r="W1720" s="71"/>
    </row>
    <row r="1721" spans="20:23" x14ac:dyDescent="0.25">
      <c r="T1721" s="71"/>
      <c r="U1721" s="71"/>
      <c r="V1721" s="71"/>
      <c r="W1721" s="71"/>
    </row>
    <row r="1722" spans="20:23" x14ac:dyDescent="0.25">
      <c r="T1722" s="71"/>
      <c r="U1722" s="71"/>
      <c r="V1722" s="71"/>
      <c r="W1722" s="71"/>
    </row>
    <row r="1723" spans="20:23" x14ac:dyDescent="0.25">
      <c r="T1723" s="71"/>
      <c r="U1723" s="71"/>
      <c r="V1723" s="71"/>
      <c r="W1723" s="71"/>
    </row>
    <row r="1724" spans="20:23" x14ac:dyDescent="0.25">
      <c r="T1724" s="71"/>
      <c r="U1724" s="71"/>
      <c r="V1724" s="71"/>
      <c r="W1724" s="71"/>
    </row>
    <row r="1725" spans="20:23" x14ac:dyDescent="0.25">
      <c r="T1725" s="71"/>
      <c r="U1725" s="71"/>
      <c r="V1725" s="71"/>
      <c r="W1725" s="71"/>
    </row>
    <row r="1726" spans="20:23" x14ac:dyDescent="0.25">
      <c r="T1726" s="71"/>
      <c r="U1726" s="71"/>
      <c r="V1726" s="71"/>
      <c r="W1726" s="71"/>
    </row>
    <row r="1727" spans="20:23" x14ac:dyDescent="0.25">
      <c r="T1727" s="71"/>
      <c r="U1727" s="71"/>
      <c r="V1727" s="71"/>
      <c r="W1727" s="71"/>
    </row>
    <row r="1728" spans="20:23" x14ac:dyDescent="0.25">
      <c r="T1728" s="71"/>
      <c r="U1728" s="71"/>
      <c r="V1728" s="71"/>
      <c r="W1728" s="71"/>
    </row>
    <row r="1729" spans="20:23" x14ac:dyDescent="0.25">
      <c r="T1729" s="71"/>
      <c r="U1729" s="71"/>
      <c r="V1729" s="71"/>
      <c r="W1729" s="71"/>
    </row>
    <row r="1730" spans="20:23" x14ac:dyDescent="0.25">
      <c r="T1730" s="71"/>
      <c r="U1730" s="71"/>
      <c r="V1730" s="71"/>
      <c r="W1730" s="71"/>
    </row>
    <row r="1731" spans="20:23" x14ac:dyDescent="0.25">
      <c r="T1731" s="71"/>
      <c r="U1731" s="71"/>
      <c r="V1731" s="71"/>
      <c r="W1731" s="71"/>
    </row>
    <row r="1732" spans="20:23" x14ac:dyDescent="0.25">
      <c r="T1732" s="71"/>
      <c r="U1732" s="71"/>
      <c r="V1732" s="71"/>
      <c r="W1732" s="71"/>
    </row>
    <row r="1733" spans="20:23" x14ac:dyDescent="0.25">
      <c r="T1733" s="71"/>
      <c r="U1733" s="71"/>
      <c r="V1733" s="71"/>
      <c r="W1733" s="71"/>
    </row>
    <row r="1734" spans="20:23" x14ac:dyDescent="0.25">
      <c r="T1734" s="71"/>
      <c r="U1734" s="71"/>
      <c r="V1734" s="71"/>
      <c r="W1734" s="71"/>
    </row>
    <row r="1735" spans="20:23" x14ac:dyDescent="0.25">
      <c r="T1735" s="71"/>
      <c r="U1735" s="71"/>
      <c r="V1735" s="71"/>
      <c r="W1735" s="71"/>
    </row>
    <row r="1736" spans="20:23" x14ac:dyDescent="0.25">
      <c r="T1736" s="71"/>
      <c r="U1736" s="71"/>
      <c r="V1736" s="71"/>
      <c r="W1736" s="71"/>
    </row>
    <row r="1737" spans="20:23" x14ac:dyDescent="0.25">
      <c r="T1737" s="71"/>
      <c r="U1737" s="71"/>
      <c r="V1737" s="71"/>
      <c r="W1737" s="71"/>
    </row>
    <row r="1738" spans="20:23" x14ac:dyDescent="0.25">
      <c r="T1738" s="71"/>
      <c r="U1738" s="71"/>
      <c r="V1738" s="71"/>
      <c r="W1738" s="71"/>
    </row>
    <row r="1739" spans="20:23" x14ac:dyDescent="0.25">
      <c r="T1739" s="71"/>
      <c r="U1739" s="71"/>
      <c r="V1739" s="71"/>
      <c r="W1739" s="71"/>
    </row>
    <row r="1740" spans="20:23" x14ac:dyDescent="0.25">
      <c r="T1740" s="71"/>
      <c r="U1740" s="71"/>
      <c r="V1740" s="71"/>
      <c r="W1740" s="71"/>
    </row>
    <row r="1741" spans="20:23" x14ac:dyDescent="0.25">
      <c r="T1741" s="71"/>
      <c r="U1741" s="71"/>
      <c r="V1741" s="71"/>
      <c r="W1741" s="71"/>
    </row>
    <row r="1742" spans="20:23" x14ac:dyDescent="0.25">
      <c r="T1742" s="71"/>
      <c r="U1742" s="71"/>
      <c r="V1742" s="71"/>
      <c r="W1742" s="71"/>
    </row>
    <row r="1743" spans="20:23" x14ac:dyDescent="0.25">
      <c r="T1743" s="71"/>
      <c r="U1743" s="71"/>
      <c r="V1743" s="71"/>
      <c r="W1743" s="71"/>
    </row>
    <row r="1744" spans="20:23" x14ac:dyDescent="0.25">
      <c r="T1744" s="71"/>
      <c r="U1744" s="71"/>
      <c r="V1744" s="71"/>
      <c r="W1744" s="71"/>
    </row>
    <row r="1745" spans="20:23" x14ac:dyDescent="0.25">
      <c r="T1745" s="71"/>
      <c r="U1745" s="71"/>
      <c r="V1745" s="71"/>
      <c r="W1745" s="71"/>
    </row>
    <row r="1746" spans="20:23" x14ac:dyDescent="0.25">
      <c r="T1746" s="71"/>
      <c r="U1746" s="71"/>
      <c r="V1746" s="71"/>
      <c r="W1746" s="71"/>
    </row>
    <row r="1747" spans="20:23" x14ac:dyDescent="0.25">
      <c r="T1747" s="71"/>
      <c r="U1747" s="71"/>
      <c r="V1747" s="71"/>
      <c r="W1747" s="71"/>
    </row>
    <row r="1748" spans="20:23" x14ac:dyDescent="0.25">
      <c r="T1748" s="71"/>
      <c r="U1748" s="71"/>
      <c r="V1748" s="71"/>
      <c r="W1748" s="71"/>
    </row>
    <row r="1749" spans="20:23" x14ac:dyDescent="0.25">
      <c r="T1749" s="71"/>
      <c r="U1749" s="71"/>
      <c r="V1749" s="71"/>
      <c r="W1749" s="71"/>
    </row>
    <row r="1750" spans="20:23" x14ac:dyDescent="0.25">
      <c r="T1750" s="71"/>
      <c r="U1750" s="71"/>
      <c r="V1750" s="71"/>
      <c r="W1750" s="71"/>
    </row>
    <row r="1751" spans="20:23" x14ac:dyDescent="0.25">
      <c r="T1751" s="71"/>
      <c r="U1751" s="71"/>
      <c r="V1751" s="71"/>
      <c r="W1751" s="71"/>
    </row>
    <row r="1752" spans="20:23" x14ac:dyDescent="0.25">
      <c r="T1752" s="71"/>
      <c r="U1752" s="71"/>
      <c r="V1752" s="71"/>
      <c r="W1752" s="71"/>
    </row>
    <row r="1753" spans="20:23" x14ac:dyDescent="0.25">
      <c r="T1753" s="71"/>
      <c r="U1753" s="71"/>
      <c r="V1753" s="71"/>
      <c r="W1753" s="71"/>
    </row>
    <row r="1754" spans="20:23" x14ac:dyDescent="0.25">
      <c r="T1754" s="71"/>
      <c r="U1754" s="71"/>
      <c r="V1754" s="71"/>
      <c r="W1754" s="71"/>
    </row>
    <row r="1755" spans="20:23" x14ac:dyDescent="0.25">
      <c r="T1755" s="71"/>
      <c r="U1755" s="71"/>
      <c r="V1755" s="71"/>
      <c r="W1755" s="71"/>
    </row>
    <row r="1756" spans="20:23" x14ac:dyDescent="0.25">
      <c r="T1756" s="71"/>
      <c r="U1756" s="71"/>
      <c r="V1756" s="71"/>
      <c r="W1756" s="71"/>
    </row>
    <row r="1757" spans="20:23" x14ac:dyDescent="0.25">
      <c r="T1757" s="71"/>
      <c r="U1757" s="71"/>
      <c r="V1757" s="71"/>
      <c r="W1757" s="71"/>
    </row>
    <row r="1758" spans="20:23" x14ac:dyDescent="0.25">
      <c r="T1758" s="71"/>
      <c r="U1758" s="71"/>
      <c r="V1758" s="71"/>
      <c r="W1758" s="71"/>
    </row>
    <row r="1759" spans="20:23" x14ac:dyDescent="0.25">
      <c r="T1759" s="71"/>
      <c r="U1759" s="71"/>
      <c r="V1759" s="71"/>
      <c r="W1759" s="71"/>
    </row>
    <row r="1760" spans="20:23" x14ac:dyDescent="0.25">
      <c r="T1760" s="71"/>
      <c r="U1760" s="71"/>
      <c r="V1760" s="71"/>
      <c r="W1760" s="71"/>
    </row>
    <row r="1761" spans="20:23" x14ac:dyDescent="0.25">
      <c r="T1761" s="71"/>
      <c r="U1761" s="71"/>
      <c r="V1761" s="71"/>
      <c r="W1761" s="71"/>
    </row>
    <row r="1762" spans="20:23" x14ac:dyDescent="0.25">
      <c r="T1762" s="71"/>
      <c r="U1762" s="71"/>
      <c r="V1762" s="71"/>
      <c r="W1762" s="71"/>
    </row>
    <row r="1763" spans="20:23" x14ac:dyDescent="0.25">
      <c r="T1763" s="71"/>
      <c r="U1763" s="71"/>
      <c r="V1763" s="71"/>
      <c r="W1763" s="71"/>
    </row>
    <row r="1764" spans="20:23" x14ac:dyDescent="0.25">
      <c r="T1764" s="71"/>
      <c r="U1764" s="71"/>
      <c r="V1764" s="71"/>
      <c r="W1764" s="71"/>
    </row>
    <row r="1765" spans="20:23" x14ac:dyDescent="0.25">
      <c r="T1765" s="71"/>
      <c r="U1765" s="71"/>
      <c r="V1765" s="71"/>
      <c r="W1765" s="71"/>
    </row>
    <row r="1766" spans="20:23" x14ac:dyDescent="0.25">
      <c r="T1766" s="71"/>
      <c r="U1766" s="71"/>
      <c r="V1766" s="71"/>
      <c r="W1766" s="71"/>
    </row>
    <row r="1767" spans="20:23" x14ac:dyDescent="0.25">
      <c r="T1767" s="71"/>
      <c r="U1767" s="71"/>
      <c r="V1767" s="71"/>
      <c r="W1767" s="71"/>
    </row>
    <row r="1768" spans="20:23" x14ac:dyDescent="0.25">
      <c r="T1768" s="71"/>
      <c r="U1768" s="71"/>
      <c r="V1768" s="71"/>
      <c r="W1768" s="71"/>
    </row>
    <row r="1769" spans="20:23" x14ac:dyDescent="0.25">
      <c r="T1769" s="71"/>
      <c r="U1769" s="71"/>
      <c r="V1769" s="71"/>
      <c r="W1769" s="71"/>
    </row>
    <row r="1770" spans="20:23" x14ac:dyDescent="0.25">
      <c r="T1770" s="71"/>
      <c r="U1770" s="71"/>
      <c r="V1770" s="71"/>
      <c r="W1770" s="71"/>
    </row>
    <row r="1771" spans="20:23" x14ac:dyDescent="0.25">
      <c r="T1771" s="71"/>
      <c r="U1771" s="71"/>
      <c r="V1771" s="71"/>
      <c r="W1771" s="71"/>
    </row>
    <row r="1772" spans="20:23" x14ac:dyDescent="0.25">
      <c r="T1772" s="71"/>
      <c r="U1772" s="71"/>
      <c r="V1772" s="71"/>
      <c r="W1772" s="71"/>
    </row>
    <row r="1773" spans="20:23" x14ac:dyDescent="0.25">
      <c r="T1773" s="71"/>
      <c r="U1773" s="71"/>
      <c r="V1773" s="71"/>
      <c r="W1773" s="71"/>
    </row>
    <row r="1774" spans="20:23" x14ac:dyDescent="0.25">
      <c r="T1774" s="71"/>
      <c r="U1774" s="71"/>
      <c r="V1774" s="71"/>
      <c r="W1774" s="71"/>
    </row>
    <row r="1775" spans="20:23" x14ac:dyDescent="0.25">
      <c r="T1775" s="71"/>
      <c r="U1775" s="71"/>
      <c r="V1775" s="71"/>
      <c r="W1775" s="71"/>
    </row>
    <row r="1776" spans="20:23" x14ac:dyDescent="0.25">
      <c r="T1776" s="71"/>
      <c r="U1776" s="71"/>
      <c r="V1776" s="71"/>
      <c r="W1776" s="71"/>
    </row>
    <row r="1777" spans="20:23" x14ac:dyDescent="0.25">
      <c r="T1777" s="71"/>
      <c r="U1777" s="71"/>
      <c r="V1777" s="71"/>
      <c r="W1777" s="71"/>
    </row>
    <row r="1778" spans="20:23" x14ac:dyDescent="0.25">
      <c r="T1778" s="71"/>
      <c r="U1778" s="71"/>
      <c r="V1778" s="71"/>
      <c r="W1778" s="71"/>
    </row>
    <row r="1779" spans="20:23" x14ac:dyDescent="0.25">
      <c r="T1779" s="71"/>
      <c r="U1779" s="71"/>
      <c r="V1779" s="71"/>
      <c r="W1779" s="71"/>
    </row>
    <row r="1780" spans="20:23" x14ac:dyDescent="0.25">
      <c r="T1780" s="71"/>
      <c r="U1780" s="71"/>
      <c r="V1780" s="71"/>
      <c r="W1780" s="71"/>
    </row>
    <row r="1781" spans="20:23" x14ac:dyDescent="0.25">
      <c r="T1781" s="71"/>
      <c r="U1781" s="71"/>
      <c r="V1781" s="71"/>
      <c r="W1781" s="71"/>
    </row>
    <row r="1782" spans="20:23" x14ac:dyDescent="0.25">
      <c r="T1782" s="71"/>
      <c r="U1782" s="71"/>
      <c r="V1782" s="71"/>
      <c r="W1782" s="71"/>
    </row>
    <row r="1783" spans="20:23" x14ac:dyDescent="0.25">
      <c r="T1783" s="71"/>
      <c r="U1783" s="71"/>
      <c r="V1783" s="71"/>
      <c r="W1783" s="71"/>
    </row>
    <row r="1784" spans="20:23" x14ac:dyDescent="0.25">
      <c r="T1784" s="71"/>
      <c r="U1784" s="71"/>
      <c r="V1784" s="71"/>
      <c r="W1784" s="71"/>
    </row>
    <row r="1785" spans="20:23" x14ac:dyDescent="0.25">
      <c r="T1785" s="71"/>
      <c r="U1785" s="71"/>
      <c r="V1785" s="71"/>
      <c r="W1785" s="71"/>
    </row>
    <row r="1786" spans="20:23" x14ac:dyDescent="0.25">
      <c r="T1786" s="71"/>
      <c r="U1786" s="71"/>
      <c r="V1786" s="71"/>
      <c r="W1786" s="71"/>
    </row>
    <row r="1787" spans="20:23" x14ac:dyDescent="0.25">
      <c r="T1787" s="71"/>
      <c r="U1787" s="71"/>
      <c r="V1787" s="71"/>
      <c r="W1787" s="71"/>
    </row>
    <row r="1788" spans="20:23" x14ac:dyDescent="0.25">
      <c r="T1788" s="71"/>
      <c r="U1788" s="71"/>
      <c r="V1788" s="71"/>
      <c r="W1788" s="71"/>
    </row>
    <row r="1789" spans="20:23" x14ac:dyDescent="0.25">
      <c r="T1789" s="71"/>
      <c r="U1789" s="71"/>
      <c r="V1789" s="71"/>
      <c r="W1789" s="71"/>
    </row>
    <row r="1790" spans="20:23" x14ac:dyDescent="0.25">
      <c r="T1790" s="71"/>
      <c r="U1790" s="71"/>
      <c r="V1790" s="71"/>
      <c r="W1790" s="71"/>
    </row>
    <row r="1791" spans="20:23" x14ac:dyDescent="0.25">
      <c r="T1791" s="71"/>
      <c r="U1791" s="71"/>
      <c r="V1791" s="71"/>
      <c r="W1791" s="71"/>
    </row>
    <row r="1792" spans="20:23" x14ac:dyDescent="0.25">
      <c r="T1792" s="71"/>
      <c r="U1792" s="71"/>
      <c r="V1792" s="71"/>
      <c r="W1792" s="71"/>
    </row>
    <row r="1793" spans="20:23" x14ac:dyDescent="0.25">
      <c r="T1793" s="71"/>
      <c r="U1793" s="71"/>
      <c r="V1793" s="71"/>
      <c r="W1793" s="71"/>
    </row>
    <row r="1794" spans="20:23" x14ac:dyDescent="0.25">
      <c r="T1794" s="71"/>
      <c r="U1794" s="71"/>
      <c r="V1794" s="71"/>
      <c r="W1794" s="71"/>
    </row>
    <row r="1795" spans="20:23" x14ac:dyDescent="0.25">
      <c r="T1795" s="71"/>
      <c r="U1795" s="71"/>
      <c r="V1795" s="71"/>
      <c r="W1795" s="71"/>
    </row>
    <row r="1796" spans="20:23" x14ac:dyDescent="0.25">
      <c r="T1796" s="71"/>
      <c r="U1796" s="71"/>
      <c r="V1796" s="71"/>
      <c r="W1796" s="71"/>
    </row>
    <row r="1797" spans="20:23" x14ac:dyDescent="0.25">
      <c r="T1797" s="71"/>
      <c r="U1797" s="71"/>
      <c r="V1797" s="71"/>
      <c r="W1797" s="71"/>
    </row>
    <row r="1798" spans="20:23" x14ac:dyDescent="0.25">
      <c r="T1798" s="71"/>
      <c r="U1798" s="71"/>
      <c r="V1798" s="71"/>
      <c r="W1798" s="71"/>
    </row>
    <row r="1799" spans="20:23" x14ac:dyDescent="0.25">
      <c r="T1799" s="71"/>
      <c r="U1799" s="71"/>
      <c r="V1799" s="71"/>
      <c r="W1799" s="71"/>
    </row>
    <row r="1800" spans="20:23" x14ac:dyDescent="0.25">
      <c r="T1800" s="71"/>
      <c r="U1800" s="71"/>
      <c r="V1800" s="71"/>
      <c r="W1800" s="71"/>
    </row>
    <row r="1801" spans="20:23" x14ac:dyDescent="0.25">
      <c r="T1801" s="71"/>
      <c r="U1801" s="71"/>
      <c r="V1801" s="71"/>
      <c r="W1801" s="71"/>
    </row>
    <row r="1802" spans="20:23" x14ac:dyDescent="0.25">
      <c r="T1802" s="71"/>
      <c r="U1802" s="71"/>
      <c r="V1802" s="71"/>
      <c r="W1802" s="71"/>
    </row>
    <row r="1803" spans="20:23" x14ac:dyDescent="0.25">
      <c r="T1803" s="71"/>
      <c r="U1803" s="71"/>
      <c r="V1803" s="71"/>
      <c r="W1803" s="71"/>
    </row>
    <row r="1804" spans="20:23" x14ac:dyDescent="0.25">
      <c r="T1804" s="71"/>
      <c r="U1804" s="71"/>
      <c r="V1804" s="71"/>
      <c r="W1804" s="71"/>
    </row>
    <row r="1805" spans="20:23" x14ac:dyDescent="0.25">
      <c r="T1805" s="71"/>
      <c r="U1805" s="71"/>
      <c r="V1805" s="71"/>
      <c r="W1805" s="71"/>
    </row>
    <row r="1806" spans="20:23" x14ac:dyDescent="0.25">
      <c r="T1806" s="71"/>
      <c r="U1806" s="71"/>
      <c r="V1806" s="71"/>
      <c r="W1806" s="71"/>
    </row>
    <row r="1807" spans="20:23" x14ac:dyDescent="0.25">
      <c r="T1807" s="71"/>
      <c r="U1807" s="71"/>
      <c r="V1807" s="71"/>
      <c r="W1807" s="71"/>
    </row>
    <row r="1808" spans="20:23" x14ac:dyDescent="0.25">
      <c r="T1808" s="71"/>
      <c r="U1808" s="71"/>
      <c r="V1808" s="71"/>
      <c r="W1808" s="71"/>
    </row>
    <row r="1809" spans="20:23" x14ac:dyDescent="0.25">
      <c r="T1809" s="71"/>
      <c r="U1809" s="71"/>
      <c r="V1809" s="71"/>
      <c r="W1809" s="71"/>
    </row>
    <row r="1810" spans="20:23" x14ac:dyDescent="0.25">
      <c r="T1810" s="71"/>
      <c r="U1810" s="71"/>
      <c r="V1810" s="71"/>
      <c r="W1810" s="71"/>
    </row>
    <row r="1811" spans="20:23" x14ac:dyDescent="0.25">
      <c r="T1811" s="71"/>
      <c r="U1811" s="71"/>
      <c r="V1811" s="71"/>
      <c r="W1811" s="71"/>
    </row>
    <row r="1812" spans="20:23" x14ac:dyDescent="0.25">
      <c r="T1812" s="71"/>
      <c r="U1812" s="71"/>
      <c r="V1812" s="71"/>
      <c r="W1812" s="71"/>
    </row>
    <row r="1813" spans="20:23" x14ac:dyDescent="0.25">
      <c r="T1813" s="71"/>
      <c r="U1813" s="71"/>
      <c r="V1813" s="71"/>
      <c r="W1813" s="71"/>
    </row>
    <row r="1814" spans="20:23" x14ac:dyDescent="0.25">
      <c r="T1814" s="71"/>
      <c r="U1814" s="71"/>
      <c r="V1814" s="71"/>
      <c r="W1814" s="71"/>
    </row>
    <row r="1815" spans="20:23" x14ac:dyDescent="0.25">
      <c r="T1815" s="71"/>
      <c r="U1815" s="71"/>
      <c r="V1815" s="71"/>
      <c r="W1815" s="71"/>
    </row>
    <row r="1816" spans="20:23" x14ac:dyDescent="0.25">
      <c r="T1816" s="71"/>
      <c r="U1816" s="71"/>
      <c r="V1816" s="71"/>
      <c r="W1816" s="71"/>
    </row>
    <row r="1817" spans="20:23" x14ac:dyDescent="0.25">
      <c r="T1817" s="71"/>
      <c r="U1817" s="71"/>
      <c r="V1817" s="71"/>
      <c r="W1817" s="71"/>
    </row>
    <row r="1818" spans="20:23" x14ac:dyDescent="0.25">
      <c r="T1818" s="71"/>
      <c r="U1818" s="71"/>
      <c r="V1818" s="71"/>
      <c r="W1818" s="71"/>
    </row>
    <row r="1819" spans="20:23" x14ac:dyDescent="0.25">
      <c r="T1819" s="71"/>
      <c r="U1819" s="71"/>
      <c r="V1819" s="71"/>
      <c r="W1819" s="71"/>
    </row>
    <row r="1820" spans="20:23" x14ac:dyDescent="0.25">
      <c r="T1820" s="71"/>
      <c r="U1820" s="71"/>
      <c r="V1820" s="71"/>
      <c r="W1820" s="71"/>
    </row>
    <row r="1821" spans="20:23" x14ac:dyDescent="0.25">
      <c r="T1821" s="71"/>
      <c r="U1821" s="71"/>
      <c r="V1821" s="71"/>
      <c r="W1821" s="71"/>
    </row>
    <row r="1822" spans="20:23" x14ac:dyDescent="0.25">
      <c r="T1822" s="71"/>
      <c r="U1822" s="71"/>
      <c r="V1822" s="71"/>
      <c r="W1822" s="71"/>
    </row>
    <row r="1823" spans="20:23" x14ac:dyDescent="0.25">
      <c r="T1823" s="71"/>
      <c r="U1823" s="71"/>
      <c r="V1823" s="71"/>
      <c r="W1823" s="71"/>
    </row>
    <row r="1824" spans="20:23" x14ac:dyDescent="0.25">
      <c r="T1824" s="71"/>
      <c r="U1824" s="71"/>
      <c r="V1824" s="71"/>
      <c r="W1824" s="71"/>
    </row>
    <row r="1825" spans="20:23" x14ac:dyDescent="0.25">
      <c r="T1825" s="71"/>
      <c r="U1825" s="71"/>
      <c r="V1825" s="71"/>
      <c r="W1825" s="71"/>
    </row>
    <row r="1826" spans="20:23" x14ac:dyDescent="0.25">
      <c r="T1826" s="71"/>
      <c r="U1826" s="71"/>
      <c r="V1826" s="71"/>
      <c r="W1826" s="71"/>
    </row>
    <row r="1827" spans="20:23" x14ac:dyDescent="0.25">
      <c r="T1827" s="71"/>
      <c r="U1827" s="71"/>
      <c r="V1827" s="71"/>
      <c r="W1827" s="71"/>
    </row>
    <row r="1828" spans="20:23" x14ac:dyDescent="0.25">
      <c r="T1828" s="71"/>
      <c r="U1828" s="71"/>
      <c r="V1828" s="71"/>
      <c r="W1828" s="71"/>
    </row>
    <row r="1829" spans="20:23" x14ac:dyDescent="0.25">
      <c r="T1829" s="71"/>
      <c r="U1829" s="71"/>
      <c r="V1829" s="71"/>
      <c r="W1829" s="71"/>
    </row>
    <row r="1830" spans="20:23" x14ac:dyDescent="0.25">
      <c r="T1830" s="71"/>
      <c r="U1830" s="71"/>
      <c r="V1830" s="71"/>
      <c r="W1830" s="71"/>
    </row>
    <row r="1831" spans="20:23" x14ac:dyDescent="0.25">
      <c r="T1831" s="71"/>
      <c r="U1831" s="71"/>
      <c r="V1831" s="71"/>
      <c r="W1831" s="71"/>
    </row>
    <row r="1832" spans="20:23" x14ac:dyDescent="0.25">
      <c r="T1832" s="71"/>
      <c r="U1832" s="71"/>
      <c r="V1832" s="71"/>
      <c r="W1832" s="71"/>
    </row>
    <row r="1833" spans="20:23" x14ac:dyDescent="0.25">
      <c r="T1833" s="71"/>
      <c r="U1833" s="71"/>
      <c r="V1833" s="71"/>
      <c r="W1833" s="71"/>
    </row>
    <row r="1834" spans="20:23" x14ac:dyDescent="0.25">
      <c r="T1834" s="71"/>
      <c r="U1834" s="71"/>
      <c r="V1834" s="71"/>
      <c r="W1834" s="71"/>
    </row>
    <row r="1835" spans="20:23" x14ac:dyDescent="0.25">
      <c r="T1835" s="71"/>
      <c r="U1835" s="71"/>
      <c r="V1835" s="71"/>
      <c r="W1835" s="71"/>
    </row>
    <row r="1836" spans="20:23" x14ac:dyDescent="0.25">
      <c r="T1836" s="71"/>
      <c r="U1836" s="71"/>
      <c r="V1836" s="71"/>
      <c r="W1836" s="71"/>
    </row>
    <row r="1837" spans="20:23" x14ac:dyDescent="0.25">
      <c r="T1837" s="71"/>
      <c r="U1837" s="71"/>
      <c r="V1837" s="71"/>
      <c r="W1837" s="71"/>
    </row>
    <row r="1838" spans="20:23" x14ac:dyDescent="0.25">
      <c r="T1838" s="71"/>
      <c r="U1838" s="71"/>
      <c r="V1838" s="71"/>
      <c r="W1838" s="71"/>
    </row>
    <row r="1839" spans="20:23" x14ac:dyDescent="0.25">
      <c r="T1839" s="71"/>
      <c r="U1839" s="71"/>
      <c r="V1839" s="71"/>
      <c r="W1839" s="71"/>
    </row>
    <row r="1840" spans="20:23" x14ac:dyDescent="0.25">
      <c r="T1840" s="71"/>
      <c r="U1840" s="71"/>
      <c r="V1840" s="71"/>
      <c r="W1840" s="71"/>
    </row>
    <row r="1841" spans="20:23" x14ac:dyDescent="0.25">
      <c r="T1841" s="71"/>
      <c r="U1841" s="71"/>
      <c r="V1841" s="71"/>
      <c r="W1841" s="71"/>
    </row>
    <row r="1842" spans="20:23" x14ac:dyDescent="0.25">
      <c r="T1842" s="71"/>
      <c r="U1842" s="71"/>
      <c r="V1842" s="71"/>
      <c r="W1842" s="71"/>
    </row>
    <row r="1843" spans="20:23" x14ac:dyDescent="0.25">
      <c r="T1843" s="71"/>
      <c r="U1843" s="71"/>
      <c r="V1843" s="71"/>
      <c r="W1843" s="71"/>
    </row>
    <row r="1844" spans="20:23" x14ac:dyDescent="0.25">
      <c r="T1844" s="71"/>
      <c r="U1844" s="71"/>
      <c r="V1844" s="71"/>
      <c r="W1844" s="71"/>
    </row>
    <row r="1845" spans="20:23" x14ac:dyDescent="0.25">
      <c r="T1845" s="71"/>
      <c r="U1845" s="71"/>
      <c r="V1845" s="71"/>
      <c r="W1845" s="71"/>
    </row>
    <row r="1846" spans="20:23" x14ac:dyDescent="0.25">
      <c r="T1846" s="71"/>
      <c r="U1846" s="71"/>
      <c r="V1846" s="71"/>
      <c r="W1846" s="71"/>
    </row>
    <row r="1847" spans="20:23" x14ac:dyDescent="0.25">
      <c r="T1847" s="71"/>
      <c r="U1847" s="71"/>
      <c r="V1847" s="71"/>
      <c r="W1847" s="71"/>
    </row>
    <row r="1848" spans="20:23" x14ac:dyDescent="0.25">
      <c r="T1848" s="71"/>
      <c r="U1848" s="71"/>
      <c r="V1848" s="71"/>
      <c r="W1848" s="71"/>
    </row>
    <row r="1849" spans="20:23" x14ac:dyDescent="0.25">
      <c r="T1849" s="71"/>
      <c r="U1849" s="71"/>
      <c r="V1849" s="71"/>
      <c r="W1849" s="71"/>
    </row>
    <row r="1850" spans="20:23" x14ac:dyDescent="0.25">
      <c r="T1850" s="71"/>
      <c r="U1850" s="71"/>
      <c r="V1850" s="71"/>
      <c r="W1850" s="71"/>
    </row>
    <row r="1851" spans="20:23" x14ac:dyDescent="0.25">
      <c r="T1851" s="71"/>
      <c r="U1851" s="71"/>
      <c r="V1851" s="71"/>
      <c r="W1851" s="71"/>
    </row>
    <row r="1852" spans="20:23" x14ac:dyDescent="0.25">
      <c r="T1852" s="71"/>
      <c r="U1852" s="71"/>
      <c r="V1852" s="71"/>
      <c r="W1852" s="71"/>
    </row>
    <row r="1853" spans="20:23" x14ac:dyDescent="0.25">
      <c r="T1853" s="71"/>
      <c r="U1853" s="71"/>
      <c r="V1853" s="71"/>
      <c r="W1853" s="71"/>
    </row>
    <row r="1854" spans="20:23" x14ac:dyDescent="0.25">
      <c r="T1854" s="71"/>
      <c r="U1854" s="71"/>
      <c r="V1854" s="71"/>
      <c r="W1854" s="71"/>
    </row>
    <row r="1855" spans="20:23" x14ac:dyDescent="0.25">
      <c r="T1855" s="71"/>
      <c r="U1855" s="71"/>
      <c r="V1855" s="71"/>
      <c r="W1855" s="71"/>
    </row>
    <row r="1856" spans="20:23" x14ac:dyDescent="0.25">
      <c r="T1856" s="71"/>
      <c r="U1856" s="71"/>
      <c r="V1856" s="71"/>
      <c r="W1856" s="71"/>
    </row>
    <row r="1857" spans="20:23" x14ac:dyDescent="0.25">
      <c r="T1857" s="71"/>
      <c r="U1857" s="71"/>
      <c r="V1857" s="71"/>
      <c r="W1857" s="71"/>
    </row>
    <row r="1858" spans="20:23" x14ac:dyDescent="0.25">
      <c r="T1858" s="71"/>
      <c r="U1858" s="71"/>
      <c r="V1858" s="71"/>
      <c r="W1858" s="71"/>
    </row>
    <row r="1859" spans="20:23" x14ac:dyDescent="0.25">
      <c r="T1859" s="71"/>
      <c r="U1859" s="71"/>
      <c r="V1859" s="71"/>
      <c r="W1859" s="71"/>
    </row>
    <row r="1860" spans="20:23" x14ac:dyDescent="0.25">
      <c r="T1860" s="71"/>
      <c r="U1860" s="71"/>
      <c r="V1860" s="71"/>
      <c r="W1860" s="71"/>
    </row>
    <row r="1861" spans="20:23" x14ac:dyDescent="0.25">
      <c r="T1861" s="71"/>
      <c r="U1861" s="71"/>
      <c r="V1861" s="71"/>
      <c r="W1861" s="71"/>
    </row>
    <row r="1862" spans="20:23" x14ac:dyDescent="0.25">
      <c r="T1862" s="71"/>
      <c r="U1862" s="71"/>
      <c r="V1862" s="71"/>
      <c r="W1862" s="71"/>
    </row>
    <row r="1863" spans="20:23" x14ac:dyDescent="0.25">
      <c r="T1863" s="71"/>
      <c r="U1863" s="71"/>
      <c r="V1863" s="71"/>
      <c r="W1863" s="71"/>
    </row>
    <row r="1864" spans="20:23" x14ac:dyDescent="0.25">
      <c r="T1864" s="71"/>
      <c r="U1864" s="71"/>
      <c r="V1864" s="71"/>
      <c r="W1864" s="71"/>
    </row>
    <row r="1865" spans="20:23" x14ac:dyDescent="0.25">
      <c r="T1865" s="71"/>
      <c r="U1865" s="71"/>
      <c r="V1865" s="71"/>
      <c r="W1865" s="71"/>
    </row>
    <row r="1866" spans="20:23" x14ac:dyDescent="0.25">
      <c r="T1866" s="71"/>
      <c r="U1866" s="71"/>
      <c r="V1866" s="71"/>
      <c r="W1866" s="71"/>
    </row>
    <row r="1867" spans="20:23" x14ac:dyDescent="0.25">
      <c r="T1867" s="71"/>
      <c r="U1867" s="71"/>
      <c r="V1867" s="71"/>
      <c r="W1867" s="71"/>
    </row>
    <row r="1868" spans="20:23" x14ac:dyDescent="0.25">
      <c r="T1868" s="71"/>
      <c r="U1868" s="71"/>
      <c r="V1868" s="71"/>
      <c r="W1868" s="71"/>
    </row>
    <row r="1869" spans="20:23" x14ac:dyDescent="0.25">
      <c r="T1869" s="71"/>
      <c r="U1869" s="71"/>
      <c r="V1869" s="71"/>
      <c r="W1869" s="71"/>
    </row>
    <row r="1870" spans="20:23" x14ac:dyDescent="0.25">
      <c r="T1870" s="71"/>
      <c r="U1870" s="71"/>
      <c r="V1870" s="71"/>
      <c r="W1870" s="71"/>
    </row>
    <row r="1871" spans="20:23" x14ac:dyDescent="0.25">
      <c r="T1871" s="71"/>
      <c r="U1871" s="71"/>
      <c r="V1871" s="71"/>
      <c r="W1871" s="71"/>
    </row>
    <row r="1872" spans="20:23" x14ac:dyDescent="0.25">
      <c r="T1872" s="71"/>
      <c r="U1872" s="71"/>
      <c r="V1872" s="71"/>
      <c r="W1872" s="71"/>
    </row>
    <row r="1873" spans="20:23" x14ac:dyDescent="0.25">
      <c r="T1873" s="71"/>
      <c r="U1873" s="71"/>
      <c r="V1873" s="71"/>
      <c r="W1873" s="71"/>
    </row>
    <row r="1874" spans="20:23" x14ac:dyDescent="0.25">
      <c r="T1874" s="71"/>
      <c r="U1874" s="71"/>
      <c r="V1874" s="71"/>
      <c r="W1874" s="71"/>
    </row>
    <row r="1875" spans="20:23" x14ac:dyDescent="0.25">
      <c r="T1875" s="71"/>
      <c r="U1875" s="71"/>
      <c r="V1875" s="71"/>
      <c r="W1875" s="71"/>
    </row>
    <row r="1876" spans="20:23" x14ac:dyDescent="0.25">
      <c r="T1876" s="71"/>
      <c r="U1876" s="71"/>
      <c r="V1876" s="71"/>
      <c r="W1876" s="71"/>
    </row>
    <row r="1877" spans="20:23" x14ac:dyDescent="0.25">
      <c r="T1877" s="71"/>
      <c r="U1877" s="71"/>
      <c r="V1877" s="71"/>
      <c r="W1877" s="71"/>
    </row>
    <row r="1878" spans="20:23" x14ac:dyDescent="0.25">
      <c r="T1878" s="71"/>
      <c r="U1878" s="71"/>
      <c r="V1878" s="71"/>
      <c r="W1878" s="71"/>
    </row>
    <row r="1879" spans="20:23" x14ac:dyDescent="0.25">
      <c r="T1879" s="71"/>
      <c r="U1879" s="71"/>
      <c r="V1879" s="71"/>
      <c r="W1879" s="71"/>
    </row>
    <row r="1880" spans="20:23" x14ac:dyDescent="0.25">
      <c r="T1880" s="71"/>
      <c r="U1880" s="71"/>
      <c r="V1880" s="71"/>
      <c r="W1880" s="71"/>
    </row>
    <row r="1881" spans="20:23" x14ac:dyDescent="0.25">
      <c r="T1881" s="71"/>
      <c r="U1881" s="71"/>
      <c r="V1881" s="71"/>
      <c r="W1881" s="71"/>
    </row>
    <row r="1882" spans="20:23" x14ac:dyDescent="0.25">
      <c r="T1882" s="71"/>
      <c r="U1882" s="71"/>
      <c r="V1882" s="71"/>
      <c r="W1882" s="71"/>
    </row>
    <row r="1883" spans="20:23" x14ac:dyDescent="0.25">
      <c r="T1883" s="71"/>
      <c r="U1883" s="71"/>
      <c r="V1883" s="71"/>
      <c r="W1883" s="71"/>
    </row>
    <row r="1884" spans="20:23" x14ac:dyDescent="0.25">
      <c r="T1884" s="71"/>
      <c r="U1884" s="71"/>
      <c r="V1884" s="71"/>
      <c r="W1884" s="71"/>
    </row>
    <row r="1885" spans="20:23" x14ac:dyDescent="0.25">
      <c r="T1885" s="71"/>
      <c r="U1885" s="71"/>
      <c r="V1885" s="71"/>
      <c r="W1885" s="71"/>
    </row>
    <row r="1886" spans="20:23" x14ac:dyDescent="0.25">
      <c r="T1886" s="71"/>
      <c r="U1886" s="71"/>
      <c r="V1886" s="71"/>
      <c r="W1886" s="71"/>
    </row>
    <row r="1887" spans="20:23" x14ac:dyDescent="0.25">
      <c r="T1887" s="71"/>
      <c r="U1887" s="71"/>
      <c r="V1887" s="71"/>
      <c r="W1887" s="71"/>
    </row>
    <row r="1888" spans="20:23" x14ac:dyDescent="0.25">
      <c r="T1888" s="71"/>
      <c r="U1888" s="71"/>
      <c r="V1888" s="71"/>
      <c r="W1888" s="71"/>
    </row>
    <row r="1889" spans="20:23" x14ac:dyDescent="0.25">
      <c r="T1889" s="71"/>
      <c r="U1889" s="71"/>
      <c r="V1889" s="71"/>
      <c r="W1889" s="71"/>
    </row>
    <row r="1890" spans="20:23" x14ac:dyDescent="0.25">
      <c r="T1890" s="71"/>
      <c r="U1890" s="71"/>
      <c r="V1890" s="71"/>
      <c r="W1890" s="71"/>
    </row>
    <row r="1891" spans="20:23" x14ac:dyDescent="0.25">
      <c r="T1891" s="71"/>
      <c r="U1891" s="71"/>
      <c r="V1891" s="71"/>
      <c r="W1891" s="71"/>
    </row>
    <row r="1892" spans="20:23" x14ac:dyDescent="0.25">
      <c r="T1892" s="71"/>
      <c r="U1892" s="71"/>
      <c r="V1892" s="71"/>
      <c r="W1892" s="71"/>
    </row>
    <row r="1893" spans="20:23" x14ac:dyDescent="0.25">
      <c r="T1893" s="71"/>
      <c r="U1893" s="71"/>
      <c r="V1893" s="71"/>
      <c r="W1893" s="71"/>
    </row>
    <row r="1894" spans="20:23" x14ac:dyDescent="0.25">
      <c r="T1894" s="71"/>
      <c r="U1894" s="71"/>
      <c r="V1894" s="71"/>
      <c r="W1894" s="71"/>
    </row>
    <row r="1895" spans="20:23" x14ac:dyDescent="0.25">
      <c r="T1895" s="71"/>
      <c r="U1895" s="71"/>
      <c r="V1895" s="71"/>
      <c r="W1895" s="71"/>
    </row>
    <row r="1896" spans="20:23" x14ac:dyDescent="0.25">
      <c r="T1896" s="71"/>
      <c r="U1896" s="71"/>
      <c r="V1896" s="71"/>
      <c r="W1896" s="71"/>
    </row>
    <row r="1897" spans="20:23" x14ac:dyDescent="0.25">
      <c r="T1897" s="71"/>
      <c r="U1897" s="71"/>
      <c r="V1897" s="71"/>
      <c r="W1897" s="71"/>
    </row>
    <row r="1898" spans="20:23" x14ac:dyDescent="0.25">
      <c r="T1898" s="71"/>
      <c r="U1898" s="71"/>
      <c r="V1898" s="71"/>
      <c r="W1898" s="71"/>
    </row>
    <row r="1899" spans="20:23" x14ac:dyDescent="0.25">
      <c r="T1899" s="71"/>
      <c r="U1899" s="71"/>
      <c r="V1899" s="71"/>
      <c r="W1899" s="71"/>
    </row>
    <row r="1900" spans="20:23" x14ac:dyDescent="0.25">
      <c r="T1900" s="71"/>
      <c r="U1900" s="71"/>
      <c r="V1900" s="71"/>
      <c r="W1900" s="71"/>
    </row>
    <row r="1901" spans="20:23" x14ac:dyDescent="0.25">
      <c r="T1901" s="71"/>
      <c r="U1901" s="71"/>
      <c r="V1901" s="71"/>
      <c r="W1901" s="71"/>
    </row>
    <row r="1902" spans="20:23" x14ac:dyDescent="0.25">
      <c r="T1902" s="71"/>
      <c r="U1902" s="71"/>
      <c r="V1902" s="71"/>
      <c r="W1902" s="71"/>
    </row>
    <row r="1903" spans="20:23" x14ac:dyDescent="0.25">
      <c r="T1903" s="71"/>
      <c r="U1903" s="71"/>
      <c r="V1903" s="71"/>
      <c r="W1903" s="71"/>
    </row>
    <row r="1904" spans="20:23" x14ac:dyDescent="0.25">
      <c r="T1904" s="71"/>
      <c r="U1904" s="71"/>
      <c r="V1904" s="71"/>
      <c r="W1904" s="71"/>
    </row>
    <row r="1905" spans="20:23" x14ac:dyDescent="0.25">
      <c r="T1905" s="71"/>
      <c r="U1905" s="71"/>
      <c r="V1905" s="71"/>
      <c r="W1905" s="71"/>
    </row>
    <row r="1906" spans="20:23" x14ac:dyDescent="0.25">
      <c r="T1906" s="71"/>
      <c r="U1906" s="71"/>
      <c r="V1906" s="71"/>
      <c r="W1906" s="71"/>
    </row>
    <row r="1907" spans="20:23" x14ac:dyDescent="0.25">
      <c r="T1907" s="71"/>
      <c r="U1907" s="71"/>
      <c r="V1907" s="71"/>
      <c r="W1907" s="71"/>
    </row>
    <row r="1908" spans="20:23" x14ac:dyDescent="0.25">
      <c r="T1908" s="71"/>
      <c r="U1908" s="71"/>
      <c r="V1908" s="71"/>
      <c r="W1908" s="71"/>
    </row>
    <row r="1909" spans="20:23" x14ac:dyDescent="0.25">
      <c r="T1909" s="71"/>
      <c r="U1909" s="71"/>
      <c r="V1909" s="71"/>
      <c r="W1909" s="71"/>
    </row>
    <row r="1910" spans="20:23" x14ac:dyDescent="0.25">
      <c r="T1910" s="71"/>
      <c r="U1910" s="71"/>
      <c r="V1910" s="71"/>
      <c r="W1910" s="71"/>
    </row>
    <row r="1911" spans="20:23" x14ac:dyDescent="0.25">
      <c r="T1911" s="71"/>
      <c r="U1911" s="71"/>
      <c r="V1911" s="71"/>
      <c r="W1911" s="71"/>
    </row>
    <row r="1912" spans="20:23" x14ac:dyDescent="0.25">
      <c r="T1912" s="71"/>
      <c r="U1912" s="71"/>
      <c r="V1912" s="71"/>
      <c r="W1912" s="71"/>
    </row>
    <row r="1913" spans="20:23" x14ac:dyDescent="0.25">
      <c r="T1913" s="71"/>
      <c r="U1913" s="71"/>
      <c r="V1913" s="71"/>
      <c r="W1913" s="71"/>
    </row>
    <row r="1914" spans="20:23" x14ac:dyDescent="0.25">
      <c r="T1914" s="71"/>
      <c r="U1914" s="71"/>
      <c r="V1914" s="71"/>
      <c r="W1914" s="71"/>
    </row>
    <row r="1915" spans="20:23" x14ac:dyDescent="0.25">
      <c r="T1915" s="71"/>
      <c r="U1915" s="71"/>
      <c r="V1915" s="71"/>
      <c r="W1915" s="71"/>
    </row>
    <row r="1916" spans="20:23" x14ac:dyDescent="0.25">
      <c r="T1916" s="71"/>
      <c r="U1916" s="71"/>
      <c r="V1916" s="71"/>
      <c r="W1916" s="71"/>
    </row>
    <row r="1917" spans="20:23" x14ac:dyDescent="0.25">
      <c r="T1917" s="71"/>
      <c r="U1917" s="71"/>
      <c r="V1917" s="71"/>
      <c r="W1917" s="71"/>
    </row>
    <row r="1918" spans="20:23" x14ac:dyDescent="0.25">
      <c r="T1918" s="71"/>
      <c r="U1918" s="71"/>
      <c r="V1918" s="71"/>
      <c r="W1918" s="71"/>
    </row>
    <row r="1919" spans="20:23" x14ac:dyDescent="0.25">
      <c r="T1919" s="71"/>
      <c r="U1919" s="71"/>
      <c r="V1919" s="71"/>
      <c r="W1919" s="71"/>
    </row>
    <row r="1920" spans="20:23" x14ac:dyDescent="0.25">
      <c r="T1920" s="71"/>
      <c r="U1920" s="71"/>
      <c r="V1920" s="71"/>
      <c r="W1920" s="71"/>
    </row>
    <row r="1921" spans="20:23" x14ac:dyDescent="0.25">
      <c r="T1921" s="71"/>
      <c r="U1921" s="71"/>
      <c r="V1921" s="71"/>
      <c r="W1921" s="71"/>
    </row>
    <row r="1922" spans="20:23" x14ac:dyDescent="0.25">
      <c r="T1922" s="71"/>
      <c r="U1922" s="71"/>
      <c r="V1922" s="71"/>
      <c r="W1922" s="71"/>
    </row>
    <row r="1923" spans="20:23" x14ac:dyDescent="0.25">
      <c r="T1923" s="71"/>
      <c r="U1923" s="71"/>
      <c r="V1923" s="71"/>
      <c r="W1923" s="71"/>
    </row>
    <row r="1924" spans="20:23" x14ac:dyDescent="0.25">
      <c r="T1924" s="71"/>
      <c r="U1924" s="71"/>
      <c r="V1924" s="71"/>
      <c r="W1924" s="71"/>
    </row>
    <row r="1925" spans="20:23" x14ac:dyDescent="0.25">
      <c r="T1925" s="71"/>
      <c r="U1925" s="71"/>
      <c r="V1925" s="71"/>
      <c r="W1925" s="71"/>
    </row>
    <row r="1926" spans="20:23" x14ac:dyDescent="0.25">
      <c r="T1926" s="71"/>
      <c r="U1926" s="71"/>
      <c r="V1926" s="71"/>
      <c r="W1926" s="71"/>
    </row>
    <row r="1927" spans="20:23" x14ac:dyDescent="0.25">
      <c r="T1927" s="71"/>
      <c r="U1927" s="71"/>
      <c r="V1927" s="71"/>
      <c r="W1927" s="71"/>
    </row>
    <row r="1928" spans="20:23" x14ac:dyDescent="0.25">
      <c r="T1928" s="71"/>
      <c r="U1928" s="71"/>
      <c r="V1928" s="71"/>
      <c r="W1928" s="71"/>
    </row>
    <row r="1929" spans="20:23" x14ac:dyDescent="0.25">
      <c r="T1929" s="71"/>
      <c r="U1929" s="71"/>
      <c r="V1929" s="71"/>
      <c r="W1929" s="71"/>
    </row>
    <row r="1930" spans="20:23" x14ac:dyDescent="0.25">
      <c r="T1930" s="71"/>
      <c r="U1930" s="71"/>
      <c r="V1930" s="71"/>
      <c r="W1930" s="71"/>
    </row>
    <row r="1931" spans="20:23" x14ac:dyDescent="0.25">
      <c r="T1931" s="71"/>
      <c r="U1931" s="71"/>
      <c r="V1931" s="71"/>
      <c r="W1931" s="71"/>
    </row>
    <row r="1932" spans="20:23" x14ac:dyDescent="0.25">
      <c r="T1932" s="71"/>
      <c r="U1932" s="71"/>
      <c r="V1932" s="71"/>
      <c r="W1932" s="71"/>
    </row>
    <row r="1933" spans="20:23" x14ac:dyDescent="0.25">
      <c r="T1933" s="71"/>
      <c r="U1933" s="71"/>
      <c r="V1933" s="71"/>
      <c r="W1933" s="71"/>
    </row>
    <row r="1934" spans="20:23" x14ac:dyDescent="0.25">
      <c r="T1934" s="71"/>
      <c r="U1934" s="71"/>
      <c r="V1934" s="71"/>
      <c r="W1934" s="71"/>
    </row>
    <row r="1935" spans="20:23" x14ac:dyDescent="0.25">
      <c r="T1935" s="71"/>
      <c r="U1935" s="71"/>
      <c r="V1935" s="71"/>
      <c r="W1935" s="71"/>
    </row>
    <row r="1936" spans="20:23" x14ac:dyDescent="0.25">
      <c r="T1936" s="71"/>
      <c r="U1936" s="71"/>
      <c r="V1936" s="71"/>
      <c r="W1936" s="71"/>
    </row>
    <row r="1937" spans="20:23" x14ac:dyDescent="0.25">
      <c r="T1937" s="71"/>
      <c r="U1937" s="71"/>
      <c r="V1937" s="71"/>
      <c r="W1937" s="71"/>
    </row>
    <row r="1938" spans="20:23" x14ac:dyDescent="0.25">
      <c r="T1938" s="71"/>
      <c r="U1938" s="71"/>
      <c r="V1938" s="71"/>
      <c r="W1938" s="71"/>
    </row>
    <row r="1939" spans="20:23" x14ac:dyDescent="0.25">
      <c r="T1939" s="71"/>
      <c r="U1939" s="71"/>
      <c r="V1939" s="71"/>
      <c r="W1939" s="71"/>
    </row>
    <row r="1940" spans="20:23" x14ac:dyDescent="0.25">
      <c r="T1940" s="71"/>
      <c r="U1940" s="71"/>
      <c r="V1940" s="71"/>
      <c r="W1940" s="71"/>
    </row>
    <row r="1941" spans="20:23" x14ac:dyDescent="0.25">
      <c r="T1941" s="71"/>
      <c r="U1941" s="71"/>
      <c r="V1941" s="71"/>
      <c r="W1941" s="71"/>
    </row>
    <row r="1942" spans="20:23" x14ac:dyDescent="0.25">
      <c r="T1942" s="71"/>
      <c r="U1942" s="71"/>
      <c r="V1942" s="71"/>
      <c r="W1942" s="71"/>
    </row>
    <row r="1943" spans="20:23" x14ac:dyDescent="0.25">
      <c r="T1943" s="71"/>
      <c r="U1943" s="71"/>
      <c r="V1943" s="71"/>
      <c r="W1943" s="71"/>
    </row>
    <row r="1944" spans="20:23" x14ac:dyDescent="0.25">
      <c r="T1944" s="71"/>
      <c r="U1944" s="71"/>
      <c r="V1944" s="71"/>
      <c r="W1944" s="71"/>
    </row>
    <row r="1945" spans="20:23" x14ac:dyDescent="0.25">
      <c r="T1945" s="71"/>
      <c r="U1945" s="71"/>
      <c r="V1945" s="71"/>
      <c r="W1945" s="71"/>
    </row>
    <row r="1946" spans="20:23" x14ac:dyDescent="0.25">
      <c r="T1946" s="71"/>
      <c r="U1946" s="71"/>
      <c r="V1946" s="71"/>
      <c r="W1946" s="71"/>
    </row>
    <row r="1947" spans="20:23" x14ac:dyDescent="0.25">
      <c r="T1947" s="71"/>
      <c r="U1947" s="71"/>
      <c r="V1947" s="71"/>
      <c r="W1947" s="71"/>
    </row>
    <row r="1948" spans="20:23" x14ac:dyDescent="0.25">
      <c r="T1948" s="71"/>
      <c r="U1948" s="71"/>
      <c r="V1948" s="71"/>
      <c r="W1948" s="71"/>
    </row>
    <row r="1949" spans="20:23" x14ac:dyDescent="0.25">
      <c r="T1949" s="71"/>
      <c r="U1949" s="71"/>
      <c r="V1949" s="71"/>
      <c r="W1949" s="71"/>
    </row>
    <row r="1950" spans="20:23" x14ac:dyDescent="0.25">
      <c r="T1950" s="71"/>
      <c r="U1950" s="71"/>
      <c r="V1950" s="71"/>
      <c r="W1950" s="71"/>
    </row>
    <row r="1951" spans="20:23" x14ac:dyDescent="0.25">
      <c r="T1951" s="71"/>
      <c r="U1951" s="71"/>
      <c r="V1951" s="71"/>
      <c r="W1951" s="71"/>
    </row>
    <row r="1952" spans="20:23" x14ac:dyDescent="0.25">
      <c r="T1952" s="71"/>
      <c r="U1952" s="71"/>
      <c r="V1952" s="71"/>
      <c r="W1952" s="71"/>
    </row>
    <row r="1953" spans="20:23" x14ac:dyDescent="0.25">
      <c r="T1953" s="71"/>
      <c r="U1953" s="71"/>
      <c r="V1953" s="71"/>
      <c r="W1953" s="71"/>
    </row>
    <row r="1954" spans="20:23" x14ac:dyDescent="0.25">
      <c r="T1954" s="71"/>
      <c r="U1954" s="71"/>
      <c r="V1954" s="71"/>
      <c r="W1954" s="71"/>
    </row>
    <row r="1955" spans="20:23" x14ac:dyDescent="0.25">
      <c r="T1955" s="71"/>
      <c r="U1955" s="71"/>
      <c r="V1955" s="71"/>
      <c r="W1955" s="71"/>
    </row>
    <row r="1956" spans="20:23" x14ac:dyDescent="0.25">
      <c r="T1956" s="71"/>
      <c r="U1956" s="71"/>
      <c r="V1956" s="71"/>
      <c r="W1956" s="71"/>
    </row>
    <row r="1957" spans="20:23" x14ac:dyDescent="0.25">
      <c r="T1957" s="71"/>
      <c r="U1957" s="71"/>
      <c r="V1957" s="71"/>
      <c r="W1957" s="71"/>
    </row>
    <row r="1958" spans="20:23" x14ac:dyDescent="0.25">
      <c r="T1958" s="71"/>
      <c r="U1958" s="71"/>
      <c r="V1958" s="71"/>
      <c r="W1958" s="71"/>
    </row>
    <row r="1959" spans="20:23" x14ac:dyDescent="0.25">
      <c r="T1959" s="71"/>
      <c r="U1959" s="71"/>
      <c r="V1959" s="71"/>
      <c r="W1959" s="71"/>
    </row>
    <row r="1960" spans="20:23" x14ac:dyDescent="0.25">
      <c r="T1960" s="71"/>
      <c r="U1960" s="71"/>
      <c r="V1960" s="71"/>
      <c r="W1960" s="71"/>
    </row>
    <row r="1961" spans="20:23" x14ac:dyDescent="0.25">
      <c r="T1961" s="71"/>
      <c r="U1961" s="71"/>
      <c r="V1961" s="71"/>
      <c r="W1961" s="71"/>
    </row>
    <row r="1962" spans="20:23" x14ac:dyDescent="0.25">
      <c r="T1962" s="71"/>
      <c r="U1962" s="71"/>
      <c r="V1962" s="71"/>
      <c r="W1962" s="71"/>
    </row>
    <row r="1963" spans="20:23" x14ac:dyDescent="0.25">
      <c r="T1963" s="71"/>
      <c r="U1963" s="71"/>
      <c r="V1963" s="71"/>
      <c r="W1963" s="71"/>
    </row>
    <row r="1964" spans="20:23" x14ac:dyDescent="0.25">
      <c r="T1964" s="71"/>
      <c r="U1964" s="71"/>
      <c r="V1964" s="71"/>
      <c r="W1964" s="71"/>
    </row>
    <row r="1965" spans="20:23" x14ac:dyDescent="0.25">
      <c r="T1965" s="71"/>
      <c r="U1965" s="71"/>
      <c r="V1965" s="71"/>
      <c r="W1965" s="71"/>
    </row>
    <row r="1966" spans="20:23" x14ac:dyDescent="0.25">
      <c r="T1966" s="71"/>
      <c r="U1966" s="71"/>
      <c r="V1966" s="71"/>
      <c r="W1966" s="71"/>
    </row>
    <row r="1967" spans="20:23" x14ac:dyDescent="0.25">
      <c r="T1967" s="71"/>
      <c r="U1967" s="71"/>
      <c r="V1967" s="71"/>
      <c r="W1967" s="71"/>
    </row>
    <row r="1968" spans="20:23" x14ac:dyDescent="0.25">
      <c r="T1968" s="71"/>
      <c r="U1968" s="71"/>
      <c r="V1968" s="71"/>
      <c r="W1968" s="71"/>
    </row>
    <row r="1969" spans="20:23" x14ac:dyDescent="0.25">
      <c r="T1969" s="71"/>
      <c r="U1969" s="71"/>
      <c r="V1969" s="71"/>
      <c r="W1969" s="71"/>
    </row>
    <row r="1970" spans="20:23" x14ac:dyDescent="0.25">
      <c r="T1970" s="71"/>
      <c r="U1970" s="71"/>
      <c r="V1970" s="71"/>
      <c r="W1970" s="71"/>
    </row>
    <row r="1971" spans="20:23" x14ac:dyDescent="0.25">
      <c r="T1971" s="71"/>
      <c r="U1971" s="71"/>
      <c r="V1971" s="71"/>
      <c r="W1971" s="71"/>
    </row>
    <row r="1972" spans="20:23" x14ac:dyDescent="0.25">
      <c r="T1972" s="71"/>
      <c r="U1972" s="71"/>
      <c r="V1972" s="71"/>
      <c r="W1972" s="71"/>
    </row>
    <row r="1973" spans="20:23" x14ac:dyDescent="0.25">
      <c r="T1973" s="71"/>
      <c r="U1973" s="71"/>
      <c r="V1973" s="71"/>
      <c r="W1973" s="71"/>
    </row>
    <row r="1974" spans="20:23" x14ac:dyDescent="0.25">
      <c r="T1974" s="71"/>
      <c r="U1974" s="71"/>
      <c r="V1974" s="71"/>
      <c r="W1974" s="71"/>
    </row>
    <row r="1975" spans="20:23" x14ac:dyDescent="0.25">
      <c r="T1975" s="71"/>
      <c r="U1975" s="71"/>
      <c r="V1975" s="71"/>
      <c r="W1975" s="71"/>
    </row>
    <row r="1976" spans="20:23" x14ac:dyDescent="0.25">
      <c r="T1976" s="71"/>
      <c r="U1976" s="71"/>
      <c r="V1976" s="71"/>
      <c r="W1976" s="71"/>
    </row>
    <row r="1977" spans="20:23" x14ac:dyDescent="0.25">
      <c r="T1977" s="71"/>
      <c r="U1977" s="71"/>
      <c r="V1977" s="71"/>
      <c r="W1977" s="71"/>
    </row>
    <row r="1978" spans="20:23" x14ac:dyDescent="0.25">
      <c r="T1978" s="71"/>
      <c r="U1978" s="71"/>
      <c r="V1978" s="71"/>
      <c r="W1978" s="71"/>
    </row>
    <row r="1979" spans="20:23" x14ac:dyDescent="0.25">
      <c r="T1979" s="71"/>
      <c r="U1979" s="71"/>
      <c r="V1979" s="71"/>
      <c r="W1979" s="71"/>
    </row>
    <row r="1980" spans="20:23" x14ac:dyDescent="0.25">
      <c r="T1980" s="71"/>
      <c r="U1980" s="71"/>
      <c r="V1980" s="71"/>
      <c r="W1980" s="71"/>
    </row>
    <row r="1981" spans="20:23" x14ac:dyDescent="0.25">
      <c r="T1981" s="71"/>
      <c r="U1981" s="71"/>
      <c r="V1981" s="71"/>
      <c r="W1981" s="71"/>
    </row>
    <row r="1982" spans="20:23" x14ac:dyDescent="0.25">
      <c r="T1982" s="71"/>
      <c r="U1982" s="71"/>
      <c r="V1982" s="71"/>
      <c r="W1982" s="71"/>
    </row>
    <row r="1983" spans="20:23" x14ac:dyDescent="0.25">
      <c r="T1983" s="71"/>
      <c r="U1983" s="71"/>
      <c r="V1983" s="71"/>
      <c r="W1983" s="71"/>
    </row>
    <row r="1984" spans="20:23" x14ac:dyDescent="0.25">
      <c r="T1984" s="71"/>
      <c r="U1984" s="71"/>
      <c r="V1984" s="71"/>
      <c r="W1984" s="71"/>
    </row>
    <row r="1985" spans="20:23" x14ac:dyDescent="0.25">
      <c r="T1985" s="71"/>
      <c r="U1985" s="71"/>
      <c r="V1985" s="71"/>
      <c r="W1985" s="71"/>
    </row>
    <row r="1986" spans="20:23" x14ac:dyDescent="0.25">
      <c r="T1986" s="71"/>
      <c r="U1986" s="71"/>
      <c r="V1986" s="71"/>
      <c r="W1986" s="71"/>
    </row>
    <row r="1987" spans="20:23" x14ac:dyDescent="0.25">
      <c r="T1987" s="71"/>
      <c r="U1987" s="71"/>
      <c r="V1987" s="71"/>
      <c r="W1987" s="71"/>
    </row>
    <row r="1988" spans="20:23" x14ac:dyDescent="0.25">
      <c r="T1988" s="71"/>
      <c r="U1988" s="71"/>
      <c r="V1988" s="71"/>
      <c r="W1988" s="71"/>
    </row>
    <row r="1989" spans="20:23" x14ac:dyDescent="0.25">
      <c r="T1989" s="71"/>
      <c r="U1989" s="71"/>
      <c r="V1989" s="71"/>
      <c r="W1989" s="71"/>
    </row>
    <row r="1990" spans="20:23" x14ac:dyDescent="0.25">
      <c r="T1990" s="71"/>
      <c r="U1990" s="71"/>
      <c r="V1990" s="71"/>
      <c r="W1990" s="71"/>
    </row>
    <row r="1991" spans="20:23" x14ac:dyDescent="0.25">
      <c r="T1991" s="71"/>
      <c r="U1991" s="71"/>
      <c r="V1991" s="71"/>
      <c r="W1991" s="71"/>
    </row>
    <row r="1992" spans="20:23" x14ac:dyDescent="0.25">
      <c r="T1992" s="71"/>
      <c r="U1992" s="71"/>
      <c r="V1992" s="71"/>
      <c r="W1992" s="71"/>
    </row>
    <row r="1993" spans="20:23" x14ac:dyDescent="0.25">
      <c r="T1993" s="71"/>
      <c r="U1993" s="71"/>
      <c r="V1993" s="71"/>
      <c r="W1993" s="71"/>
    </row>
    <row r="1994" spans="20:23" x14ac:dyDescent="0.25">
      <c r="T1994" s="71"/>
      <c r="U1994" s="71"/>
      <c r="V1994" s="71"/>
      <c r="W1994" s="71"/>
    </row>
    <row r="1995" spans="20:23" x14ac:dyDescent="0.25">
      <c r="T1995" s="71"/>
      <c r="U1995" s="71"/>
      <c r="V1995" s="71"/>
      <c r="W1995" s="71"/>
    </row>
    <row r="1996" spans="20:23" x14ac:dyDescent="0.25">
      <c r="T1996" s="71"/>
      <c r="U1996" s="71"/>
      <c r="V1996" s="71"/>
      <c r="W1996" s="71"/>
    </row>
    <row r="1997" spans="20:23" x14ac:dyDescent="0.25">
      <c r="T1997" s="71"/>
      <c r="U1997" s="71"/>
      <c r="V1997" s="71"/>
      <c r="W1997" s="71"/>
    </row>
    <row r="1998" spans="20:23" x14ac:dyDescent="0.25">
      <c r="T1998" s="71"/>
      <c r="U1998" s="71"/>
      <c r="V1998" s="71"/>
      <c r="W1998" s="71"/>
    </row>
    <row r="1999" spans="20:23" x14ac:dyDescent="0.25">
      <c r="T1999" s="71"/>
      <c r="U1999" s="71"/>
      <c r="V1999" s="71"/>
      <c r="W1999" s="71"/>
    </row>
    <row r="2000" spans="20:23" x14ac:dyDescent="0.25">
      <c r="T2000" s="71"/>
      <c r="U2000" s="71"/>
      <c r="V2000" s="71"/>
      <c r="W2000" s="71"/>
    </row>
    <row r="2001" spans="20:23" x14ac:dyDescent="0.25">
      <c r="T2001" s="71"/>
      <c r="U2001" s="71"/>
      <c r="V2001" s="71"/>
      <c r="W2001" s="71"/>
    </row>
    <row r="2002" spans="20:23" x14ac:dyDescent="0.25">
      <c r="T2002" s="71"/>
      <c r="U2002" s="71"/>
      <c r="V2002" s="71"/>
      <c r="W2002" s="71"/>
    </row>
    <row r="2003" spans="20:23" x14ac:dyDescent="0.25">
      <c r="T2003" s="71"/>
      <c r="U2003" s="71"/>
      <c r="V2003" s="71"/>
      <c r="W2003" s="71"/>
    </row>
    <row r="2004" spans="20:23" x14ac:dyDescent="0.25">
      <c r="T2004" s="71"/>
      <c r="U2004" s="71"/>
      <c r="V2004" s="71"/>
      <c r="W2004" s="71"/>
    </row>
    <row r="2005" spans="20:23" x14ac:dyDescent="0.25">
      <c r="T2005" s="71"/>
      <c r="U2005" s="71"/>
      <c r="V2005" s="71"/>
      <c r="W2005" s="71"/>
    </row>
    <row r="2006" spans="20:23" x14ac:dyDescent="0.25">
      <c r="T2006" s="71"/>
      <c r="U2006" s="71"/>
      <c r="V2006" s="71"/>
      <c r="W2006" s="71"/>
    </row>
    <row r="2007" spans="20:23" x14ac:dyDescent="0.25">
      <c r="T2007" s="71"/>
      <c r="U2007" s="71"/>
      <c r="V2007" s="71"/>
      <c r="W2007" s="71"/>
    </row>
    <row r="2008" spans="20:23" x14ac:dyDescent="0.25">
      <c r="T2008" s="71"/>
      <c r="U2008" s="71"/>
      <c r="V2008" s="71"/>
      <c r="W2008" s="71"/>
    </row>
    <row r="2009" spans="20:23" x14ac:dyDescent="0.25">
      <c r="T2009" s="71"/>
      <c r="U2009" s="71"/>
      <c r="V2009" s="71"/>
      <c r="W2009" s="71"/>
    </row>
    <row r="2010" spans="20:23" x14ac:dyDescent="0.25">
      <c r="T2010" s="71"/>
      <c r="U2010" s="71"/>
      <c r="V2010" s="71"/>
      <c r="W2010" s="71"/>
    </row>
    <row r="2011" spans="20:23" x14ac:dyDescent="0.25">
      <c r="T2011" s="71"/>
      <c r="U2011" s="71"/>
      <c r="V2011" s="71"/>
      <c r="W2011" s="71"/>
    </row>
    <row r="2012" spans="20:23" x14ac:dyDescent="0.25">
      <c r="T2012" s="71"/>
      <c r="U2012" s="71"/>
      <c r="V2012" s="71"/>
      <c r="W2012" s="71"/>
    </row>
    <row r="2013" spans="20:23" x14ac:dyDescent="0.25">
      <c r="T2013" s="71"/>
      <c r="U2013" s="71"/>
      <c r="V2013" s="71"/>
      <c r="W2013" s="71"/>
    </row>
    <row r="2014" spans="20:23" x14ac:dyDescent="0.25">
      <c r="T2014" s="71"/>
      <c r="U2014" s="71"/>
      <c r="V2014" s="71"/>
      <c r="W2014" s="71"/>
    </row>
    <row r="2015" spans="20:23" x14ac:dyDescent="0.25">
      <c r="T2015" s="71"/>
      <c r="U2015" s="71"/>
      <c r="V2015" s="71"/>
      <c r="W2015" s="71"/>
    </row>
    <row r="2016" spans="20:23" x14ac:dyDescent="0.25">
      <c r="T2016" s="71"/>
      <c r="U2016" s="71"/>
      <c r="V2016" s="71"/>
      <c r="W2016" s="71"/>
    </row>
    <row r="2017" spans="20:23" x14ac:dyDescent="0.25">
      <c r="T2017" s="71"/>
      <c r="U2017" s="71"/>
      <c r="V2017" s="71"/>
      <c r="W2017" s="71"/>
    </row>
    <row r="2018" spans="20:23" x14ac:dyDescent="0.25">
      <c r="T2018" s="71"/>
      <c r="U2018" s="71"/>
      <c r="V2018" s="71"/>
      <c r="W2018" s="71"/>
    </row>
    <row r="2019" spans="20:23" x14ac:dyDescent="0.25">
      <c r="T2019" s="71"/>
      <c r="U2019" s="71"/>
      <c r="V2019" s="71"/>
      <c r="W2019" s="71"/>
    </row>
    <row r="2020" spans="20:23" x14ac:dyDescent="0.25">
      <c r="T2020" s="71"/>
      <c r="U2020" s="71"/>
      <c r="V2020" s="71"/>
      <c r="W2020" s="71"/>
    </row>
    <row r="2021" spans="20:23" x14ac:dyDescent="0.25">
      <c r="T2021" s="71"/>
      <c r="U2021" s="71"/>
      <c r="V2021" s="71"/>
      <c r="W2021" s="71"/>
    </row>
    <row r="2022" spans="20:23" x14ac:dyDescent="0.25">
      <c r="T2022" s="71"/>
      <c r="U2022" s="71"/>
      <c r="V2022" s="71"/>
      <c r="W2022" s="71"/>
    </row>
    <row r="2023" spans="20:23" x14ac:dyDescent="0.25">
      <c r="T2023" s="71"/>
      <c r="U2023" s="71"/>
      <c r="V2023" s="71"/>
      <c r="W2023" s="71"/>
    </row>
    <row r="2024" spans="20:23" x14ac:dyDescent="0.25">
      <c r="T2024" s="71"/>
      <c r="U2024" s="71"/>
      <c r="V2024" s="71"/>
      <c r="W2024" s="71"/>
    </row>
    <row r="2025" spans="20:23" x14ac:dyDescent="0.25">
      <c r="T2025" s="71"/>
      <c r="U2025" s="71"/>
      <c r="V2025" s="71"/>
      <c r="W2025" s="71"/>
    </row>
    <row r="2026" spans="20:23" x14ac:dyDescent="0.25">
      <c r="T2026" s="71"/>
      <c r="U2026" s="71"/>
      <c r="V2026" s="71"/>
      <c r="W2026" s="71"/>
    </row>
    <row r="2027" spans="20:23" x14ac:dyDescent="0.25">
      <c r="T2027" s="71"/>
      <c r="U2027" s="71"/>
      <c r="V2027" s="71"/>
      <c r="W2027" s="71"/>
    </row>
    <row r="2028" spans="20:23" x14ac:dyDescent="0.25">
      <c r="T2028" s="71"/>
      <c r="U2028" s="71"/>
      <c r="V2028" s="71"/>
      <c r="W2028" s="71"/>
    </row>
    <row r="2029" spans="20:23" x14ac:dyDescent="0.25">
      <c r="T2029" s="71"/>
      <c r="U2029" s="71"/>
      <c r="V2029" s="71"/>
      <c r="W2029" s="71"/>
    </row>
    <row r="2030" spans="20:23" x14ac:dyDescent="0.25">
      <c r="T2030" s="71"/>
      <c r="U2030" s="71"/>
      <c r="V2030" s="71"/>
      <c r="W2030" s="71"/>
    </row>
    <row r="2031" spans="20:23" x14ac:dyDescent="0.25">
      <c r="T2031" s="71"/>
      <c r="U2031" s="71"/>
      <c r="V2031" s="71"/>
      <c r="W2031" s="71"/>
    </row>
    <row r="2032" spans="20:23" x14ac:dyDescent="0.25">
      <c r="T2032" s="71"/>
      <c r="U2032" s="71"/>
      <c r="V2032" s="71"/>
      <c r="W2032" s="71"/>
    </row>
    <row r="2033" spans="20:23" x14ac:dyDescent="0.25">
      <c r="T2033" s="71"/>
      <c r="U2033" s="71"/>
      <c r="V2033" s="71"/>
      <c r="W2033" s="71"/>
    </row>
    <row r="2034" spans="20:23" x14ac:dyDescent="0.25">
      <c r="T2034" s="71"/>
      <c r="U2034" s="71"/>
      <c r="V2034" s="71"/>
      <c r="W2034" s="71"/>
    </row>
    <row r="2035" spans="20:23" x14ac:dyDescent="0.25">
      <c r="T2035" s="71"/>
      <c r="U2035" s="71"/>
      <c r="V2035" s="71"/>
      <c r="W2035" s="71"/>
    </row>
    <row r="2036" spans="20:23" x14ac:dyDescent="0.25">
      <c r="T2036" s="71"/>
      <c r="U2036" s="71"/>
      <c r="V2036" s="71"/>
      <c r="W2036" s="71"/>
    </row>
    <row r="2037" spans="20:23" x14ac:dyDescent="0.25">
      <c r="T2037" s="71"/>
      <c r="U2037" s="71"/>
      <c r="V2037" s="71"/>
      <c r="W2037" s="71"/>
    </row>
    <row r="2038" spans="20:23" x14ac:dyDescent="0.25">
      <c r="T2038" s="71"/>
      <c r="U2038" s="71"/>
      <c r="V2038" s="71"/>
      <c r="W2038" s="71"/>
    </row>
    <row r="2039" spans="20:23" x14ac:dyDescent="0.25">
      <c r="T2039" s="71"/>
      <c r="U2039" s="71"/>
      <c r="V2039" s="71"/>
      <c r="W2039" s="71"/>
    </row>
    <row r="2040" spans="20:23" x14ac:dyDescent="0.25">
      <c r="T2040" s="71"/>
      <c r="U2040" s="71"/>
      <c r="V2040" s="71"/>
      <c r="W2040" s="71"/>
    </row>
    <row r="2041" spans="20:23" x14ac:dyDescent="0.25">
      <c r="T2041" s="71"/>
      <c r="U2041" s="71"/>
      <c r="V2041" s="71"/>
      <c r="W2041" s="71"/>
    </row>
    <row r="2042" spans="20:23" x14ac:dyDescent="0.25">
      <c r="T2042" s="71"/>
      <c r="U2042" s="71"/>
      <c r="V2042" s="71"/>
      <c r="W2042" s="71"/>
    </row>
    <row r="2043" spans="20:23" x14ac:dyDescent="0.25">
      <c r="T2043" s="71"/>
      <c r="U2043" s="71"/>
      <c r="V2043" s="71"/>
      <c r="W2043" s="71"/>
    </row>
    <row r="2044" spans="20:23" x14ac:dyDescent="0.25">
      <c r="T2044" s="71"/>
      <c r="U2044" s="71"/>
      <c r="V2044" s="71"/>
      <c r="W2044" s="71"/>
    </row>
    <row r="2045" spans="20:23" x14ac:dyDescent="0.25">
      <c r="T2045" s="71"/>
      <c r="U2045" s="71"/>
      <c r="V2045" s="71"/>
      <c r="W2045" s="71"/>
    </row>
    <row r="2046" spans="20:23" x14ac:dyDescent="0.25">
      <c r="T2046" s="71"/>
      <c r="U2046" s="71"/>
      <c r="V2046" s="71"/>
      <c r="W2046" s="71"/>
    </row>
    <row r="2047" spans="20:23" x14ac:dyDescent="0.25">
      <c r="T2047" s="71"/>
      <c r="U2047" s="71"/>
      <c r="V2047" s="71"/>
      <c r="W2047" s="71"/>
    </row>
    <row r="2048" spans="20:23" x14ac:dyDescent="0.25">
      <c r="T2048" s="71"/>
      <c r="U2048" s="71"/>
      <c r="V2048" s="71"/>
      <c r="W2048" s="71"/>
    </row>
    <row r="2049" spans="20:23" x14ac:dyDescent="0.25">
      <c r="T2049" s="71"/>
      <c r="U2049" s="71"/>
      <c r="V2049" s="71"/>
      <c r="W2049" s="71"/>
    </row>
    <row r="2050" spans="20:23" x14ac:dyDescent="0.25">
      <c r="T2050" s="71"/>
      <c r="U2050" s="71"/>
      <c r="V2050" s="71"/>
      <c r="W2050" s="71"/>
    </row>
    <row r="2051" spans="20:23" x14ac:dyDescent="0.25">
      <c r="T2051" s="71"/>
      <c r="U2051" s="71"/>
      <c r="V2051" s="71"/>
      <c r="W2051" s="71"/>
    </row>
    <row r="2052" spans="20:23" x14ac:dyDescent="0.25">
      <c r="T2052" s="71"/>
      <c r="U2052" s="71"/>
      <c r="V2052" s="71"/>
      <c r="W2052" s="71"/>
    </row>
    <row r="2053" spans="20:23" x14ac:dyDescent="0.25">
      <c r="T2053" s="71"/>
      <c r="U2053" s="71"/>
      <c r="V2053" s="71"/>
      <c r="W2053" s="71"/>
    </row>
    <row r="2054" spans="20:23" x14ac:dyDescent="0.25">
      <c r="T2054" s="71"/>
      <c r="U2054" s="71"/>
      <c r="V2054" s="71"/>
      <c r="W2054" s="71"/>
    </row>
    <row r="2055" spans="20:23" x14ac:dyDescent="0.25">
      <c r="T2055" s="71"/>
      <c r="U2055" s="71"/>
      <c r="V2055" s="71"/>
      <c r="W2055" s="71"/>
    </row>
    <row r="2056" spans="20:23" x14ac:dyDescent="0.25">
      <c r="T2056" s="71"/>
      <c r="U2056" s="71"/>
      <c r="V2056" s="71"/>
      <c r="W2056" s="71"/>
    </row>
    <row r="2057" spans="20:23" x14ac:dyDescent="0.25">
      <c r="T2057" s="71"/>
      <c r="U2057" s="71"/>
      <c r="V2057" s="71"/>
      <c r="W2057" s="71"/>
    </row>
    <row r="2058" spans="20:23" x14ac:dyDescent="0.25">
      <c r="T2058" s="71"/>
      <c r="U2058" s="71"/>
      <c r="V2058" s="71"/>
      <c r="W2058" s="71"/>
    </row>
    <row r="2059" spans="20:23" x14ac:dyDescent="0.25">
      <c r="T2059" s="71"/>
      <c r="U2059" s="71"/>
      <c r="V2059" s="71"/>
      <c r="W2059" s="71"/>
    </row>
    <row r="2060" spans="20:23" x14ac:dyDescent="0.25">
      <c r="T2060" s="71"/>
      <c r="U2060" s="71"/>
      <c r="V2060" s="71"/>
      <c r="W2060" s="71"/>
    </row>
    <row r="2061" spans="20:23" x14ac:dyDescent="0.25">
      <c r="T2061" s="71"/>
      <c r="U2061" s="71"/>
      <c r="V2061" s="71"/>
      <c r="W2061" s="71"/>
    </row>
    <row r="2062" spans="20:23" x14ac:dyDescent="0.25">
      <c r="T2062" s="71"/>
      <c r="U2062" s="71"/>
      <c r="V2062" s="71"/>
      <c r="W2062" s="71"/>
    </row>
    <row r="2063" spans="20:23" x14ac:dyDescent="0.25">
      <c r="T2063" s="71"/>
      <c r="U2063" s="71"/>
      <c r="V2063" s="71"/>
      <c r="W2063" s="71"/>
    </row>
    <row r="2064" spans="20:23" x14ac:dyDescent="0.25">
      <c r="T2064" s="71"/>
      <c r="U2064" s="71"/>
      <c r="V2064" s="71"/>
      <c r="W2064" s="71"/>
    </row>
    <row r="2065" spans="20:23" x14ac:dyDescent="0.25">
      <c r="T2065" s="71"/>
      <c r="U2065" s="71"/>
      <c r="V2065" s="71"/>
      <c r="W2065" s="71"/>
    </row>
    <row r="2066" spans="20:23" x14ac:dyDescent="0.25">
      <c r="T2066" s="71"/>
      <c r="U2066" s="71"/>
      <c r="V2066" s="71"/>
      <c r="W2066" s="71"/>
    </row>
    <row r="2067" spans="20:23" x14ac:dyDescent="0.25">
      <c r="T2067" s="71"/>
      <c r="U2067" s="71"/>
      <c r="V2067" s="71"/>
      <c r="W2067" s="71"/>
    </row>
    <row r="2068" spans="20:23" x14ac:dyDescent="0.25">
      <c r="T2068" s="71"/>
      <c r="U2068" s="71"/>
      <c r="V2068" s="71"/>
      <c r="W2068" s="71"/>
    </row>
    <row r="2069" spans="20:23" x14ac:dyDescent="0.25">
      <c r="T2069" s="71"/>
      <c r="U2069" s="71"/>
      <c r="V2069" s="71"/>
      <c r="W2069" s="71"/>
    </row>
    <row r="2070" spans="20:23" x14ac:dyDescent="0.25">
      <c r="T2070" s="71"/>
      <c r="U2070" s="71"/>
      <c r="V2070" s="71"/>
      <c r="W2070" s="71"/>
    </row>
    <row r="2071" spans="20:23" x14ac:dyDescent="0.25">
      <c r="T2071" s="71"/>
      <c r="U2071" s="71"/>
      <c r="V2071" s="71"/>
      <c r="W2071" s="71"/>
    </row>
    <row r="2072" spans="20:23" x14ac:dyDescent="0.25">
      <c r="T2072" s="71"/>
      <c r="U2072" s="71"/>
      <c r="V2072" s="71"/>
      <c r="W2072" s="71"/>
    </row>
    <row r="2073" spans="20:23" x14ac:dyDescent="0.25">
      <c r="T2073" s="71"/>
      <c r="U2073" s="71"/>
      <c r="V2073" s="71"/>
      <c r="W2073" s="71"/>
    </row>
    <row r="2074" spans="20:23" x14ac:dyDescent="0.25">
      <c r="T2074" s="71"/>
      <c r="U2074" s="71"/>
      <c r="V2074" s="71"/>
      <c r="W2074" s="71"/>
    </row>
    <row r="2075" spans="20:23" x14ac:dyDescent="0.25">
      <c r="T2075" s="71"/>
      <c r="U2075" s="71"/>
      <c r="V2075" s="71"/>
      <c r="W2075" s="71"/>
    </row>
    <row r="2076" spans="20:23" x14ac:dyDescent="0.25">
      <c r="T2076" s="71"/>
      <c r="U2076" s="71"/>
      <c r="V2076" s="71"/>
      <c r="W2076" s="71"/>
    </row>
    <row r="2077" spans="20:23" x14ac:dyDescent="0.25">
      <c r="T2077" s="71"/>
      <c r="U2077" s="71"/>
      <c r="V2077" s="71"/>
      <c r="W2077" s="71"/>
    </row>
    <row r="2078" spans="20:23" x14ac:dyDescent="0.25">
      <c r="T2078" s="71"/>
      <c r="U2078" s="71"/>
      <c r="V2078" s="71"/>
      <c r="W2078" s="71"/>
    </row>
    <row r="2079" spans="20:23" x14ac:dyDescent="0.25">
      <c r="T2079" s="71"/>
      <c r="U2079" s="71"/>
      <c r="V2079" s="71"/>
      <c r="W2079" s="71"/>
    </row>
    <row r="2080" spans="20:23" x14ac:dyDescent="0.25">
      <c r="T2080" s="71"/>
      <c r="U2080" s="71"/>
      <c r="V2080" s="71"/>
      <c r="W2080" s="71"/>
    </row>
    <row r="2081" spans="20:23" x14ac:dyDescent="0.25">
      <c r="T2081" s="71"/>
      <c r="U2081" s="71"/>
      <c r="V2081" s="71"/>
      <c r="W2081" s="71"/>
    </row>
    <row r="2082" spans="20:23" x14ac:dyDescent="0.25">
      <c r="T2082" s="71"/>
      <c r="U2082" s="71"/>
      <c r="V2082" s="71"/>
      <c r="W2082" s="71"/>
    </row>
    <row r="2083" spans="20:23" x14ac:dyDescent="0.25">
      <c r="T2083" s="71"/>
      <c r="U2083" s="71"/>
      <c r="V2083" s="71"/>
      <c r="W2083" s="71"/>
    </row>
    <row r="2084" spans="20:23" x14ac:dyDescent="0.25">
      <c r="T2084" s="71"/>
      <c r="U2084" s="71"/>
      <c r="V2084" s="71"/>
      <c r="W2084" s="71"/>
    </row>
    <row r="2085" spans="20:23" x14ac:dyDescent="0.25">
      <c r="T2085" s="71"/>
      <c r="U2085" s="71"/>
      <c r="V2085" s="71"/>
      <c r="W2085" s="71"/>
    </row>
    <row r="2086" spans="20:23" x14ac:dyDescent="0.25">
      <c r="T2086" s="71"/>
      <c r="U2086" s="71"/>
      <c r="V2086" s="71"/>
      <c r="W2086" s="71"/>
    </row>
    <row r="2087" spans="20:23" x14ac:dyDescent="0.25">
      <c r="T2087" s="71"/>
      <c r="U2087" s="71"/>
      <c r="V2087" s="71"/>
      <c r="W2087" s="71"/>
    </row>
    <row r="2088" spans="20:23" x14ac:dyDescent="0.25">
      <c r="T2088" s="71"/>
      <c r="U2088" s="71"/>
      <c r="V2088" s="71"/>
      <c r="W2088" s="71"/>
    </row>
    <row r="2089" spans="20:23" x14ac:dyDescent="0.25">
      <c r="T2089" s="71"/>
      <c r="U2089" s="71"/>
      <c r="V2089" s="71"/>
      <c r="W2089" s="71"/>
    </row>
    <row r="2090" spans="20:23" x14ac:dyDescent="0.25">
      <c r="T2090" s="71"/>
      <c r="U2090" s="71"/>
      <c r="V2090" s="71"/>
      <c r="W2090" s="71"/>
    </row>
    <row r="2091" spans="20:23" x14ac:dyDescent="0.25">
      <c r="T2091" s="71"/>
      <c r="U2091" s="71"/>
      <c r="V2091" s="71"/>
      <c r="W2091" s="71"/>
    </row>
    <row r="2092" spans="20:23" x14ac:dyDescent="0.25">
      <c r="T2092" s="71"/>
      <c r="U2092" s="71"/>
      <c r="V2092" s="71"/>
      <c r="W2092" s="71"/>
    </row>
    <row r="2093" spans="20:23" x14ac:dyDescent="0.25">
      <c r="T2093" s="71"/>
      <c r="U2093" s="71"/>
      <c r="V2093" s="71"/>
      <c r="W2093" s="71"/>
    </row>
    <row r="2094" spans="20:23" x14ac:dyDescent="0.25">
      <c r="T2094" s="71"/>
      <c r="U2094" s="71"/>
      <c r="V2094" s="71"/>
      <c r="W2094" s="71"/>
    </row>
    <row r="2095" spans="20:23" x14ac:dyDescent="0.25">
      <c r="T2095" s="71"/>
      <c r="U2095" s="71"/>
      <c r="V2095" s="71"/>
      <c r="W2095" s="71"/>
    </row>
    <row r="2096" spans="20:23" x14ac:dyDescent="0.25">
      <c r="T2096" s="71"/>
      <c r="U2096" s="71"/>
      <c r="V2096" s="71"/>
      <c r="W2096" s="71"/>
    </row>
    <row r="2097" spans="20:23" x14ac:dyDescent="0.25">
      <c r="T2097" s="71"/>
      <c r="U2097" s="71"/>
      <c r="V2097" s="71"/>
      <c r="W2097" s="71"/>
    </row>
    <row r="2098" spans="20:23" x14ac:dyDescent="0.25">
      <c r="T2098" s="71"/>
      <c r="U2098" s="71"/>
      <c r="V2098" s="71"/>
      <c r="W2098" s="71"/>
    </row>
    <row r="2099" spans="20:23" x14ac:dyDescent="0.25">
      <c r="T2099" s="71"/>
      <c r="U2099" s="71"/>
      <c r="V2099" s="71"/>
      <c r="W2099" s="71"/>
    </row>
    <row r="2100" spans="20:23" x14ac:dyDescent="0.25">
      <c r="T2100" s="71"/>
      <c r="U2100" s="71"/>
      <c r="V2100" s="71"/>
      <c r="W2100" s="71"/>
    </row>
    <row r="2101" spans="20:23" x14ac:dyDescent="0.25">
      <c r="T2101" s="71"/>
      <c r="U2101" s="71"/>
      <c r="V2101" s="71"/>
      <c r="W2101" s="71"/>
    </row>
    <row r="2102" spans="20:23" x14ac:dyDescent="0.25">
      <c r="T2102" s="71"/>
      <c r="U2102" s="71"/>
      <c r="V2102" s="71"/>
      <c r="W2102" s="71"/>
    </row>
    <row r="2103" spans="20:23" x14ac:dyDescent="0.25">
      <c r="T2103" s="71"/>
      <c r="U2103" s="71"/>
      <c r="V2103" s="71"/>
      <c r="W2103" s="71"/>
    </row>
    <row r="2104" spans="20:23" x14ac:dyDescent="0.25">
      <c r="T2104" s="71"/>
      <c r="U2104" s="71"/>
      <c r="V2104" s="71"/>
      <c r="W2104" s="71"/>
    </row>
    <row r="2105" spans="20:23" x14ac:dyDescent="0.25">
      <c r="T2105" s="71"/>
      <c r="U2105" s="71"/>
      <c r="V2105" s="71"/>
      <c r="W2105" s="71"/>
    </row>
    <row r="2106" spans="20:23" x14ac:dyDescent="0.25">
      <c r="T2106" s="71"/>
      <c r="U2106" s="71"/>
      <c r="V2106" s="71"/>
      <c r="W2106" s="71"/>
    </row>
    <row r="2107" spans="20:23" x14ac:dyDescent="0.25">
      <c r="T2107" s="71"/>
      <c r="U2107" s="71"/>
      <c r="V2107" s="71"/>
      <c r="W2107" s="71"/>
    </row>
    <row r="2108" spans="20:23" x14ac:dyDescent="0.25">
      <c r="T2108" s="71"/>
      <c r="U2108" s="71"/>
      <c r="V2108" s="71"/>
      <c r="W2108" s="71"/>
    </row>
    <row r="2109" spans="20:23" x14ac:dyDescent="0.25">
      <c r="T2109" s="71"/>
      <c r="U2109" s="71"/>
      <c r="V2109" s="71"/>
      <c r="W2109" s="71"/>
    </row>
    <row r="2110" spans="20:23" x14ac:dyDescent="0.25">
      <c r="T2110" s="71"/>
      <c r="U2110" s="71"/>
      <c r="V2110" s="71"/>
      <c r="W2110" s="71"/>
    </row>
    <row r="2111" spans="20:23" x14ac:dyDescent="0.25">
      <c r="T2111" s="71"/>
      <c r="U2111" s="71"/>
      <c r="V2111" s="71"/>
      <c r="W2111" s="71"/>
    </row>
    <row r="2112" spans="20:23" x14ac:dyDescent="0.25">
      <c r="T2112" s="71"/>
      <c r="U2112" s="71"/>
      <c r="V2112" s="71"/>
      <c r="W2112" s="71"/>
    </row>
    <row r="2113" spans="20:23" x14ac:dyDescent="0.25">
      <c r="T2113" s="71"/>
      <c r="U2113" s="71"/>
      <c r="V2113" s="71"/>
      <c r="W2113" s="71"/>
    </row>
    <row r="2114" spans="20:23" x14ac:dyDescent="0.25">
      <c r="T2114" s="71"/>
      <c r="U2114" s="71"/>
      <c r="V2114" s="71"/>
      <c r="W2114" s="71"/>
    </row>
    <row r="2115" spans="20:23" x14ac:dyDescent="0.25">
      <c r="T2115" s="71"/>
      <c r="U2115" s="71"/>
      <c r="V2115" s="71"/>
      <c r="W2115" s="71"/>
    </row>
    <row r="2116" spans="20:23" x14ac:dyDescent="0.25">
      <c r="T2116" s="71"/>
      <c r="U2116" s="71"/>
      <c r="V2116" s="71"/>
      <c r="W2116" s="71"/>
    </row>
    <row r="2117" spans="20:23" x14ac:dyDescent="0.25">
      <c r="T2117" s="71"/>
      <c r="U2117" s="71"/>
      <c r="V2117" s="71"/>
      <c r="W2117" s="71"/>
    </row>
    <row r="2118" spans="20:23" x14ac:dyDescent="0.25">
      <c r="T2118" s="71"/>
      <c r="U2118" s="71"/>
      <c r="V2118" s="71"/>
      <c r="W2118" s="71"/>
    </row>
    <row r="2119" spans="20:23" x14ac:dyDescent="0.25">
      <c r="T2119" s="71"/>
      <c r="U2119" s="71"/>
      <c r="V2119" s="71"/>
      <c r="W2119" s="71"/>
    </row>
    <row r="2120" spans="20:23" x14ac:dyDescent="0.25">
      <c r="T2120" s="71"/>
      <c r="U2120" s="71"/>
      <c r="V2120" s="71"/>
      <c r="W2120" s="71"/>
    </row>
    <row r="2121" spans="20:23" x14ac:dyDescent="0.25">
      <c r="T2121" s="71"/>
      <c r="U2121" s="71"/>
      <c r="V2121" s="71"/>
      <c r="W2121" s="71"/>
    </row>
    <row r="2122" spans="20:23" x14ac:dyDescent="0.25">
      <c r="T2122" s="71"/>
      <c r="U2122" s="71"/>
      <c r="V2122" s="71"/>
      <c r="W2122" s="71"/>
    </row>
    <row r="2123" spans="20:23" x14ac:dyDescent="0.25">
      <c r="T2123" s="71"/>
      <c r="U2123" s="71"/>
      <c r="V2123" s="71"/>
      <c r="W2123" s="71"/>
    </row>
    <row r="2124" spans="20:23" x14ac:dyDescent="0.25">
      <c r="T2124" s="71"/>
      <c r="U2124" s="71"/>
      <c r="V2124" s="71"/>
      <c r="W2124" s="71"/>
    </row>
    <row r="2125" spans="20:23" x14ac:dyDescent="0.25">
      <c r="T2125" s="71"/>
      <c r="U2125" s="71"/>
      <c r="V2125" s="71"/>
      <c r="W2125" s="71"/>
    </row>
    <row r="2126" spans="20:23" x14ac:dyDescent="0.25">
      <c r="T2126" s="71"/>
      <c r="U2126" s="71"/>
      <c r="V2126" s="71"/>
      <c r="W2126" s="71"/>
    </row>
    <row r="2127" spans="20:23" x14ac:dyDescent="0.25">
      <c r="T2127" s="71"/>
      <c r="U2127" s="71"/>
      <c r="V2127" s="71"/>
      <c r="W2127" s="71"/>
    </row>
    <row r="2128" spans="20:23" x14ac:dyDescent="0.25">
      <c r="T2128" s="71"/>
      <c r="U2128" s="71"/>
      <c r="V2128" s="71"/>
      <c r="W2128" s="71"/>
    </row>
    <row r="2129" spans="20:23" x14ac:dyDescent="0.25">
      <c r="T2129" s="71"/>
      <c r="U2129" s="71"/>
      <c r="V2129" s="71"/>
      <c r="W2129" s="71"/>
    </row>
    <row r="2130" spans="20:23" x14ac:dyDescent="0.25">
      <c r="T2130" s="71"/>
      <c r="U2130" s="71"/>
      <c r="V2130" s="71"/>
      <c r="W2130" s="71"/>
    </row>
    <row r="2131" spans="20:23" x14ac:dyDescent="0.25">
      <c r="T2131" s="71"/>
      <c r="U2131" s="71"/>
      <c r="V2131" s="71"/>
      <c r="W2131" s="71"/>
    </row>
    <row r="2132" spans="20:23" x14ac:dyDescent="0.25">
      <c r="T2132" s="71"/>
      <c r="U2132" s="71"/>
      <c r="V2132" s="71"/>
      <c r="W2132" s="71"/>
    </row>
    <row r="2133" spans="20:23" x14ac:dyDescent="0.25">
      <c r="T2133" s="71"/>
      <c r="U2133" s="71"/>
      <c r="V2133" s="71"/>
      <c r="W2133" s="71"/>
    </row>
    <row r="2134" spans="20:23" x14ac:dyDescent="0.25">
      <c r="T2134" s="71"/>
      <c r="U2134" s="71"/>
      <c r="V2134" s="71"/>
      <c r="W2134" s="71"/>
    </row>
    <row r="2135" spans="20:23" x14ac:dyDescent="0.25">
      <c r="T2135" s="71"/>
      <c r="U2135" s="71"/>
      <c r="V2135" s="71"/>
      <c r="W2135" s="71"/>
    </row>
    <row r="2136" spans="20:23" x14ac:dyDescent="0.25">
      <c r="T2136" s="71"/>
      <c r="U2136" s="71"/>
      <c r="V2136" s="71"/>
      <c r="W2136" s="71"/>
    </row>
    <row r="2137" spans="20:23" x14ac:dyDescent="0.25">
      <c r="T2137" s="71"/>
      <c r="U2137" s="71"/>
      <c r="V2137" s="71"/>
      <c r="W2137" s="71"/>
    </row>
    <row r="2138" spans="20:23" x14ac:dyDescent="0.25">
      <c r="T2138" s="71"/>
      <c r="U2138" s="71"/>
      <c r="V2138" s="71"/>
      <c r="W2138" s="71"/>
    </row>
    <row r="2139" spans="20:23" x14ac:dyDescent="0.25">
      <c r="T2139" s="71"/>
      <c r="U2139" s="71"/>
      <c r="V2139" s="71"/>
      <c r="W2139" s="71"/>
    </row>
    <row r="2140" spans="20:23" x14ac:dyDescent="0.25">
      <c r="T2140" s="71"/>
      <c r="U2140" s="71"/>
      <c r="V2140" s="71"/>
      <c r="W2140" s="71"/>
    </row>
    <row r="2141" spans="20:23" x14ac:dyDescent="0.25">
      <c r="T2141" s="71"/>
      <c r="U2141" s="71"/>
      <c r="V2141" s="71"/>
      <c r="W2141" s="71"/>
    </row>
    <row r="2142" spans="20:23" x14ac:dyDescent="0.25">
      <c r="T2142" s="71"/>
      <c r="U2142" s="71"/>
      <c r="V2142" s="71"/>
      <c r="W2142" s="71"/>
    </row>
    <row r="2143" spans="20:23" x14ac:dyDescent="0.25">
      <c r="T2143" s="71"/>
      <c r="U2143" s="71"/>
      <c r="V2143" s="71"/>
      <c r="W2143" s="71"/>
    </row>
    <row r="2144" spans="20:23" x14ac:dyDescent="0.25">
      <c r="T2144" s="71"/>
      <c r="U2144" s="71"/>
      <c r="V2144" s="71"/>
      <c r="W2144" s="71"/>
    </row>
    <row r="2145" spans="20:23" x14ac:dyDescent="0.25">
      <c r="T2145" s="71"/>
      <c r="U2145" s="71"/>
      <c r="V2145" s="71"/>
      <c r="W2145" s="71"/>
    </row>
    <row r="2146" spans="20:23" x14ac:dyDescent="0.25">
      <c r="T2146" s="71"/>
      <c r="U2146" s="71"/>
      <c r="V2146" s="71"/>
      <c r="W2146" s="71"/>
    </row>
    <row r="2147" spans="20:23" x14ac:dyDescent="0.25">
      <c r="T2147" s="71"/>
      <c r="U2147" s="71"/>
      <c r="V2147" s="71"/>
      <c r="W2147" s="71"/>
    </row>
    <row r="2148" spans="20:23" x14ac:dyDescent="0.25">
      <c r="T2148" s="71"/>
      <c r="U2148" s="71"/>
      <c r="V2148" s="71"/>
      <c r="W2148" s="71"/>
    </row>
    <row r="2149" spans="20:23" x14ac:dyDescent="0.25">
      <c r="T2149" s="71"/>
      <c r="U2149" s="71"/>
      <c r="V2149" s="71"/>
      <c r="W2149" s="71"/>
    </row>
    <row r="2150" spans="20:23" x14ac:dyDescent="0.25">
      <c r="T2150" s="71"/>
      <c r="U2150" s="71"/>
      <c r="V2150" s="71"/>
      <c r="W2150" s="71"/>
    </row>
    <row r="2151" spans="20:23" x14ac:dyDescent="0.25">
      <c r="T2151" s="71"/>
      <c r="U2151" s="71"/>
      <c r="V2151" s="71"/>
      <c r="W2151" s="71"/>
    </row>
    <row r="2152" spans="20:23" x14ac:dyDescent="0.25">
      <c r="T2152" s="71"/>
      <c r="U2152" s="71"/>
      <c r="V2152" s="71"/>
      <c r="W2152" s="71"/>
    </row>
    <row r="2153" spans="20:23" x14ac:dyDescent="0.25">
      <c r="T2153" s="71"/>
      <c r="U2153" s="71"/>
      <c r="V2153" s="71"/>
      <c r="W2153" s="71"/>
    </row>
    <row r="2154" spans="20:23" x14ac:dyDescent="0.25">
      <c r="T2154" s="71"/>
      <c r="U2154" s="71"/>
      <c r="V2154" s="71"/>
      <c r="W2154" s="71"/>
    </row>
    <row r="2155" spans="20:23" x14ac:dyDescent="0.25">
      <c r="T2155" s="71"/>
      <c r="U2155" s="71"/>
      <c r="V2155" s="71"/>
      <c r="W2155" s="71"/>
    </row>
    <row r="2156" spans="20:23" x14ac:dyDescent="0.25">
      <c r="T2156" s="71"/>
      <c r="U2156" s="71"/>
      <c r="V2156" s="71"/>
      <c r="W2156" s="71"/>
    </row>
    <row r="2157" spans="20:23" x14ac:dyDescent="0.25">
      <c r="T2157" s="71"/>
      <c r="U2157" s="71"/>
      <c r="V2157" s="71"/>
      <c r="W2157" s="71"/>
    </row>
    <row r="2158" spans="20:23" x14ac:dyDescent="0.25">
      <c r="T2158" s="71"/>
      <c r="U2158" s="71"/>
      <c r="V2158" s="71"/>
      <c r="W2158" s="71"/>
    </row>
    <row r="2159" spans="20:23" x14ac:dyDescent="0.25">
      <c r="T2159" s="71"/>
      <c r="U2159" s="71"/>
      <c r="V2159" s="71"/>
      <c r="W2159" s="71"/>
    </row>
    <row r="2160" spans="20:23" x14ac:dyDescent="0.25">
      <c r="T2160" s="71"/>
      <c r="U2160" s="71"/>
      <c r="V2160" s="71"/>
      <c r="W2160" s="71"/>
    </row>
    <row r="2161" spans="20:23" x14ac:dyDescent="0.25">
      <c r="T2161" s="71"/>
      <c r="U2161" s="71"/>
      <c r="V2161" s="71"/>
      <c r="W2161" s="71"/>
    </row>
    <row r="2162" spans="20:23" x14ac:dyDescent="0.25">
      <c r="T2162" s="71"/>
      <c r="U2162" s="71"/>
      <c r="V2162" s="71"/>
      <c r="W2162" s="71"/>
    </row>
    <row r="2163" spans="20:23" x14ac:dyDescent="0.25">
      <c r="T2163" s="71"/>
      <c r="U2163" s="71"/>
      <c r="V2163" s="71"/>
      <c r="W2163" s="71"/>
    </row>
    <row r="2164" spans="20:23" x14ac:dyDescent="0.25">
      <c r="T2164" s="71"/>
      <c r="U2164" s="71"/>
      <c r="V2164" s="71"/>
      <c r="W2164" s="71"/>
    </row>
    <row r="2165" spans="20:23" x14ac:dyDescent="0.25">
      <c r="T2165" s="71"/>
      <c r="U2165" s="71"/>
      <c r="V2165" s="71"/>
      <c r="W2165" s="71"/>
    </row>
    <row r="2166" spans="20:23" x14ac:dyDescent="0.25">
      <c r="T2166" s="71"/>
      <c r="U2166" s="71"/>
      <c r="V2166" s="71"/>
      <c r="W2166" s="71"/>
    </row>
    <row r="2167" spans="20:23" x14ac:dyDescent="0.25">
      <c r="T2167" s="71"/>
      <c r="U2167" s="71"/>
      <c r="V2167" s="71"/>
      <c r="W2167" s="71"/>
    </row>
    <row r="2168" spans="20:23" x14ac:dyDescent="0.25">
      <c r="T2168" s="71"/>
      <c r="U2168" s="71"/>
      <c r="V2168" s="71"/>
      <c r="W2168" s="71"/>
    </row>
    <row r="2169" spans="20:23" x14ac:dyDescent="0.25">
      <c r="T2169" s="71"/>
      <c r="U2169" s="71"/>
      <c r="V2169" s="71"/>
      <c r="W2169" s="71"/>
    </row>
    <row r="2170" spans="20:23" x14ac:dyDescent="0.25">
      <c r="T2170" s="71"/>
      <c r="U2170" s="71"/>
      <c r="V2170" s="71"/>
      <c r="W2170" s="71"/>
    </row>
    <row r="2171" spans="20:23" x14ac:dyDescent="0.25">
      <c r="T2171" s="71"/>
      <c r="U2171" s="71"/>
      <c r="V2171" s="71"/>
      <c r="W2171" s="71"/>
    </row>
    <row r="2172" spans="20:23" x14ac:dyDescent="0.25">
      <c r="T2172" s="71"/>
      <c r="U2172" s="71"/>
      <c r="V2172" s="71"/>
      <c r="W2172" s="71"/>
    </row>
    <row r="2173" spans="20:23" x14ac:dyDescent="0.25">
      <c r="T2173" s="71"/>
      <c r="U2173" s="71"/>
      <c r="V2173" s="71"/>
      <c r="W2173" s="71"/>
    </row>
    <row r="2174" spans="20:23" x14ac:dyDescent="0.25">
      <c r="T2174" s="71"/>
      <c r="U2174" s="71"/>
      <c r="V2174" s="71"/>
      <c r="W2174" s="71"/>
    </row>
    <row r="2175" spans="20:23" x14ac:dyDescent="0.25">
      <c r="T2175" s="71"/>
      <c r="U2175" s="71"/>
      <c r="V2175" s="71"/>
      <c r="W2175" s="71"/>
    </row>
    <row r="2176" spans="20:23" x14ac:dyDescent="0.25">
      <c r="T2176" s="71"/>
      <c r="U2176" s="71"/>
      <c r="V2176" s="71"/>
      <c r="W2176" s="71"/>
    </row>
    <row r="2177" spans="20:23" x14ac:dyDescent="0.25">
      <c r="T2177" s="71"/>
      <c r="U2177" s="71"/>
      <c r="V2177" s="71"/>
      <c r="W2177" s="71"/>
    </row>
    <row r="2178" spans="20:23" x14ac:dyDescent="0.25">
      <c r="T2178" s="71"/>
      <c r="U2178" s="71"/>
      <c r="V2178" s="71"/>
      <c r="W2178" s="71"/>
    </row>
    <row r="2179" spans="20:23" x14ac:dyDescent="0.25">
      <c r="T2179" s="71"/>
      <c r="U2179" s="71"/>
      <c r="V2179" s="71"/>
      <c r="W2179" s="71"/>
    </row>
    <row r="2180" spans="20:23" x14ac:dyDescent="0.25">
      <c r="T2180" s="71"/>
      <c r="U2180" s="71"/>
      <c r="V2180" s="71"/>
      <c r="W2180" s="71"/>
    </row>
    <row r="2181" spans="20:23" x14ac:dyDescent="0.25">
      <c r="T2181" s="71"/>
      <c r="U2181" s="71"/>
      <c r="V2181" s="71"/>
      <c r="W2181" s="71"/>
    </row>
    <row r="2182" spans="20:23" x14ac:dyDescent="0.25">
      <c r="T2182" s="71"/>
      <c r="U2182" s="71"/>
      <c r="V2182" s="71"/>
      <c r="W2182" s="71"/>
    </row>
    <row r="2183" spans="20:23" x14ac:dyDescent="0.25">
      <c r="T2183" s="71"/>
      <c r="U2183" s="71"/>
      <c r="V2183" s="71"/>
      <c r="W2183" s="71"/>
    </row>
    <row r="2184" spans="20:23" x14ac:dyDescent="0.25">
      <c r="T2184" s="71"/>
      <c r="U2184" s="71"/>
      <c r="V2184" s="71"/>
      <c r="W2184" s="71"/>
    </row>
    <row r="2185" spans="20:23" x14ac:dyDescent="0.25">
      <c r="T2185" s="71"/>
      <c r="U2185" s="71"/>
      <c r="V2185" s="71"/>
      <c r="W2185" s="71"/>
    </row>
    <row r="2186" spans="20:23" x14ac:dyDescent="0.25">
      <c r="T2186" s="71"/>
      <c r="U2186" s="71"/>
      <c r="V2186" s="71"/>
      <c r="W2186" s="71"/>
    </row>
    <row r="2187" spans="20:23" x14ac:dyDescent="0.25">
      <c r="T2187" s="71"/>
      <c r="U2187" s="71"/>
      <c r="V2187" s="71"/>
      <c r="W2187" s="71"/>
    </row>
    <row r="2188" spans="20:23" x14ac:dyDescent="0.25">
      <c r="T2188" s="71"/>
      <c r="U2188" s="71"/>
      <c r="V2188" s="71"/>
      <c r="W2188" s="71"/>
    </row>
    <row r="2189" spans="20:23" x14ac:dyDescent="0.25">
      <c r="T2189" s="71"/>
      <c r="U2189" s="71"/>
      <c r="V2189" s="71"/>
      <c r="W2189" s="71"/>
    </row>
    <row r="2190" spans="20:23" x14ac:dyDescent="0.25">
      <c r="T2190" s="71"/>
      <c r="U2190" s="71"/>
      <c r="V2190" s="71"/>
      <c r="W2190" s="71"/>
    </row>
    <row r="2191" spans="20:23" x14ac:dyDescent="0.25">
      <c r="T2191" s="71"/>
      <c r="U2191" s="71"/>
      <c r="V2191" s="71"/>
      <c r="W2191" s="71"/>
    </row>
    <row r="2192" spans="20:23" x14ac:dyDescent="0.25">
      <c r="T2192" s="71"/>
      <c r="U2192" s="71"/>
      <c r="V2192" s="71"/>
      <c r="W2192" s="71"/>
    </row>
    <row r="2193" spans="20:23" x14ac:dyDescent="0.25">
      <c r="T2193" s="71"/>
      <c r="U2193" s="71"/>
      <c r="V2193" s="71"/>
      <c r="W2193" s="71"/>
    </row>
    <row r="2194" spans="20:23" x14ac:dyDescent="0.25">
      <c r="T2194" s="71"/>
      <c r="U2194" s="71"/>
      <c r="V2194" s="71"/>
      <c r="W2194" s="71"/>
    </row>
    <row r="2195" spans="20:23" x14ac:dyDescent="0.25">
      <c r="T2195" s="71"/>
      <c r="U2195" s="71"/>
      <c r="V2195" s="71"/>
      <c r="W2195" s="71"/>
    </row>
    <row r="2196" spans="20:23" x14ac:dyDescent="0.25">
      <c r="T2196" s="71"/>
      <c r="U2196" s="71"/>
      <c r="V2196" s="71"/>
      <c r="W2196" s="71"/>
    </row>
    <row r="2197" spans="20:23" x14ac:dyDescent="0.25">
      <c r="T2197" s="71"/>
      <c r="U2197" s="71"/>
      <c r="V2197" s="71"/>
      <c r="W2197" s="71"/>
    </row>
    <row r="2198" spans="20:23" x14ac:dyDescent="0.25">
      <c r="T2198" s="71"/>
      <c r="U2198" s="71"/>
      <c r="V2198" s="71"/>
      <c r="W2198" s="71"/>
    </row>
    <row r="2199" spans="20:23" x14ac:dyDescent="0.25">
      <c r="T2199" s="71"/>
      <c r="U2199" s="71"/>
      <c r="V2199" s="71"/>
      <c r="W2199" s="71"/>
    </row>
    <row r="2200" spans="20:23" x14ac:dyDescent="0.25">
      <c r="T2200" s="71"/>
      <c r="U2200" s="71"/>
      <c r="V2200" s="71"/>
      <c r="W2200" s="71"/>
    </row>
    <row r="2201" spans="20:23" x14ac:dyDescent="0.25">
      <c r="T2201" s="71"/>
      <c r="U2201" s="71"/>
      <c r="V2201" s="71"/>
      <c r="W2201" s="71"/>
    </row>
    <row r="2202" spans="20:23" x14ac:dyDescent="0.25">
      <c r="T2202" s="71"/>
      <c r="U2202" s="71"/>
      <c r="V2202" s="71"/>
      <c r="W2202" s="71"/>
    </row>
    <row r="2203" spans="20:23" x14ac:dyDescent="0.25">
      <c r="T2203" s="71"/>
      <c r="U2203" s="71"/>
      <c r="V2203" s="71"/>
      <c r="W2203" s="71"/>
    </row>
    <row r="2204" spans="20:23" x14ac:dyDescent="0.25">
      <c r="T2204" s="71"/>
      <c r="U2204" s="71"/>
      <c r="V2204" s="71"/>
      <c r="W2204" s="71"/>
    </row>
    <row r="2205" spans="20:23" x14ac:dyDescent="0.25">
      <c r="T2205" s="71"/>
      <c r="U2205" s="71"/>
      <c r="V2205" s="71"/>
      <c r="W2205" s="71"/>
    </row>
    <row r="2206" spans="20:23" x14ac:dyDescent="0.25">
      <c r="T2206" s="71"/>
      <c r="U2206" s="71"/>
      <c r="V2206" s="71"/>
      <c r="W2206" s="71"/>
    </row>
    <row r="2207" spans="20:23" x14ac:dyDescent="0.25">
      <c r="T2207" s="71"/>
      <c r="U2207" s="71"/>
      <c r="V2207" s="71"/>
      <c r="W2207" s="71"/>
    </row>
    <row r="2208" spans="20:23" x14ac:dyDescent="0.25">
      <c r="T2208" s="71"/>
      <c r="U2208" s="71"/>
      <c r="V2208" s="71"/>
      <c r="W2208" s="71"/>
    </row>
    <row r="2209" spans="20:23" x14ac:dyDescent="0.25">
      <c r="T2209" s="71"/>
      <c r="U2209" s="71"/>
      <c r="V2209" s="71"/>
      <c r="W2209" s="71"/>
    </row>
    <row r="2210" spans="20:23" x14ac:dyDescent="0.25">
      <c r="T2210" s="71"/>
      <c r="U2210" s="71"/>
      <c r="V2210" s="71"/>
      <c r="W2210" s="71"/>
    </row>
    <row r="2211" spans="20:23" x14ac:dyDescent="0.25">
      <c r="T2211" s="71"/>
      <c r="U2211" s="71"/>
      <c r="V2211" s="71"/>
      <c r="W2211" s="71"/>
    </row>
    <row r="2212" spans="20:23" x14ac:dyDescent="0.25">
      <c r="T2212" s="71"/>
      <c r="U2212" s="71"/>
      <c r="V2212" s="71"/>
      <c r="W2212" s="71"/>
    </row>
    <row r="2213" spans="20:23" x14ac:dyDescent="0.25">
      <c r="T2213" s="71"/>
      <c r="U2213" s="71"/>
      <c r="V2213" s="71"/>
      <c r="W2213" s="71"/>
    </row>
    <row r="2214" spans="20:23" x14ac:dyDescent="0.25">
      <c r="T2214" s="71"/>
      <c r="U2214" s="71"/>
      <c r="V2214" s="71"/>
      <c r="W2214" s="71"/>
    </row>
    <row r="2215" spans="20:23" x14ac:dyDescent="0.25">
      <c r="T2215" s="71"/>
      <c r="U2215" s="71"/>
      <c r="V2215" s="71"/>
      <c r="W2215" s="71"/>
    </row>
    <row r="2216" spans="20:23" x14ac:dyDescent="0.25">
      <c r="T2216" s="71"/>
      <c r="U2216" s="71"/>
      <c r="V2216" s="71"/>
      <c r="W2216" s="71"/>
    </row>
    <row r="2217" spans="20:23" x14ac:dyDescent="0.25">
      <c r="T2217" s="71"/>
      <c r="U2217" s="71"/>
      <c r="V2217" s="71"/>
      <c r="W2217" s="71"/>
    </row>
    <row r="2218" spans="20:23" x14ac:dyDescent="0.25">
      <c r="T2218" s="71"/>
      <c r="U2218" s="71"/>
      <c r="V2218" s="71"/>
      <c r="W2218" s="71"/>
    </row>
    <row r="2219" spans="20:23" x14ac:dyDescent="0.25">
      <c r="T2219" s="71"/>
      <c r="U2219" s="71"/>
      <c r="V2219" s="71"/>
      <c r="W2219" s="71"/>
    </row>
    <row r="2220" spans="20:23" x14ac:dyDescent="0.25">
      <c r="T2220" s="71"/>
      <c r="U2220" s="71"/>
      <c r="V2220" s="71"/>
      <c r="W2220" s="71"/>
    </row>
    <row r="2221" spans="20:23" x14ac:dyDescent="0.25">
      <c r="T2221" s="71"/>
      <c r="U2221" s="71"/>
      <c r="V2221" s="71"/>
      <c r="W2221" s="71"/>
    </row>
    <row r="2222" spans="20:23" x14ac:dyDescent="0.25">
      <c r="T2222" s="71"/>
      <c r="U2222" s="71"/>
      <c r="V2222" s="71"/>
      <c r="W2222" s="71"/>
    </row>
    <row r="2223" spans="20:23" x14ac:dyDescent="0.25">
      <c r="T2223" s="71"/>
      <c r="U2223" s="71"/>
      <c r="V2223" s="71"/>
      <c r="W2223" s="71"/>
    </row>
    <row r="2224" spans="20:23" x14ac:dyDescent="0.25">
      <c r="T2224" s="71"/>
      <c r="U2224" s="71"/>
      <c r="V2224" s="71"/>
      <c r="W2224" s="71"/>
    </row>
    <row r="2225" spans="20:23" x14ac:dyDescent="0.25">
      <c r="T2225" s="71"/>
      <c r="U2225" s="71"/>
      <c r="V2225" s="71"/>
      <c r="W2225" s="71"/>
    </row>
    <row r="2226" spans="20:23" x14ac:dyDescent="0.25">
      <c r="T2226" s="71"/>
      <c r="U2226" s="71"/>
      <c r="V2226" s="71"/>
      <c r="W2226" s="71"/>
    </row>
    <row r="2227" spans="20:23" x14ac:dyDescent="0.25">
      <c r="T2227" s="71"/>
      <c r="U2227" s="71"/>
      <c r="V2227" s="71"/>
      <c r="W2227" s="71"/>
    </row>
    <row r="2228" spans="20:23" x14ac:dyDescent="0.25">
      <c r="T2228" s="71"/>
      <c r="U2228" s="71"/>
      <c r="V2228" s="71"/>
      <c r="W2228" s="71"/>
    </row>
    <row r="2229" spans="20:23" x14ac:dyDescent="0.25">
      <c r="T2229" s="71"/>
      <c r="U2229" s="71"/>
      <c r="V2229" s="71"/>
      <c r="W2229" s="71"/>
    </row>
    <row r="2230" spans="20:23" x14ac:dyDescent="0.25">
      <c r="T2230" s="71"/>
      <c r="U2230" s="71"/>
      <c r="V2230" s="71"/>
      <c r="W2230" s="71"/>
    </row>
    <row r="2231" spans="20:23" x14ac:dyDescent="0.25">
      <c r="T2231" s="71"/>
      <c r="U2231" s="71"/>
      <c r="V2231" s="71"/>
      <c r="W2231" s="71"/>
    </row>
    <row r="2232" spans="20:23" x14ac:dyDescent="0.25">
      <c r="T2232" s="71"/>
      <c r="U2232" s="71"/>
      <c r="V2232" s="71"/>
      <c r="W2232" s="71"/>
    </row>
    <row r="2233" spans="20:23" x14ac:dyDescent="0.25">
      <c r="T2233" s="71"/>
      <c r="U2233" s="71"/>
      <c r="V2233" s="71"/>
      <c r="W2233" s="71"/>
    </row>
    <row r="2234" spans="20:23" x14ac:dyDescent="0.25">
      <c r="T2234" s="71"/>
      <c r="U2234" s="71"/>
      <c r="V2234" s="71"/>
      <c r="W2234" s="71"/>
    </row>
    <row r="2235" spans="20:23" x14ac:dyDescent="0.25">
      <c r="T2235" s="71"/>
      <c r="U2235" s="71"/>
      <c r="V2235" s="71"/>
      <c r="W2235" s="71"/>
    </row>
    <row r="2236" spans="20:23" x14ac:dyDescent="0.25">
      <c r="T2236" s="71"/>
      <c r="U2236" s="71"/>
      <c r="V2236" s="71"/>
      <c r="W2236" s="71"/>
    </row>
    <row r="2237" spans="20:23" x14ac:dyDescent="0.25">
      <c r="T2237" s="71"/>
      <c r="U2237" s="71"/>
      <c r="V2237" s="71"/>
      <c r="W2237" s="71"/>
    </row>
    <row r="2238" spans="20:23" x14ac:dyDescent="0.25">
      <c r="T2238" s="71"/>
      <c r="U2238" s="71"/>
      <c r="V2238" s="71"/>
      <c r="W2238" s="71"/>
    </row>
    <row r="2239" spans="20:23" x14ac:dyDescent="0.25">
      <c r="T2239" s="71"/>
      <c r="U2239" s="71"/>
      <c r="V2239" s="71"/>
      <c r="W2239" s="71"/>
    </row>
    <row r="2240" spans="20:23" x14ac:dyDescent="0.25">
      <c r="T2240" s="71"/>
      <c r="U2240" s="71"/>
      <c r="V2240" s="71"/>
      <c r="W2240" s="71"/>
    </row>
    <row r="2241" spans="20:23" x14ac:dyDescent="0.25">
      <c r="T2241" s="71"/>
      <c r="U2241" s="71"/>
      <c r="V2241" s="71"/>
      <c r="W2241" s="71"/>
    </row>
    <row r="2242" spans="20:23" x14ac:dyDescent="0.25">
      <c r="T2242" s="71"/>
      <c r="U2242" s="71"/>
      <c r="V2242" s="71"/>
      <c r="W2242" s="71"/>
    </row>
    <row r="2243" spans="20:23" x14ac:dyDescent="0.25">
      <c r="T2243" s="71"/>
      <c r="U2243" s="71"/>
      <c r="V2243" s="71"/>
      <c r="W2243" s="71"/>
    </row>
    <row r="2244" spans="20:23" x14ac:dyDescent="0.25">
      <c r="T2244" s="71"/>
      <c r="U2244" s="71"/>
      <c r="V2244" s="71"/>
      <c r="W2244" s="71"/>
    </row>
    <row r="2245" spans="20:23" x14ac:dyDescent="0.25">
      <c r="T2245" s="71"/>
      <c r="U2245" s="71"/>
      <c r="V2245" s="71"/>
      <c r="W2245" s="71"/>
    </row>
    <row r="2246" spans="20:23" x14ac:dyDescent="0.25">
      <c r="T2246" s="71"/>
      <c r="U2246" s="71"/>
      <c r="V2246" s="71"/>
      <c r="W2246" s="71"/>
    </row>
    <row r="2247" spans="20:23" x14ac:dyDescent="0.25">
      <c r="T2247" s="71"/>
      <c r="U2247" s="71"/>
      <c r="V2247" s="71"/>
      <c r="W2247" s="71"/>
    </row>
    <row r="2248" spans="20:23" x14ac:dyDescent="0.25">
      <c r="T2248" s="71"/>
      <c r="U2248" s="71"/>
      <c r="V2248" s="71"/>
      <c r="W2248" s="71"/>
    </row>
    <row r="2249" spans="20:23" x14ac:dyDescent="0.25">
      <c r="T2249" s="71"/>
      <c r="U2249" s="71"/>
      <c r="V2249" s="71"/>
      <c r="W2249" s="71"/>
    </row>
    <row r="2250" spans="20:23" x14ac:dyDescent="0.25">
      <c r="T2250" s="71"/>
      <c r="U2250" s="71"/>
      <c r="V2250" s="71"/>
      <c r="W2250" s="71"/>
    </row>
    <row r="2251" spans="20:23" x14ac:dyDescent="0.25">
      <c r="T2251" s="71"/>
      <c r="U2251" s="71"/>
      <c r="V2251" s="71"/>
      <c r="W2251" s="71"/>
    </row>
    <row r="2252" spans="20:23" x14ac:dyDescent="0.25">
      <c r="T2252" s="71"/>
      <c r="U2252" s="71"/>
      <c r="V2252" s="71"/>
      <c r="W2252" s="71"/>
    </row>
    <row r="2253" spans="20:23" x14ac:dyDescent="0.25">
      <c r="T2253" s="71"/>
      <c r="U2253" s="71"/>
      <c r="V2253" s="71"/>
      <c r="W2253" s="71"/>
    </row>
    <row r="2254" spans="20:23" x14ac:dyDescent="0.25">
      <c r="T2254" s="71"/>
      <c r="U2254" s="71"/>
      <c r="V2254" s="71"/>
      <c r="W2254" s="71"/>
    </row>
    <row r="2255" spans="20:23" x14ac:dyDescent="0.25">
      <c r="T2255" s="71"/>
      <c r="U2255" s="71"/>
      <c r="V2255" s="71"/>
      <c r="W2255" s="71"/>
    </row>
    <row r="2256" spans="20:23" x14ac:dyDescent="0.25">
      <c r="T2256" s="71"/>
      <c r="U2256" s="71"/>
      <c r="V2256" s="71"/>
      <c r="W2256" s="71"/>
    </row>
    <row r="2257" spans="20:23" x14ac:dyDescent="0.25">
      <c r="T2257" s="71"/>
      <c r="U2257" s="71"/>
      <c r="V2257" s="71"/>
      <c r="W2257" s="71"/>
    </row>
    <row r="2258" spans="20:23" x14ac:dyDescent="0.25">
      <c r="T2258" s="71"/>
      <c r="U2258" s="71"/>
      <c r="V2258" s="71"/>
      <c r="W2258" s="71"/>
    </row>
    <row r="2259" spans="20:23" x14ac:dyDescent="0.25">
      <c r="T2259" s="71"/>
      <c r="U2259" s="71"/>
      <c r="V2259" s="71"/>
      <c r="W2259" s="71"/>
    </row>
    <row r="2260" spans="20:23" x14ac:dyDescent="0.25">
      <c r="T2260" s="71"/>
      <c r="U2260" s="71"/>
      <c r="V2260" s="71"/>
      <c r="W2260" s="71"/>
    </row>
    <row r="2261" spans="20:23" x14ac:dyDescent="0.25">
      <c r="T2261" s="71"/>
      <c r="U2261" s="71"/>
      <c r="V2261" s="71"/>
      <c r="W2261" s="71"/>
    </row>
    <row r="2262" spans="20:23" x14ac:dyDescent="0.25">
      <c r="T2262" s="71"/>
      <c r="U2262" s="71"/>
      <c r="V2262" s="71"/>
      <c r="W2262" s="71"/>
    </row>
    <row r="2263" spans="20:23" x14ac:dyDescent="0.25">
      <c r="T2263" s="71"/>
      <c r="U2263" s="71"/>
      <c r="V2263" s="71"/>
      <c r="W2263" s="71"/>
    </row>
    <row r="2264" spans="20:23" x14ac:dyDescent="0.25">
      <c r="T2264" s="71"/>
      <c r="U2264" s="71"/>
      <c r="V2264" s="71"/>
      <c r="W2264" s="71"/>
    </row>
    <row r="2265" spans="20:23" x14ac:dyDescent="0.25">
      <c r="T2265" s="71"/>
      <c r="U2265" s="71"/>
      <c r="V2265" s="71"/>
      <c r="W2265" s="71"/>
    </row>
    <row r="2266" spans="20:23" x14ac:dyDescent="0.25">
      <c r="T2266" s="71"/>
      <c r="U2266" s="71"/>
      <c r="V2266" s="71"/>
      <c r="W2266" s="71"/>
    </row>
    <row r="2267" spans="20:23" x14ac:dyDescent="0.25">
      <c r="T2267" s="71"/>
      <c r="U2267" s="71"/>
      <c r="V2267" s="71"/>
      <c r="W2267" s="71"/>
    </row>
    <row r="2268" spans="20:23" x14ac:dyDescent="0.25">
      <c r="T2268" s="71"/>
      <c r="U2268" s="71"/>
      <c r="V2268" s="71"/>
      <c r="W2268" s="71"/>
    </row>
    <row r="2269" spans="20:23" x14ac:dyDescent="0.25">
      <c r="T2269" s="71"/>
      <c r="U2269" s="71"/>
      <c r="V2269" s="71"/>
      <c r="W2269" s="71"/>
    </row>
    <row r="2270" spans="20:23" x14ac:dyDescent="0.25">
      <c r="T2270" s="71"/>
      <c r="U2270" s="71"/>
      <c r="V2270" s="71"/>
      <c r="W2270" s="71"/>
    </row>
    <row r="2271" spans="20:23" x14ac:dyDescent="0.25">
      <c r="T2271" s="71"/>
      <c r="U2271" s="71"/>
      <c r="V2271" s="71"/>
      <c r="W2271" s="71"/>
    </row>
    <row r="2272" spans="20:23" x14ac:dyDescent="0.25">
      <c r="T2272" s="71"/>
      <c r="U2272" s="71"/>
      <c r="V2272" s="71"/>
      <c r="W2272" s="71"/>
    </row>
    <row r="2273" spans="20:23" x14ac:dyDescent="0.25">
      <c r="T2273" s="71"/>
      <c r="U2273" s="71"/>
      <c r="V2273" s="71"/>
      <c r="W2273" s="71"/>
    </row>
    <row r="2274" spans="20:23" x14ac:dyDescent="0.25">
      <c r="T2274" s="71"/>
      <c r="U2274" s="71"/>
      <c r="V2274" s="71"/>
      <c r="W2274" s="71"/>
    </row>
    <row r="2275" spans="20:23" x14ac:dyDescent="0.25">
      <c r="T2275" s="71"/>
      <c r="U2275" s="71"/>
      <c r="V2275" s="71"/>
      <c r="W2275" s="71"/>
    </row>
    <row r="2276" spans="20:23" x14ac:dyDescent="0.25">
      <c r="T2276" s="71"/>
      <c r="U2276" s="71"/>
      <c r="V2276" s="71"/>
      <c r="W2276" s="71"/>
    </row>
    <row r="2277" spans="20:23" x14ac:dyDescent="0.25">
      <c r="T2277" s="71"/>
      <c r="U2277" s="71"/>
      <c r="V2277" s="71"/>
      <c r="W2277" s="71"/>
    </row>
    <row r="2278" spans="20:23" x14ac:dyDescent="0.25">
      <c r="T2278" s="71"/>
      <c r="U2278" s="71"/>
      <c r="V2278" s="71"/>
      <c r="W2278" s="71"/>
    </row>
    <row r="2279" spans="20:23" x14ac:dyDescent="0.25">
      <c r="T2279" s="71"/>
      <c r="U2279" s="71"/>
      <c r="V2279" s="71"/>
      <c r="W2279" s="71"/>
    </row>
    <row r="2280" spans="20:23" x14ac:dyDescent="0.25">
      <c r="T2280" s="71"/>
      <c r="U2280" s="71"/>
      <c r="V2280" s="71"/>
      <c r="W2280" s="71"/>
    </row>
    <row r="2281" spans="20:23" x14ac:dyDescent="0.25">
      <c r="T2281" s="71"/>
      <c r="U2281" s="71"/>
      <c r="V2281" s="71"/>
      <c r="W2281" s="71"/>
    </row>
    <row r="2282" spans="20:23" x14ac:dyDescent="0.25">
      <c r="T2282" s="71"/>
      <c r="U2282" s="71"/>
      <c r="V2282" s="71"/>
      <c r="W2282" s="71"/>
    </row>
    <row r="2283" spans="20:23" x14ac:dyDescent="0.25">
      <c r="T2283" s="71"/>
      <c r="U2283" s="71"/>
      <c r="V2283" s="71"/>
      <c r="W2283" s="71"/>
    </row>
    <row r="2284" spans="20:23" x14ac:dyDescent="0.25">
      <c r="T2284" s="71"/>
      <c r="U2284" s="71"/>
      <c r="V2284" s="71"/>
      <c r="W2284" s="71"/>
    </row>
    <row r="2285" spans="20:23" x14ac:dyDescent="0.25">
      <c r="T2285" s="71"/>
      <c r="U2285" s="71"/>
      <c r="V2285" s="71"/>
      <c r="W2285" s="71"/>
    </row>
    <row r="2286" spans="20:23" x14ac:dyDescent="0.25">
      <c r="T2286" s="71"/>
      <c r="U2286" s="71"/>
      <c r="V2286" s="71"/>
      <c r="W2286" s="71"/>
    </row>
    <row r="2287" spans="20:23" x14ac:dyDescent="0.25">
      <c r="T2287" s="71"/>
      <c r="U2287" s="71"/>
      <c r="V2287" s="71"/>
      <c r="W2287" s="71"/>
    </row>
    <row r="2288" spans="20:23" x14ac:dyDescent="0.25">
      <c r="T2288" s="71"/>
      <c r="U2288" s="71"/>
      <c r="V2288" s="71"/>
      <c r="W2288" s="71"/>
    </row>
    <row r="2289" spans="20:23" x14ac:dyDescent="0.25">
      <c r="T2289" s="71"/>
      <c r="U2289" s="71"/>
      <c r="V2289" s="71"/>
      <c r="W2289" s="71"/>
    </row>
    <row r="2290" spans="20:23" x14ac:dyDescent="0.25">
      <c r="T2290" s="71"/>
      <c r="U2290" s="71"/>
      <c r="V2290" s="71"/>
      <c r="W2290" s="71"/>
    </row>
    <row r="2291" spans="20:23" x14ac:dyDescent="0.25">
      <c r="T2291" s="71"/>
      <c r="U2291" s="71"/>
      <c r="V2291" s="71"/>
      <c r="W2291" s="71"/>
    </row>
    <row r="2292" spans="20:23" x14ac:dyDescent="0.25">
      <c r="T2292" s="71"/>
      <c r="U2292" s="71"/>
      <c r="V2292" s="71"/>
      <c r="W2292" s="71"/>
    </row>
    <row r="2293" spans="20:23" x14ac:dyDescent="0.25">
      <c r="T2293" s="71"/>
      <c r="U2293" s="71"/>
      <c r="V2293" s="71"/>
      <c r="W2293" s="71"/>
    </row>
    <row r="2294" spans="20:23" x14ac:dyDescent="0.25">
      <c r="T2294" s="71"/>
      <c r="U2294" s="71"/>
      <c r="V2294" s="71"/>
      <c r="W2294" s="71"/>
    </row>
    <row r="2295" spans="20:23" x14ac:dyDescent="0.25">
      <c r="T2295" s="71"/>
      <c r="U2295" s="71"/>
      <c r="V2295" s="71"/>
      <c r="W2295" s="71"/>
    </row>
    <row r="2296" spans="20:23" x14ac:dyDescent="0.25">
      <c r="T2296" s="71"/>
      <c r="U2296" s="71"/>
      <c r="V2296" s="71"/>
      <c r="W2296" s="71"/>
    </row>
    <row r="2297" spans="20:23" x14ac:dyDescent="0.25">
      <c r="T2297" s="71"/>
      <c r="U2297" s="71"/>
      <c r="V2297" s="71"/>
      <c r="W2297" s="71"/>
    </row>
    <row r="2298" spans="20:23" x14ac:dyDescent="0.25">
      <c r="T2298" s="71"/>
      <c r="U2298" s="71"/>
      <c r="V2298" s="71"/>
      <c r="W2298" s="71"/>
    </row>
    <row r="2299" spans="20:23" x14ac:dyDescent="0.25">
      <c r="T2299" s="71"/>
      <c r="U2299" s="71"/>
      <c r="V2299" s="71"/>
      <c r="W2299" s="71"/>
    </row>
    <row r="2300" spans="20:23" x14ac:dyDescent="0.25">
      <c r="T2300" s="71"/>
      <c r="U2300" s="71"/>
      <c r="V2300" s="71"/>
      <c r="W2300" s="71"/>
    </row>
    <row r="2301" spans="20:23" x14ac:dyDescent="0.25">
      <c r="T2301" s="71"/>
      <c r="U2301" s="71"/>
      <c r="V2301" s="71"/>
      <c r="W2301" s="71"/>
    </row>
    <row r="2302" spans="20:23" x14ac:dyDescent="0.25">
      <c r="T2302" s="71"/>
      <c r="U2302" s="71"/>
      <c r="V2302" s="71"/>
      <c r="W2302" s="71"/>
    </row>
    <row r="2303" spans="20:23" x14ac:dyDescent="0.25">
      <c r="T2303" s="71"/>
      <c r="U2303" s="71"/>
      <c r="V2303" s="71"/>
      <c r="W2303" s="71"/>
    </row>
    <row r="2304" spans="20:23" x14ac:dyDescent="0.25">
      <c r="T2304" s="71"/>
      <c r="U2304" s="71"/>
      <c r="V2304" s="71"/>
      <c r="W2304" s="71"/>
    </row>
    <row r="2305" spans="20:23" x14ac:dyDescent="0.25">
      <c r="T2305" s="71"/>
      <c r="U2305" s="71"/>
      <c r="V2305" s="71"/>
      <c r="W2305" s="71"/>
    </row>
    <row r="2306" spans="20:23" x14ac:dyDescent="0.25">
      <c r="T2306" s="71"/>
      <c r="U2306" s="71"/>
      <c r="V2306" s="71"/>
      <c r="W2306" s="71"/>
    </row>
    <row r="2307" spans="20:23" x14ac:dyDescent="0.25">
      <c r="T2307" s="71"/>
      <c r="U2307" s="71"/>
      <c r="V2307" s="71"/>
      <c r="W2307" s="71"/>
    </row>
    <row r="2308" spans="20:23" x14ac:dyDescent="0.25">
      <c r="T2308" s="71"/>
      <c r="U2308" s="71"/>
      <c r="V2308" s="71"/>
      <c r="W2308" s="71"/>
    </row>
    <row r="2309" spans="20:23" x14ac:dyDescent="0.25">
      <c r="T2309" s="71"/>
      <c r="U2309" s="71"/>
      <c r="V2309" s="71"/>
      <c r="W2309" s="71"/>
    </row>
    <row r="2310" spans="20:23" x14ac:dyDescent="0.25">
      <c r="T2310" s="71"/>
      <c r="U2310" s="71"/>
      <c r="V2310" s="71"/>
      <c r="W2310" s="71"/>
    </row>
    <row r="2311" spans="20:23" x14ac:dyDescent="0.25">
      <c r="T2311" s="71"/>
      <c r="U2311" s="71"/>
      <c r="V2311" s="71"/>
      <c r="W2311" s="71"/>
    </row>
    <row r="2312" spans="20:23" x14ac:dyDescent="0.25">
      <c r="T2312" s="71"/>
      <c r="U2312" s="71"/>
      <c r="V2312" s="71"/>
      <c r="W2312" s="71"/>
    </row>
    <row r="2313" spans="20:23" x14ac:dyDescent="0.25">
      <c r="T2313" s="71"/>
      <c r="U2313" s="71"/>
      <c r="V2313" s="71"/>
      <c r="W2313" s="71"/>
    </row>
    <row r="2314" spans="20:23" x14ac:dyDescent="0.25">
      <c r="T2314" s="71"/>
      <c r="U2314" s="71"/>
      <c r="V2314" s="71"/>
      <c r="W2314" s="71"/>
    </row>
    <row r="2315" spans="20:23" x14ac:dyDescent="0.25">
      <c r="T2315" s="71"/>
      <c r="U2315" s="71"/>
      <c r="V2315" s="71"/>
      <c r="W2315" s="71"/>
    </row>
    <row r="2316" spans="20:23" x14ac:dyDescent="0.25">
      <c r="T2316" s="71"/>
      <c r="U2316" s="71"/>
      <c r="V2316" s="71"/>
      <c r="W2316" s="71"/>
    </row>
    <row r="2317" spans="20:23" x14ac:dyDescent="0.25">
      <c r="T2317" s="71"/>
      <c r="U2317" s="71"/>
      <c r="V2317" s="71"/>
      <c r="W2317" s="71"/>
    </row>
    <row r="2318" spans="20:23" x14ac:dyDescent="0.25">
      <c r="T2318" s="71"/>
      <c r="U2318" s="71"/>
      <c r="V2318" s="71"/>
      <c r="W2318" s="71"/>
    </row>
    <row r="2319" spans="20:23" x14ac:dyDescent="0.25">
      <c r="T2319" s="71"/>
      <c r="U2319" s="71"/>
      <c r="V2319" s="71"/>
      <c r="W2319" s="71"/>
    </row>
    <row r="2320" spans="20:23" x14ac:dyDescent="0.25">
      <c r="T2320" s="71"/>
      <c r="U2320" s="71"/>
      <c r="V2320" s="71"/>
      <c r="W2320" s="71"/>
    </row>
    <row r="2321" spans="20:23" x14ac:dyDescent="0.25">
      <c r="T2321" s="71"/>
      <c r="U2321" s="71"/>
      <c r="V2321" s="71"/>
      <c r="W2321" s="71"/>
    </row>
    <row r="2322" spans="20:23" x14ac:dyDescent="0.25">
      <c r="T2322" s="71"/>
      <c r="U2322" s="71"/>
      <c r="V2322" s="71"/>
      <c r="W2322" s="71"/>
    </row>
    <row r="2323" spans="20:23" x14ac:dyDescent="0.25">
      <c r="T2323" s="71"/>
      <c r="U2323" s="71"/>
      <c r="V2323" s="71"/>
      <c r="W2323" s="71"/>
    </row>
    <row r="2324" spans="20:23" x14ac:dyDescent="0.25">
      <c r="T2324" s="71"/>
      <c r="U2324" s="71"/>
      <c r="V2324" s="71"/>
      <c r="W2324" s="71"/>
    </row>
    <row r="2325" spans="20:23" x14ac:dyDescent="0.25">
      <c r="T2325" s="71"/>
      <c r="U2325" s="71"/>
      <c r="V2325" s="71"/>
      <c r="W2325" s="71"/>
    </row>
    <row r="2326" spans="20:23" x14ac:dyDescent="0.25">
      <c r="T2326" s="71"/>
      <c r="U2326" s="71"/>
      <c r="V2326" s="71"/>
      <c r="W2326" s="71"/>
    </row>
    <row r="2327" spans="20:23" x14ac:dyDescent="0.25">
      <c r="T2327" s="71"/>
      <c r="U2327" s="71"/>
      <c r="V2327" s="71"/>
      <c r="W2327" s="71"/>
    </row>
    <row r="2328" spans="20:23" x14ac:dyDescent="0.25">
      <c r="T2328" s="71"/>
      <c r="U2328" s="71"/>
      <c r="V2328" s="71"/>
      <c r="W2328" s="71"/>
    </row>
    <row r="2329" spans="20:23" x14ac:dyDescent="0.25">
      <c r="T2329" s="71"/>
      <c r="U2329" s="71"/>
      <c r="V2329" s="71"/>
      <c r="W2329" s="71"/>
    </row>
    <row r="2330" spans="20:23" x14ac:dyDescent="0.25">
      <c r="T2330" s="71"/>
      <c r="U2330" s="71"/>
      <c r="V2330" s="71"/>
      <c r="W2330" s="71"/>
    </row>
    <row r="2331" spans="20:23" x14ac:dyDescent="0.25">
      <c r="T2331" s="71"/>
      <c r="U2331" s="71"/>
      <c r="V2331" s="71"/>
      <c r="W2331" s="71"/>
    </row>
    <row r="2332" spans="20:23" x14ac:dyDescent="0.25">
      <c r="T2332" s="71"/>
      <c r="U2332" s="71"/>
      <c r="V2332" s="71"/>
      <c r="W2332" s="71"/>
    </row>
    <row r="2333" spans="20:23" x14ac:dyDescent="0.25">
      <c r="T2333" s="71"/>
      <c r="U2333" s="71"/>
      <c r="V2333" s="71"/>
      <c r="W2333" s="71"/>
    </row>
    <row r="2334" spans="20:23" x14ac:dyDescent="0.25">
      <c r="T2334" s="71"/>
      <c r="U2334" s="71"/>
      <c r="V2334" s="71"/>
      <c r="W2334" s="71"/>
    </row>
    <row r="2335" spans="20:23" x14ac:dyDescent="0.25">
      <c r="T2335" s="71"/>
      <c r="U2335" s="71"/>
      <c r="V2335" s="71"/>
      <c r="W2335" s="71"/>
    </row>
    <row r="2336" spans="20:23" x14ac:dyDescent="0.25">
      <c r="T2336" s="71"/>
      <c r="U2336" s="71"/>
      <c r="V2336" s="71"/>
      <c r="W2336" s="71"/>
    </row>
    <row r="2337" spans="20:23" x14ac:dyDescent="0.25">
      <c r="T2337" s="71"/>
      <c r="U2337" s="71"/>
      <c r="V2337" s="71"/>
      <c r="W2337" s="71"/>
    </row>
    <row r="2338" spans="20:23" x14ac:dyDescent="0.25">
      <c r="T2338" s="71"/>
      <c r="U2338" s="71"/>
      <c r="V2338" s="71"/>
      <c r="W2338" s="71"/>
    </row>
    <row r="2339" spans="20:23" x14ac:dyDescent="0.25">
      <c r="T2339" s="71"/>
      <c r="U2339" s="71"/>
      <c r="V2339" s="71"/>
      <c r="W2339" s="71"/>
    </row>
    <row r="2340" spans="20:23" x14ac:dyDescent="0.25">
      <c r="T2340" s="71"/>
      <c r="U2340" s="71"/>
      <c r="V2340" s="71"/>
      <c r="W2340" s="71"/>
    </row>
    <row r="2341" spans="20:23" x14ac:dyDescent="0.25">
      <c r="T2341" s="71"/>
      <c r="U2341" s="71"/>
      <c r="V2341" s="71"/>
      <c r="W2341" s="71"/>
    </row>
    <row r="2342" spans="20:23" x14ac:dyDescent="0.25">
      <c r="T2342" s="71"/>
      <c r="U2342" s="71"/>
      <c r="V2342" s="71"/>
      <c r="W2342" s="71"/>
    </row>
    <row r="2343" spans="20:23" x14ac:dyDescent="0.25">
      <c r="T2343" s="71"/>
      <c r="U2343" s="71"/>
      <c r="V2343" s="71"/>
      <c r="W2343" s="71"/>
    </row>
    <row r="2344" spans="20:23" x14ac:dyDescent="0.25">
      <c r="T2344" s="71"/>
      <c r="U2344" s="71"/>
      <c r="V2344" s="71"/>
      <c r="W2344" s="71"/>
    </row>
    <row r="2345" spans="20:23" x14ac:dyDescent="0.25">
      <c r="T2345" s="71"/>
      <c r="U2345" s="71"/>
      <c r="V2345" s="71"/>
      <c r="W2345" s="71"/>
    </row>
    <row r="2346" spans="20:23" x14ac:dyDescent="0.25">
      <c r="T2346" s="71"/>
      <c r="U2346" s="71"/>
      <c r="V2346" s="71"/>
      <c r="W2346" s="71"/>
    </row>
    <row r="2347" spans="20:23" x14ac:dyDescent="0.25">
      <c r="T2347" s="71"/>
      <c r="U2347" s="71"/>
      <c r="V2347" s="71"/>
      <c r="W2347" s="71"/>
    </row>
    <row r="2348" spans="20:23" x14ac:dyDescent="0.25">
      <c r="T2348" s="71"/>
      <c r="U2348" s="71"/>
      <c r="V2348" s="71"/>
      <c r="W2348" s="71"/>
    </row>
    <row r="2349" spans="20:23" x14ac:dyDescent="0.25">
      <c r="T2349" s="71"/>
      <c r="U2349" s="71"/>
      <c r="V2349" s="71"/>
      <c r="W2349" s="71"/>
    </row>
    <row r="2350" spans="20:23" x14ac:dyDescent="0.25">
      <c r="T2350" s="71"/>
      <c r="U2350" s="71"/>
      <c r="V2350" s="71"/>
      <c r="W2350" s="71"/>
    </row>
    <row r="2351" spans="20:23" x14ac:dyDescent="0.25">
      <c r="T2351" s="71"/>
      <c r="U2351" s="71"/>
      <c r="V2351" s="71"/>
      <c r="W2351" s="71"/>
    </row>
    <row r="2352" spans="20:23" x14ac:dyDescent="0.25">
      <c r="T2352" s="71"/>
      <c r="U2352" s="71"/>
      <c r="V2352" s="71"/>
      <c r="W2352" s="71"/>
    </row>
    <row r="2353" spans="20:23" x14ac:dyDescent="0.25">
      <c r="T2353" s="71"/>
      <c r="U2353" s="71"/>
      <c r="V2353" s="71"/>
      <c r="W2353" s="71"/>
    </row>
    <row r="2354" spans="20:23" x14ac:dyDescent="0.25">
      <c r="T2354" s="71"/>
      <c r="U2354" s="71"/>
      <c r="V2354" s="71"/>
      <c r="W2354" s="71"/>
    </row>
    <row r="2355" spans="20:23" x14ac:dyDescent="0.25">
      <c r="T2355" s="71"/>
      <c r="U2355" s="71"/>
      <c r="V2355" s="71"/>
      <c r="W2355" s="71"/>
    </row>
    <row r="2356" spans="20:23" x14ac:dyDescent="0.25">
      <c r="T2356" s="71"/>
      <c r="U2356" s="71"/>
      <c r="V2356" s="71"/>
      <c r="W2356" s="71"/>
    </row>
    <row r="2357" spans="20:23" x14ac:dyDescent="0.25">
      <c r="T2357" s="71"/>
      <c r="U2357" s="71"/>
      <c r="V2357" s="71"/>
      <c r="W2357" s="71"/>
    </row>
    <row r="2358" spans="20:23" x14ac:dyDescent="0.25">
      <c r="T2358" s="71"/>
      <c r="U2358" s="71"/>
      <c r="V2358" s="71"/>
      <c r="W2358" s="71"/>
    </row>
    <row r="2359" spans="20:23" x14ac:dyDescent="0.25">
      <c r="T2359" s="71"/>
      <c r="U2359" s="71"/>
      <c r="V2359" s="71"/>
      <c r="W2359" s="71"/>
    </row>
    <row r="2360" spans="20:23" x14ac:dyDescent="0.25">
      <c r="T2360" s="71"/>
      <c r="U2360" s="71"/>
      <c r="V2360" s="71"/>
      <c r="W2360" s="71"/>
    </row>
    <row r="2361" spans="20:23" x14ac:dyDescent="0.25">
      <c r="T2361" s="71"/>
      <c r="U2361" s="71"/>
      <c r="V2361" s="71"/>
      <c r="W2361" s="71"/>
    </row>
    <row r="2362" spans="20:23" x14ac:dyDescent="0.25">
      <c r="T2362" s="71"/>
      <c r="U2362" s="71"/>
      <c r="V2362" s="71"/>
      <c r="W2362" s="71"/>
    </row>
    <row r="2363" spans="20:23" x14ac:dyDescent="0.25">
      <c r="T2363" s="71"/>
      <c r="U2363" s="71"/>
      <c r="V2363" s="71"/>
      <c r="W2363" s="71"/>
    </row>
    <row r="2364" spans="20:23" x14ac:dyDescent="0.25">
      <c r="T2364" s="71"/>
      <c r="U2364" s="71"/>
      <c r="V2364" s="71"/>
      <c r="W2364" s="71"/>
    </row>
    <row r="2365" spans="20:23" x14ac:dyDescent="0.25">
      <c r="T2365" s="71"/>
      <c r="U2365" s="71"/>
      <c r="V2365" s="71"/>
      <c r="W2365" s="71"/>
    </row>
    <row r="2366" spans="20:23" x14ac:dyDescent="0.25">
      <c r="T2366" s="71"/>
      <c r="U2366" s="71"/>
      <c r="V2366" s="71"/>
      <c r="W2366" s="71"/>
    </row>
    <row r="2367" spans="20:23" x14ac:dyDescent="0.25">
      <c r="T2367" s="71"/>
      <c r="U2367" s="71"/>
      <c r="V2367" s="71"/>
      <c r="W2367" s="71"/>
    </row>
    <row r="2368" spans="20:23" x14ac:dyDescent="0.25">
      <c r="T2368" s="71"/>
      <c r="U2368" s="71"/>
      <c r="V2368" s="71"/>
      <c r="W2368" s="71"/>
    </row>
    <row r="2369" spans="20:23" x14ac:dyDescent="0.25">
      <c r="T2369" s="71"/>
      <c r="U2369" s="71"/>
      <c r="V2369" s="71"/>
      <c r="W2369" s="71"/>
    </row>
    <row r="2370" spans="20:23" x14ac:dyDescent="0.25">
      <c r="T2370" s="71"/>
      <c r="U2370" s="71"/>
      <c r="V2370" s="71"/>
      <c r="W2370" s="71"/>
    </row>
    <row r="2371" spans="20:23" x14ac:dyDescent="0.25">
      <c r="T2371" s="71"/>
      <c r="U2371" s="71"/>
      <c r="V2371" s="71"/>
      <c r="W2371" s="71"/>
    </row>
    <row r="2372" spans="20:23" x14ac:dyDescent="0.25">
      <c r="T2372" s="71"/>
      <c r="U2372" s="71"/>
      <c r="V2372" s="71"/>
      <c r="W2372" s="71"/>
    </row>
    <row r="2373" spans="20:23" x14ac:dyDescent="0.25">
      <c r="T2373" s="71"/>
      <c r="U2373" s="71"/>
      <c r="V2373" s="71"/>
      <c r="W2373" s="71"/>
    </row>
    <row r="2374" spans="20:23" x14ac:dyDescent="0.25">
      <c r="T2374" s="71"/>
      <c r="U2374" s="71"/>
      <c r="V2374" s="71"/>
      <c r="W2374" s="71"/>
    </row>
    <row r="2375" spans="20:23" x14ac:dyDescent="0.25">
      <c r="T2375" s="71"/>
      <c r="U2375" s="71"/>
      <c r="V2375" s="71"/>
      <c r="W2375" s="71"/>
    </row>
    <row r="2376" spans="20:23" x14ac:dyDescent="0.25">
      <c r="T2376" s="71"/>
      <c r="U2376" s="71"/>
      <c r="V2376" s="71"/>
      <c r="W2376" s="71"/>
    </row>
    <row r="2377" spans="20:23" x14ac:dyDescent="0.25">
      <c r="T2377" s="71"/>
      <c r="U2377" s="71"/>
      <c r="V2377" s="71"/>
      <c r="W2377" s="71"/>
    </row>
    <row r="2378" spans="20:23" x14ac:dyDescent="0.25">
      <c r="T2378" s="71"/>
      <c r="U2378" s="71"/>
      <c r="V2378" s="71"/>
      <c r="W2378" s="71"/>
    </row>
    <row r="2379" spans="20:23" x14ac:dyDescent="0.25">
      <c r="T2379" s="71"/>
      <c r="U2379" s="71"/>
      <c r="V2379" s="71"/>
      <c r="W2379" s="71"/>
    </row>
    <row r="2380" spans="20:23" x14ac:dyDescent="0.25">
      <c r="T2380" s="71"/>
      <c r="U2380" s="71"/>
      <c r="V2380" s="71"/>
      <c r="W2380" s="71"/>
    </row>
    <row r="2381" spans="20:23" x14ac:dyDescent="0.25">
      <c r="T2381" s="71"/>
      <c r="U2381" s="71"/>
      <c r="V2381" s="71"/>
      <c r="W2381" s="71"/>
    </row>
    <row r="2382" spans="20:23" x14ac:dyDescent="0.25">
      <c r="T2382" s="71"/>
      <c r="U2382" s="71"/>
      <c r="V2382" s="71"/>
      <c r="W2382" s="71"/>
    </row>
    <row r="2383" spans="20:23" x14ac:dyDescent="0.25">
      <c r="T2383" s="71"/>
      <c r="U2383" s="71"/>
      <c r="V2383" s="71"/>
      <c r="W2383" s="71"/>
    </row>
    <row r="2384" spans="20:23" x14ac:dyDescent="0.25">
      <c r="T2384" s="71"/>
      <c r="U2384" s="71"/>
      <c r="V2384" s="71"/>
      <c r="W2384" s="71"/>
    </row>
    <row r="2385" spans="20:23" x14ac:dyDescent="0.25">
      <c r="T2385" s="71"/>
      <c r="U2385" s="71"/>
      <c r="V2385" s="71"/>
      <c r="W2385" s="71"/>
    </row>
    <row r="2386" spans="20:23" x14ac:dyDescent="0.25">
      <c r="T2386" s="71"/>
      <c r="U2386" s="71"/>
      <c r="V2386" s="71"/>
      <c r="W2386" s="71"/>
    </row>
    <row r="2387" spans="20:23" x14ac:dyDescent="0.25">
      <c r="T2387" s="71"/>
      <c r="U2387" s="71"/>
      <c r="V2387" s="71"/>
      <c r="W2387" s="71"/>
    </row>
    <row r="2388" spans="20:23" x14ac:dyDescent="0.25">
      <c r="T2388" s="71"/>
      <c r="U2388" s="71"/>
      <c r="V2388" s="71"/>
      <c r="W2388" s="71"/>
    </row>
    <row r="2389" spans="20:23" x14ac:dyDescent="0.25">
      <c r="T2389" s="71"/>
      <c r="U2389" s="71"/>
      <c r="V2389" s="71"/>
      <c r="W2389" s="71"/>
    </row>
    <row r="2390" spans="20:23" x14ac:dyDescent="0.25">
      <c r="T2390" s="71"/>
      <c r="U2390" s="71"/>
      <c r="V2390" s="71"/>
      <c r="W2390" s="71"/>
    </row>
    <row r="2391" spans="20:23" x14ac:dyDescent="0.25">
      <c r="T2391" s="71"/>
      <c r="U2391" s="71"/>
      <c r="V2391" s="71"/>
      <c r="W2391" s="71"/>
    </row>
    <row r="2392" spans="20:23" x14ac:dyDescent="0.25">
      <c r="T2392" s="71"/>
      <c r="U2392" s="71"/>
      <c r="V2392" s="71"/>
      <c r="W2392" s="71"/>
    </row>
    <row r="2393" spans="20:23" x14ac:dyDescent="0.25">
      <c r="T2393" s="71"/>
      <c r="U2393" s="71"/>
      <c r="V2393" s="71"/>
      <c r="W2393" s="71"/>
    </row>
    <row r="2394" spans="20:23" x14ac:dyDescent="0.25">
      <c r="T2394" s="71"/>
      <c r="U2394" s="71"/>
      <c r="V2394" s="71"/>
      <c r="W2394" s="71"/>
    </row>
    <row r="2395" spans="20:23" x14ac:dyDescent="0.25">
      <c r="T2395" s="71"/>
      <c r="U2395" s="71"/>
      <c r="V2395" s="71"/>
      <c r="W2395" s="71"/>
    </row>
    <row r="2396" spans="20:23" x14ac:dyDescent="0.25">
      <c r="T2396" s="71"/>
      <c r="U2396" s="71"/>
      <c r="V2396" s="71"/>
      <c r="W2396" s="71"/>
    </row>
    <row r="2397" spans="20:23" x14ac:dyDescent="0.25">
      <c r="T2397" s="71"/>
      <c r="U2397" s="71"/>
      <c r="V2397" s="71"/>
      <c r="W2397" s="71"/>
    </row>
    <row r="2398" spans="20:23" x14ac:dyDescent="0.25">
      <c r="T2398" s="71"/>
      <c r="U2398" s="71"/>
      <c r="V2398" s="71"/>
      <c r="W2398" s="71"/>
    </row>
    <row r="2399" spans="20:23" x14ac:dyDescent="0.25">
      <c r="T2399" s="71"/>
      <c r="U2399" s="71"/>
      <c r="V2399" s="71"/>
      <c r="W2399" s="71"/>
    </row>
    <row r="2400" spans="20:23" x14ac:dyDescent="0.25">
      <c r="T2400" s="71"/>
      <c r="U2400" s="71"/>
      <c r="V2400" s="71"/>
      <c r="W2400" s="71"/>
    </row>
    <row r="2401" spans="20:23" x14ac:dyDescent="0.25">
      <c r="T2401" s="71"/>
      <c r="U2401" s="71"/>
      <c r="V2401" s="71"/>
      <c r="W2401" s="71"/>
    </row>
    <row r="2402" spans="20:23" x14ac:dyDescent="0.25">
      <c r="T2402" s="71"/>
      <c r="U2402" s="71"/>
      <c r="V2402" s="71"/>
      <c r="W2402" s="71"/>
    </row>
    <row r="2403" spans="20:23" x14ac:dyDescent="0.25">
      <c r="T2403" s="71"/>
      <c r="U2403" s="71"/>
      <c r="V2403" s="71"/>
      <c r="W2403" s="71"/>
    </row>
    <row r="2404" spans="20:23" x14ac:dyDescent="0.25">
      <c r="T2404" s="71"/>
      <c r="U2404" s="71"/>
      <c r="V2404" s="71"/>
      <c r="W2404" s="71"/>
    </row>
    <row r="2405" spans="20:23" x14ac:dyDescent="0.25">
      <c r="T2405" s="71"/>
      <c r="U2405" s="71"/>
      <c r="V2405" s="71"/>
      <c r="W2405" s="71"/>
    </row>
    <row r="2406" spans="20:23" x14ac:dyDescent="0.25">
      <c r="T2406" s="71"/>
      <c r="U2406" s="71"/>
      <c r="V2406" s="71"/>
      <c r="W2406" s="71"/>
    </row>
    <row r="2407" spans="20:23" x14ac:dyDescent="0.25">
      <c r="T2407" s="71"/>
      <c r="U2407" s="71"/>
      <c r="V2407" s="71"/>
      <c r="W2407" s="71"/>
    </row>
    <row r="2408" spans="20:23" x14ac:dyDescent="0.25">
      <c r="T2408" s="71"/>
      <c r="U2408" s="71"/>
      <c r="V2408" s="71"/>
      <c r="W2408" s="71"/>
    </row>
    <row r="2409" spans="20:23" x14ac:dyDescent="0.25">
      <c r="T2409" s="71"/>
      <c r="U2409" s="71"/>
      <c r="V2409" s="71"/>
      <c r="W2409" s="71"/>
    </row>
    <row r="2410" spans="20:23" x14ac:dyDescent="0.25">
      <c r="T2410" s="71"/>
      <c r="U2410" s="71"/>
      <c r="V2410" s="71"/>
      <c r="W2410" s="71"/>
    </row>
    <row r="2411" spans="20:23" x14ac:dyDescent="0.25">
      <c r="T2411" s="71"/>
      <c r="U2411" s="71"/>
      <c r="V2411" s="71"/>
      <c r="W2411" s="71"/>
    </row>
    <row r="2412" spans="20:23" x14ac:dyDescent="0.25">
      <c r="T2412" s="71"/>
      <c r="U2412" s="71"/>
      <c r="V2412" s="71"/>
      <c r="W2412" s="71"/>
    </row>
    <row r="2413" spans="20:23" x14ac:dyDescent="0.25">
      <c r="T2413" s="71"/>
      <c r="U2413" s="71"/>
      <c r="V2413" s="71"/>
      <c r="W2413" s="71"/>
    </row>
    <row r="2414" spans="20:23" x14ac:dyDescent="0.25">
      <c r="T2414" s="71"/>
      <c r="U2414" s="71"/>
      <c r="V2414" s="71"/>
      <c r="W2414" s="71"/>
    </row>
    <row r="2415" spans="20:23" x14ac:dyDescent="0.25">
      <c r="T2415" s="71"/>
      <c r="U2415" s="71"/>
      <c r="V2415" s="71"/>
      <c r="W2415" s="71"/>
    </row>
    <row r="2416" spans="20:23" x14ac:dyDescent="0.25">
      <c r="T2416" s="71"/>
      <c r="U2416" s="71"/>
      <c r="V2416" s="71"/>
      <c r="W2416" s="71"/>
    </row>
    <row r="2417" spans="20:23" x14ac:dyDescent="0.25">
      <c r="T2417" s="71"/>
      <c r="U2417" s="71"/>
      <c r="V2417" s="71"/>
      <c r="W2417" s="71"/>
    </row>
    <row r="2418" spans="20:23" x14ac:dyDescent="0.25">
      <c r="T2418" s="71"/>
      <c r="U2418" s="71"/>
      <c r="V2418" s="71"/>
      <c r="W2418" s="71"/>
    </row>
    <row r="2419" spans="20:23" x14ac:dyDescent="0.25">
      <c r="T2419" s="71"/>
      <c r="U2419" s="71"/>
      <c r="V2419" s="71"/>
      <c r="W2419" s="71"/>
    </row>
    <row r="2420" spans="20:23" x14ac:dyDescent="0.25">
      <c r="T2420" s="71"/>
      <c r="U2420" s="71"/>
      <c r="V2420" s="71"/>
      <c r="W2420" s="71"/>
    </row>
    <row r="2421" spans="20:23" x14ac:dyDescent="0.25">
      <c r="T2421" s="71"/>
      <c r="U2421" s="71"/>
      <c r="V2421" s="71"/>
      <c r="W2421" s="71"/>
    </row>
    <row r="2422" spans="20:23" x14ac:dyDescent="0.25">
      <c r="T2422" s="71"/>
      <c r="U2422" s="71"/>
      <c r="V2422" s="71"/>
      <c r="W2422" s="71"/>
    </row>
    <row r="2423" spans="20:23" x14ac:dyDescent="0.25">
      <c r="T2423" s="71"/>
      <c r="U2423" s="71"/>
      <c r="V2423" s="71"/>
      <c r="W2423" s="71"/>
    </row>
    <row r="2424" spans="20:23" x14ac:dyDescent="0.25">
      <c r="T2424" s="71"/>
      <c r="U2424" s="71"/>
      <c r="V2424" s="71"/>
      <c r="W2424" s="71"/>
    </row>
    <row r="2425" spans="20:23" x14ac:dyDescent="0.25">
      <c r="T2425" s="71"/>
      <c r="U2425" s="71"/>
      <c r="V2425" s="71"/>
      <c r="W2425" s="71"/>
    </row>
    <row r="2426" spans="20:23" x14ac:dyDescent="0.25">
      <c r="T2426" s="71"/>
      <c r="U2426" s="71"/>
      <c r="V2426" s="71"/>
      <c r="W2426" s="71"/>
    </row>
    <row r="2427" spans="20:23" x14ac:dyDescent="0.25">
      <c r="T2427" s="71"/>
      <c r="U2427" s="71"/>
      <c r="V2427" s="71"/>
      <c r="W2427" s="71"/>
    </row>
    <row r="2428" spans="20:23" x14ac:dyDescent="0.25">
      <c r="T2428" s="71"/>
      <c r="U2428" s="71"/>
      <c r="V2428" s="71"/>
      <c r="W2428" s="71"/>
    </row>
    <row r="2429" spans="20:23" x14ac:dyDescent="0.25">
      <c r="T2429" s="71"/>
      <c r="U2429" s="71"/>
      <c r="V2429" s="71"/>
      <c r="W2429" s="71"/>
    </row>
    <row r="2430" spans="20:23" x14ac:dyDescent="0.25">
      <c r="T2430" s="71"/>
      <c r="U2430" s="71"/>
      <c r="V2430" s="71"/>
      <c r="W2430" s="71"/>
    </row>
    <row r="2431" spans="20:23" x14ac:dyDescent="0.25">
      <c r="T2431" s="71"/>
      <c r="U2431" s="71"/>
      <c r="V2431" s="71"/>
      <c r="W2431" s="71"/>
    </row>
    <row r="2432" spans="20:23" x14ac:dyDescent="0.25">
      <c r="T2432" s="71"/>
      <c r="U2432" s="71"/>
      <c r="V2432" s="71"/>
      <c r="W2432" s="71"/>
    </row>
    <row r="2433" spans="20:23" x14ac:dyDescent="0.25">
      <c r="T2433" s="71"/>
      <c r="U2433" s="71"/>
      <c r="V2433" s="71"/>
      <c r="W2433" s="71"/>
    </row>
    <row r="2434" spans="20:23" x14ac:dyDescent="0.25">
      <c r="T2434" s="71"/>
      <c r="U2434" s="71"/>
      <c r="V2434" s="71"/>
      <c r="W2434" s="71"/>
    </row>
    <row r="2435" spans="20:23" x14ac:dyDescent="0.25">
      <c r="T2435" s="71"/>
      <c r="U2435" s="71"/>
      <c r="V2435" s="71"/>
      <c r="W2435" s="71"/>
    </row>
    <row r="2436" spans="20:23" x14ac:dyDescent="0.25">
      <c r="T2436" s="71"/>
      <c r="U2436" s="71"/>
      <c r="V2436" s="71"/>
      <c r="W2436" s="71"/>
    </row>
    <row r="2437" spans="20:23" x14ac:dyDescent="0.25">
      <c r="T2437" s="71"/>
      <c r="U2437" s="71"/>
      <c r="V2437" s="71"/>
      <c r="W2437" s="71"/>
    </row>
    <row r="2438" spans="20:23" x14ac:dyDescent="0.25">
      <c r="T2438" s="71"/>
      <c r="U2438" s="71"/>
      <c r="V2438" s="71"/>
      <c r="W2438" s="71"/>
    </row>
    <row r="2439" spans="20:23" x14ac:dyDescent="0.25">
      <c r="T2439" s="71"/>
      <c r="U2439" s="71"/>
      <c r="V2439" s="71"/>
      <c r="W2439" s="71"/>
    </row>
    <row r="2440" spans="20:23" x14ac:dyDescent="0.25">
      <c r="T2440" s="71"/>
      <c r="U2440" s="71"/>
      <c r="V2440" s="71"/>
      <c r="W2440" s="71"/>
    </row>
    <row r="2441" spans="20:23" x14ac:dyDescent="0.25">
      <c r="T2441" s="71"/>
      <c r="U2441" s="71"/>
      <c r="V2441" s="71"/>
      <c r="W2441" s="71"/>
    </row>
    <row r="2442" spans="20:23" x14ac:dyDescent="0.25">
      <c r="T2442" s="71"/>
      <c r="U2442" s="71"/>
      <c r="V2442" s="71"/>
      <c r="W2442" s="71"/>
    </row>
    <row r="2443" spans="20:23" x14ac:dyDescent="0.25">
      <c r="T2443" s="71"/>
      <c r="U2443" s="71"/>
      <c r="V2443" s="71"/>
      <c r="W2443" s="71"/>
    </row>
    <row r="2444" spans="20:23" x14ac:dyDescent="0.25">
      <c r="T2444" s="71"/>
      <c r="U2444" s="71"/>
      <c r="V2444" s="71"/>
      <c r="W2444" s="71"/>
    </row>
    <row r="2445" spans="20:23" x14ac:dyDescent="0.25">
      <c r="T2445" s="71"/>
      <c r="U2445" s="71"/>
      <c r="V2445" s="71"/>
      <c r="W2445" s="71"/>
    </row>
    <row r="2446" spans="20:23" x14ac:dyDescent="0.25">
      <c r="T2446" s="71"/>
      <c r="U2446" s="71"/>
      <c r="V2446" s="71"/>
      <c r="W2446" s="71"/>
    </row>
    <row r="2447" spans="20:23" x14ac:dyDescent="0.25">
      <c r="T2447" s="71"/>
      <c r="U2447" s="71"/>
      <c r="V2447" s="71"/>
      <c r="W2447" s="71"/>
    </row>
    <row r="2448" spans="20:23" x14ac:dyDescent="0.25">
      <c r="T2448" s="71"/>
      <c r="U2448" s="71"/>
      <c r="V2448" s="71"/>
      <c r="W2448" s="71"/>
    </row>
    <row r="2449" spans="20:23" x14ac:dyDescent="0.25">
      <c r="T2449" s="71"/>
      <c r="U2449" s="71"/>
      <c r="V2449" s="71"/>
      <c r="W2449" s="71"/>
    </row>
    <row r="2450" spans="20:23" x14ac:dyDescent="0.25">
      <c r="T2450" s="71"/>
      <c r="U2450" s="71"/>
      <c r="V2450" s="71"/>
      <c r="W2450" s="71"/>
    </row>
    <row r="2451" spans="20:23" x14ac:dyDescent="0.25">
      <c r="T2451" s="71"/>
      <c r="U2451" s="71"/>
      <c r="V2451" s="71"/>
      <c r="W2451" s="71"/>
    </row>
    <row r="2452" spans="20:23" x14ac:dyDescent="0.25">
      <c r="T2452" s="71"/>
      <c r="U2452" s="71"/>
      <c r="V2452" s="71"/>
      <c r="W2452" s="71"/>
    </row>
    <row r="2453" spans="20:23" x14ac:dyDescent="0.25">
      <c r="T2453" s="71"/>
      <c r="U2453" s="71"/>
      <c r="V2453" s="71"/>
      <c r="W2453" s="71"/>
    </row>
    <row r="2454" spans="20:23" x14ac:dyDescent="0.25">
      <c r="T2454" s="71"/>
      <c r="U2454" s="71"/>
      <c r="V2454" s="71"/>
      <c r="W2454" s="71"/>
    </row>
    <row r="2455" spans="20:23" x14ac:dyDescent="0.25">
      <c r="T2455" s="71"/>
      <c r="U2455" s="71"/>
      <c r="V2455" s="71"/>
      <c r="W2455" s="71"/>
    </row>
    <row r="2456" spans="20:23" x14ac:dyDescent="0.25">
      <c r="T2456" s="71"/>
      <c r="U2456" s="71"/>
      <c r="V2456" s="71"/>
      <c r="W2456" s="71"/>
    </row>
    <row r="2457" spans="20:23" x14ac:dyDescent="0.25">
      <c r="T2457" s="71"/>
      <c r="U2457" s="71"/>
      <c r="V2457" s="71"/>
      <c r="W2457" s="71"/>
    </row>
    <row r="2458" spans="20:23" x14ac:dyDescent="0.25">
      <c r="T2458" s="71"/>
      <c r="U2458" s="71"/>
      <c r="V2458" s="71"/>
      <c r="W2458" s="71"/>
    </row>
    <row r="2459" spans="20:23" x14ac:dyDescent="0.25">
      <c r="T2459" s="71"/>
      <c r="U2459" s="71"/>
      <c r="V2459" s="71"/>
      <c r="W2459" s="71"/>
    </row>
    <row r="2460" spans="20:23" x14ac:dyDescent="0.25">
      <c r="T2460" s="71"/>
      <c r="U2460" s="71"/>
      <c r="V2460" s="71"/>
      <c r="W2460" s="71"/>
    </row>
    <row r="2461" spans="20:23" x14ac:dyDescent="0.25">
      <c r="T2461" s="71"/>
      <c r="U2461" s="71"/>
      <c r="V2461" s="71"/>
      <c r="W2461" s="71"/>
    </row>
    <row r="2462" spans="20:23" x14ac:dyDescent="0.25">
      <c r="T2462" s="71"/>
      <c r="U2462" s="71"/>
      <c r="V2462" s="71"/>
      <c r="W2462" s="71"/>
    </row>
    <row r="2463" spans="20:23" x14ac:dyDescent="0.25">
      <c r="T2463" s="71"/>
      <c r="U2463" s="71"/>
      <c r="V2463" s="71"/>
      <c r="W2463" s="71"/>
    </row>
    <row r="2464" spans="20:23" x14ac:dyDescent="0.25">
      <c r="T2464" s="71"/>
      <c r="U2464" s="71"/>
      <c r="V2464" s="71"/>
      <c r="W2464" s="71"/>
    </row>
    <row r="2465" spans="20:23" x14ac:dyDescent="0.25">
      <c r="T2465" s="71"/>
      <c r="U2465" s="71"/>
      <c r="V2465" s="71"/>
      <c r="W2465" s="71"/>
    </row>
    <row r="2466" spans="20:23" x14ac:dyDescent="0.25">
      <c r="T2466" s="71"/>
      <c r="U2466" s="71"/>
      <c r="V2466" s="71"/>
      <c r="W2466" s="71"/>
    </row>
    <row r="2467" spans="20:23" x14ac:dyDescent="0.25">
      <c r="T2467" s="71"/>
      <c r="U2467" s="71"/>
      <c r="V2467" s="71"/>
      <c r="W2467" s="71"/>
    </row>
    <row r="2468" spans="20:23" x14ac:dyDescent="0.25">
      <c r="T2468" s="71"/>
      <c r="U2468" s="71"/>
      <c r="V2468" s="71"/>
      <c r="W2468" s="71"/>
    </row>
    <row r="2469" spans="20:23" x14ac:dyDescent="0.25">
      <c r="T2469" s="71"/>
      <c r="U2469" s="71"/>
      <c r="V2469" s="71"/>
      <c r="W2469" s="71"/>
    </row>
    <row r="2470" spans="20:23" x14ac:dyDescent="0.25">
      <c r="T2470" s="71"/>
      <c r="U2470" s="71"/>
      <c r="V2470" s="71"/>
      <c r="W2470" s="71"/>
    </row>
    <row r="2471" spans="20:23" x14ac:dyDescent="0.25">
      <c r="T2471" s="71"/>
      <c r="U2471" s="71"/>
      <c r="V2471" s="71"/>
      <c r="W2471" s="71"/>
    </row>
    <row r="2472" spans="20:23" x14ac:dyDescent="0.25">
      <c r="T2472" s="71"/>
      <c r="U2472" s="71"/>
      <c r="V2472" s="71"/>
      <c r="W2472" s="71"/>
    </row>
    <row r="2473" spans="20:23" x14ac:dyDescent="0.25">
      <c r="T2473" s="71"/>
      <c r="U2473" s="71"/>
      <c r="V2473" s="71"/>
      <c r="W2473" s="71"/>
    </row>
    <row r="2474" spans="20:23" x14ac:dyDescent="0.25">
      <c r="T2474" s="71"/>
      <c r="U2474" s="71"/>
      <c r="V2474" s="71"/>
      <c r="W2474" s="71"/>
    </row>
    <row r="2475" spans="20:23" x14ac:dyDescent="0.25">
      <c r="T2475" s="71"/>
      <c r="U2475" s="71"/>
      <c r="V2475" s="71"/>
      <c r="W2475" s="71"/>
    </row>
    <row r="2476" spans="20:23" x14ac:dyDescent="0.25">
      <c r="T2476" s="71"/>
      <c r="U2476" s="71"/>
      <c r="V2476" s="71"/>
      <c r="W2476" s="71"/>
    </row>
    <row r="2477" spans="20:23" x14ac:dyDescent="0.25">
      <c r="T2477" s="71"/>
      <c r="U2477" s="71"/>
      <c r="V2477" s="71"/>
      <c r="W2477" s="71"/>
    </row>
    <row r="2478" spans="20:23" x14ac:dyDescent="0.25">
      <c r="T2478" s="71"/>
      <c r="U2478" s="71"/>
      <c r="V2478" s="71"/>
      <c r="W2478" s="71"/>
    </row>
    <row r="2479" spans="20:23" x14ac:dyDescent="0.25">
      <c r="T2479" s="71"/>
      <c r="U2479" s="71"/>
      <c r="V2479" s="71"/>
      <c r="W2479" s="71"/>
    </row>
    <row r="2480" spans="20:23" x14ac:dyDescent="0.25">
      <c r="T2480" s="71"/>
      <c r="U2480" s="71"/>
      <c r="V2480" s="71"/>
      <c r="W2480" s="71"/>
    </row>
    <row r="2481" spans="20:23" x14ac:dyDescent="0.25">
      <c r="T2481" s="71"/>
      <c r="U2481" s="71"/>
      <c r="V2481" s="71"/>
      <c r="W2481" s="71"/>
    </row>
    <row r="2482" spans="20:23" x14ac:dyDescent="0.25">
      <c r="T2482" s="71"/>
      <c r="U2482" s="71"/>
      <c r="V2482" s="71"/>
      <c r="W2482" s="71"/>
    </row>
    <row r="2483" spans="20:23" x14ac:dyDescent="0.25">
      <c r="T2483" s="71"/>
      <c r="U2483" s="71"/>
      <c r="V2483" s="71"/>
      <c r="W2483" s="71"/>
    </row>
    <row r="2484" spans="20:23" x14ac:dyDescent="0.25">
      <c r="T2484" s="71"/>
      <c r="U2484" s="71"/>
      <c r="V2484" s="71"/>
      <c r="W2484" s="71"/>
    </row>
    <row r="2485" spans="20:23" x14ac:dyDescent="0.25">
      <c r="T2485" s="71"/>
      <c r="U2485" s="71"/>
      <c r="V2485" s="71"/>
      <c r="W2485" s="71"/>
    </row>
    <row r="2486" spans="20:23" x14ac:dyDescent="0.25">
      <c r="T2486" s="71"/>
      <c r="U2486" s="71"/>
      <c r="V2486" s="71"/>
      <c r="W2486" s="71"/>
    </row>
    <row r="2487" spans="20:23" x14ac:dyDescent="0.25">
      <c r="T2487" s="71"/>
      <c r="U2487" s="71"/>
      <c r="V2487" s="71"/>
      <c r="W2487" s="71"/>
    </row>
    <row r="2488" spans="20:23" x14ac:dyDescent="0.25">
      <c r="T2488" s="71"/>
      <c r="U2488" s="71"/>
      <c r="V2488" s="71"/>
      <c r="W2488" s="71"/>
    </row>
    <row r="2489" spans="20:23" x14ac:dyDescent="0.25">
      <c r="T2489" s="71"/>
      <c r="U2489" s="71"/>
      <c r="V2489" s="71"/>
      <c r="W2489" s="71"/>
    </row>
    <row r="2490" spans="20:23" x14ac:dyDescent="0.25">
      <c r="T2490" s="71"/>
      <c r="U2490" s="71"/>
      <c r="V2490" s="71"/>
      <c r="W2490" s="71"/>
    </row>
    <row r="2491" spans="20:23" x14ac:dyDescent="0.25">
      <c r="T2491" s="71"/>
      <c r="U2491" s="71"/>
      <c r="V2491" s="71"/>
      <c r="W2491" s="71"/>
    </row>
    <row r="2492" spans="20:23" x14ac:dyDescent="0.25">
      <c r="T2492" s="71"/>
      <c r="U2492" s="71"/>
      <c r="V2492" s="71"/>
      <c r="W2492" s="71"/>
    </row>
    <row r="2493" spans="20:23" x14ac:dyDescent="0.25">
      <c r="T2493" s="71"/>
      <c r="U2493" s="71"/>
      <c r="V2493" s="71"/>
      <c r="W2493" s="71"/>
    </row>
    <row r="2494" spans="20:23" x14ac:dyDescent="0.25">
      <c r="T2494" s="71"/>
      <c r="U2494" s="71"/>
      <c r="V2494" s="71"/>
      <c r="W2494" s="71"/>
    </row>
    <row r="2495" spans="20:23" x14ac:dyDescent="0.25">
      <c r="T2495" s="71"/>
      <c r="U2495" s="71"/>
      <c r="V2495" s="71"/>
      <c r="W2495" s="71"/>
    </row>
    <row r="2496" spans="20:23" x14ac:dyDescent="0.25">
      <c r="T2496" s="71"/>
      <c r="U2496" s="71"/>
      <c r="V2496" s="71"/>
      <c r="W2496" s="71"/>
    </row>
    <row r="2497" spans="20:23" x14ac:dyDescent="0.25">
      <c r="T2497" s="71"/>
      <c r="U2497" s="71"/>
      <c r="V2497" s="71"/>
      <c r="W2497" s="71"/>
    </row>
    <row r="2498" spans="20:23" x14ac:dyDescent="0.25">
      <c r="T2498" s="71"/>
      <c r="U2498" s="71"/>
      <c r="V2498" s="71"/>
      <c r="W2498" s="71"/>
    </row>
    <row r="2499" spans="20:23" x14ac:dyDescent="0.25">
      <c r="T2499" s="71"/>
      <c r="U2499" s="71"/>
      <c r="V2499" s="71"/>
      <c r="W2499" s="71"/>
    </row>
    <row r="2500" spans="20:23" x14ac:dyDescent="0.25">
      <c r="T2500" s="71"/>
      <c r="U2500" s="71"/>
      <c r="V2500" s="71"/>
      <c r="W2500" s="71"/>
    </row>
    <row r="2501" spans="20:23" x14ac:dyDescent="0.25">
      <c r="T2501" s="71"/>
      <c r="U2501" s="71"/>
      <c r="V2501" s="71"/>
      <c r="W2501" s="71"/>
    </row>
    <row r="2502" spans="20:23" x14ac:dyDescent="0.25">
      <c r="T2502" s="71"/>
      <c r="U2502" s="71"/>
      <c r="V2502" s="71"/>
      <c r="W2502" s="71"/>
    </row>
    <row r="2503" spans="20:23" x14ac:dyDescent="0.25">
      <c r="T2503" s="71"/>
      <c r="U2503" s="71"/>
      <c r="V2503" s="71"/>
      <c r="W2503" s="71"/>
    </row>
    <row r="2504" spans="20:23" x14ac:dyDescent="0.25">
      <c r="T2504" s="71"/>
      <c r="U2504" s="71"/>
      <c r="V2504" s="71"/>
      <c r="W2504" s="71"/>
    </row>
    <row r="2505" spans="20:23" x14ac:dyDescent="0.25">
      <c r="T2505" s="71"/>
      <c r="U2505" s="71"/>
      <c r="V2505" s="71"/>
      <c r="W2505" s="71"/>
    </row>
    <row r="2506" spans="20:23" x14ac:dyDescent="0.25">
      <c r="T2506" s="71"/>
      <c r="U2506" s="71"/>
      <c r="V2506" s="71"/>
      <c r="W2506" s="71"/>
    </row>
    <row r="2507" spans="20:23" x14ac:dyDescent="0.25">
      <c r="T2507" s="71"/>
      <c r="U2507" s="71"/>
      <c r="V2507" s="71"/>
      <c r="W2507" s="71"/>
    </row>
    <row r="2508" spans="20:23" x14ac:dyDescent="0.25">
      <c r="T2508" s="71"/>
      <c r="U2508" s="71"/>
      <c r="V2508" s="71"/>
      <c r="W2508" s="71"/>
    </row>
    <row r="2509" spans="20:23" x14ac:dyDescent="0.25">
      <c r="T2509" s="71"/>
      <c r="U2509" s="71"/>
      <c r="V2509" s="71"/>
      <c r="W2509" s="71"/>
    </row>
    <row r="2510" spans="20:23" x14ac:dyDescent="0.25">
      <c r="T2510" s="71"/>
      <c r="U2510" s="71"/>
      <c r="V2510" s="71"/>
      <c r="W2510" s="71"/>
    </row>
    <row r="2511" spans="20:23" x14ac:dyDescent="0.25">
      <c r="T2511" s="71"/>
      <c r="U2511" s="71"/>
      <c r="V2511" s="71"/>
      <c r="W2511" s="71"/>
    </row>
    <row r="2512" spans="20:23" x14ac:dyDescent="0.25">
      <c r="T2512" s="71"/>
      <c r="U2512" s="71"/>
      <c r="V2512" s="71"/>
      <c r="W2512" s="71"/>
    </row>
    <row r="2513" spans="20:23" x14ac:dyDescent="0.25">
      <c r="T2513" s="71"/>
      <c r="U2513" s="71"/>
      <c r="V2513" s="71"/>
      <c r="W2513" s="71"/>
    </row>
    <row r="2514" spans="20:23" x14ac:dyDescent="0.25">
      <c r="T2514" s="71"/>
      <c r="U2514" s="71"/>
      <c r="V2514" s="71"/>
      <c r="W2514" s="71"/>
    </row>
    <row r="2515" spans="20:23" x14ac:dyDescent="0.25">
      <c r="T2515" s="71"/>
      <c r="U2515" s="71"/>
      <c r="V2515" s="71"/>
      <c r="W2515" s="71"/>
    </row>
    <row r="2516" spans="20:23" x14ac:dyDescent="0.25">
      <c r="T2516" s="71"/>
      <c r="U2516" s="71"/>
      <c r="V2516" s="71"/>
      <c r="W2516" s="71"/>
    </row>
    <row r="2517" spans="20:23" x14ac:dyDescent="0.25">
      <c r="T2517" s="71"/>
      <c r="U2517" s="71"/>
      <c r="V2517" s="71"/>
      <c r="W2517" s="71"/>
    </row>
    <row r="2518" spans="20:23" x14ac:dyDescent="0.25">
      <c r="T2518" s="71"/>
      <c r="U2518" s="71"/>
      <c r="V2518" s="71"/>
      <c r="W2518" s="71"/>
    </row>
    <row r="2519" spans="20:23" x14ac:dyDescent="0.25">
      <c r="T2519" s="71"/>
      <c r="U2519" s="71"/>
      <c r="V2519" s="71"/>
      <c r="W2519" s="71"/>
    </row>
    <row r="2520" spans="20:23" x14ac:dyDescent="0.25">
      <c r="T2520" s="71"/>
      <c r="U2520" s="71"/>
      <c r="V2520" s="71"/>
      <c r="W2520" s="71"/>
    </row>
    <row r="2521" spans="20:23" x14ac:dyDescent="0.25">
      <c r="T2521" s="71"/>
      <c r="U2521" s="71"/>
      <c r="V2521" s="71"/>
      <c r="W2521" s="71"/>
    </row>
    <row r="2522" spans="20:23" x14ac:dyDescent="0.25">
      <c r="T2522" s="71"/>
      <c r="U2522" s="71"/>
      <c r="V2522" s="71"/>
      <c r="W2522" s="71"/>
    </row>
    <row r="2523" spans="20:23" x14ac:dyDescent="0.25">
      <c r="T2523" s="71"/>
      <c r="U2523" s="71"/>
      <c r="V2523" s="71"/>
      <c r="W2523" s="71"/>
    </row>
    <row r="2524" spans="20:23" x14ac:dyDescent="0.25">
      <c r="T2524" s="71"/>
      <c r="U2524" s="71"/>
      <c r="V2524" s="71"/>
      <c r="W2524" s="71"/>
    </row>
    <row r="2525" spans="20:23" x14ac:dyDescent="0.25">
      <c r="T2525" s="71"/>
      <c r="U2525" s="71"/>
      <c r="V2525" s="71"/>
      <c r="W2525" s="71"/>
    </row>
    <row r="2526" spans="20:23" x14ac:dyDescent="0.25">
      <c r="T2526" s="71"/>
      <c r="U2526" s="71"/>
      <c r="V2526" s="71"/>
      <c r="W2526" s="71"/>
    </row>
    <row r="2527" spans="20:23" x14ac:dyDescent="0.25">
      <c r="T2527" s="71"/>
      <c r="U2527" s="71"/>
      <c r="V2527" s="71"/>
      <c r="W2527" s="71"/>
    </row>
    <row r="2528" spans="20:23" x14ac:dyDescent="0.25">
      <c r="T2528" s="71"/>
      <c r="U2528" s="71"/>
      <c r="V2528" s="71"/>
      <c r="W2528" s="71"/>
    </row>
    <row r="2529" spans="20:23" x14ac:dyDescent="0.25">
      <c r="T2529" s="71"/>
      <c r="U2529" s="71"/>
      <c r="V2529" s="71"/>
      <c r="W2529" s="71"/>
    </row>
    <row r="2530" spans="20:23" x14ac:dyDescent="0.25">
      <c r="T2530" s="71"/>
      <c r="U2530" s="71"/>
      <c r="V2530" s="71"/>
      <c r="W2530" s="71"/>
    </row>
    <row r="2531" spans="20:23" x14ac:dyDescent="0.25">
      <c r="T2531" s="71"/>
      <c r="U2531" s="71"/>
      <c r="V2531" s="71"/>
      <c r="W2531" s="71"/>
    </row>
    <row r="2532" spans="20:23" x14ac:dyDescent="0.25">
      <c r="T2532" s="71"/>
      <c r="U2532" s="71"/>
      <c r="V2532" s="71"/>
      <c r="W2532" s="71"/>
    </row>
    <row r="2533" spans="20:23" x14ac:dyDescent="0.25">
      <c r="T2533" s="71"/>
      <c r="U2533" s="71"/>
      <c r="V2533" s="71"/>
      <c r="W2533" s="71"/>
    </row>
    <row r="2534" spans="20:23" x14ac:dyDescent="0.25">
      <c r="T2534" s="71"/>
      <c r="U2534" s="71"/>
      <c r="V2534" s="71"/>
      <c r="W2534" s="71"/>
    </row>
    <row r="2535" spans="20:23" x14ac:dyDescent="0.25">
      <c r="T2535" s="71"/>
      <c r="U2535" s="71"/>
      <c r="V2535" s="71"/>
      <c r="W2535" s="71"/>
    </row>
    <row r="2536" spans="20:23" x14ac:dyDescent="0.25">
      <c r="T2536" s="71"/>
      <c r="U2536" s="71"/>
      <c r="V2536" s="71"/>
      <c r="W2536" s="71"/>
    </row>
    <row r="2537" spans="20:23" x14ac:dyDescent="0.25">
      <c r="T2537" s="71"/>
      <c r="U2537" s="71"/>
      <c r="V2537" s="71"/>
      <c r="W2537" s="71"/>
    </row>
    <row r="2538" spans="20:23" x14ac:dyDescent="0.25">
      <c r="T2538" s="71"/>
      <c r="U2538" s="71"/>
      <c r="V2538" s="71"/>
      <c r="W2538" s="71"/>
    </row>
    <row r="2539" spans="20:23" x14ac:dyDescent="0.25">
      <c r="T2539" s="71"/>
      <c r="U2539" s="71"/>
      <c r="V2539" s="71"/>
      <c r="W2539" s="71"/>
    </row>
    <row r="2540" spans="20:23" x14ac:dyDescent="0.25">
      <c r="T2540" s="71"/>
      <c r="U2540" s="71"/>
      <c r="V2540" s="71"/>
      <c r="W2540" s="71"/>
    </row>
    <row r="2541" spans="20:23" x14ac:dyDescent="0.25">
      <c r="T2541" s="71"/>
      <c r="U2541" s="71"/>
      <c r="V2541" s="71"/>
      <c r="W2541" s="71"/>
    </row>
    <row r="2542" spans="20:23" x14ac:dyDescent="0.25">
      <c r="T2542" s="71"/>
      <c r="U2542" s="71"/>
      <c r="V2542" s="71"/>
      <c r="W2542" s="71"/>
    </row>
    <row r="2543" spans="20:23" x14ac:dyDescent="0.25">
      <c r="T2543" s="71"/>
      <c r="U2543" s="71"/>
      <c r="V2543" s="71"/>
      <c r="W2543" s="71"/>
    </row>
    <row r="2544" spans="20:23" x14ac:dyDescent="0.25">
      <c r="T2544" s="71"/>
      <c r="U2544" s="71"/>
      <c r="V2544" s="71"/>
      <c r="W2544" s="71"/>
    </row>
    <row r="2545" spans="20:23" x14ac:dyDescent="0.25">
      <c r="T2545" s="71"/>
      <c r="U2545" s="71"/>
      <c r="V2545" s="71"/>
      <c r="W2545" s="71"/>
    </row>
    <row r="2546" spans="20:23" x14ac:dyDescent="0.25">
      <c r="T2546" s="71"/>
      <c r="U2546" s="71"/>
      <c r="V2546" s="71"/>
      <c r="W2546" s="71"/>
    </row>
    <row r="2547" spans="20:23" x14ac:dyDescent="0.25">
      <c r="T2547" s="71"/>
      <c r="U2547" s="71"/>
      <c r="V2547" s="71"/>
      <c r="W2547" s="71"/>
    </row>
    <row r="2548" spans="20:23" x14ac:dyDescent="0.25">
      <c r="T2548" s="71"/>
      <c r="U2548" s="71"/>
      <c r="V2548" s="71"/>
      <c r="W2548" s="71"/>
    </row>
    <row r="2549" spans="20:23" x14ac:dyDescent="0.25">
      <c r="T2549" s="71"/>
      <c r="U2549" s="71"/>
      <c r="V2549" s="71"/>
      <c r="W2549" s="71"/>
    </row>
    <row r="2550" spans="20:23" x14ac:dyDescent="0.25">
      <c r="T2550" s="71"/>
      <c r="U2550" s="71"/>
      <c r="V2550" s="71"/>
      <c r="W2550" s="71"/>
    </row>
    <row r="2551" spans="20:23" x14ac:dyDescent="0.25">
      <c r="T2551" s="71"/>
      <c r="U2551" s="71"/>
      <c r="V2551" s="71"/>
      <c r="W2551" s="71"/>
    </row>
    <row r="2552" spans="20:23" x14ac:dyDescent="0.25">
      <c r="T2552" s="71"/>
      <c r="U2552" s="71"/>
      <c r="V2552" s="71"/>
      <c r="W2552" s="71"/>
    </row>
    <row r="2553" spans="20:23" x14ac:dyDescent="0.25">
      <c r="T2553" s="71"/>
      <c r="U2553" s="71"/>
      <c r="V2553" s="71"/>
      <c r="W2553" s="71"/>
    </row>
    <row r="2554" spans="20:23" x14ac:dyDescent="0.25">
      <c r="T2554" s="71"/>
      <c r="U2554" s="71"/>
      <c r="V2554" s="71"/>
      <c r="W2554" s="71"/>
    </row>
    <row r="2555" spans="20:23" x14ac:dyDescent="0.25">
      <c r="T2555" s="71"/>
      <c r="U2555" s="71"/>
      <c r="V2555" s="71"/>
      <c r="W2555" s="71"/>
    </row>
    <row r="2556" spans="20:23" x14ac:dyDescent="0.25">
      <c r="T2556" s="71"/>
      <c r="U2556" s="71"/>
      <c r="V2556" s="71"/>
      <c r="W2556" s="71"/>
    </row>
    <row r="2557" spans="20:23" x14ac:dyDescent="0.25">
      <c r="T2557" s="71"/>
      <c r="U2557" s="71"/>
      <c r="V2557" s="71"/>
      <c r="W2557" s="71"/>
    </row>
    <row r="2558" spans="20:23" x14ac:dyDescent="0.25">
      <c r="T2558" s="71"/>
      <c r="U2558" s="71"/>
      <c r="V2558" s="71"/>
      <c r="W2558" s="71"/>
    </row>
    <row r="2559" spans="20:23" x14ac:dyDescent="0.25">
      <c r="T2559" s="71"/>
      <c r="U2559" s="71"/>
      <c r="V2559" s="71"/>
      <c r="W2559" s="71"/>
    </row>
    <row r="2560" spans="20:23" x14ac:dyDescent="0.25">
      <c r="T2560" s="71"/>
      <c r="U2560" s="71"/>
      <c r="V2560" s="71"/>
      <c r="W2560" s="71"/>
    </row>
    <row r="2561" spans="20:23" x14ac:dyDescent="0.25">
      <c r="T2561" s="71"/>
      <c r="U2561" s="71"/>
      <c r="V2561" s="71"/>
      <c r="W2561" s="71"/>
    </row>
    <row r="2562" spans="20:23" x14ac:dyDescent="0.25">
      <c r="T2562" s="71"/>
      <c r="U2562" s="71"/>
      <c r="V2562" s="71"/>
      <c r="W2562" s="71"/>
    </row>
    <row r="2563" spans="20:23" x14ac:dyDescent="0.25">
      <c r="T2563" s="71"/>
      <c r="U2563" s="71"/>
      <c r="V2563" s="71"/>
      <c r="W2563" s="71"/>
    </row>
    <row r="2564" spans="20:23" x14ac:dyDescent="0.25">
      <c r="T2564" s="71"/>
      <c r="U2564" s="71"/>
      <c r="V2564" s="71"/>
      <c r="W2564" s="71"/>
    </row>
    <row r="2565" spans="20:23" x14ac:dyDescent="0.25">
      <c r="T2565" s="71"/>
      <c r="U2565" s="71"/>
      <c r="V2565" s="71"/>
      <c r="W2565" s="71"/>
    </row>
    <row r="2566" spans="20:23" x14ac:dyDescent="0.25">
      <c r="T2566" s="71"/>
      <c r="U2566" s="71"/>
      <c r="V2566" s="71"/>
      <c r="W2566" s="71"/>
    </row>
    <row r="2567" spans="20:23" x14ac:dyDescent="0.25">
      <c r="T2567" s="71"/>
      <c r="U2567" s="71"/>
      <c r="V2567" s="71"/>
      <c r="W2567" s="71"/>
    </row>
    <row r="2568" spans="20:23" x14ac:dyDescent="0.25">
      <c r="T2568" s="71"/>
      <c r="U2568" s="71"/>
      <c r="V2568" s="71"/>
      <c r="W2568" s="71"/>
    </row>
    <row r="2569" spans="20:23" x14ac:dyDescent="0.25">
      <c r="T2569" s="71"/>
      <c r="U2569" s="71"/>
      <c r="V2569" s="71"/>
      <c r="W2569" s="71"/>
    </row>
    <row r="2570" spans="20:23" x14ac:dyDescent="0.25">
      <c r="T2570" s="71"/>
      <c r="U2570" s="71"/>
      <c r="V2570" s="71"/>
      <c r="W2570" s="71"/>
    </row>
    <row r="2571" spans="20:23" x14ac:dyDescent="0.25">
      <c r="T2571" s="71"/>
      <c r="U2571" s="71"/>
      <c r="V2571" s="71"/>
      <c r="W2571" s="71"/>
    </row>
    <row r="2572" spans="20:23" x14ac:dyDescent="0.25">
      <c r="T2572" s="71"/>
      <c r="U2572" s="71"/>
      <c r="V2572" s="71"/>
      <c r="W2572" s="71"/>
    </row>
    <row r="2573" spans="20:23" x14ac:dyDescent="0.25">
      <c r="T2573" s="71"/>
      <c r="U2573" s="71"/>
      <c r="V2573" s="71"/>
      <c r="W2573" s="71"/>
    </row>
    <row r="2574" spans="20:23" x14ac:dyDescent="0.25">
      <c r="T2574" s="71"/>
      <c r="U2574" s="71"/>
      <c r="V2574" s="71"/>
      <c r="W2574" s="71"/>
    </row>
    <row r="2575" spans="20:23" x14ac:dyDescent="0.25">
      <c r="T2575" s="71"/>
      <c r="U2575" s="71"/>
      <c r="V2575" s="71"/>
      <c r="W2575" s="71"/>
    </row>
    <row r="2576" spans="20:23" x14ac:dyDescent="0.25">
      <c r="T2576" s="71"/>
      <c r="U2576" s="71"/>
      <c r="V2576" s="71"/>
      <c r="W2576" s="71"/>
    </row>
    <row r="2577" spans="20:23" x14ac:dyDescent="0.25">
      <c r="T2577" s="71"/>
      <c r="U2577" s="71"/>
      <c r="V2577" s="71"/>
      <c r="W2577" s="71"/>
    </row>
    <row r="2578" spans="20:23" x14ac:dyDescent="0.25">
      <c r="T2578" s="71"/>
      <c r="U2578" s="71"/>
      <c r="V2578" s="71"/>
      <c r="W2578" s="71"/>
    </row>
    <row r="2579" spans="20:23" x14ac:dyDescent="0.25">
      <c r="T2579" s="71"/>
      <c r="U2579" s="71"/>
      <c r="V2579" s="71"/>
      <c r="W2579" s="71"/>
    </row>
    <row r="2580" spans="20:23" x14ac:dyDescent="0.25">
      <c r="T2580" s="71"/>
      <c r="U2580" s="71"/>
      <c r="V2580" s="71"/>
      <c r="W2580" s="71"/>
    </row>
    <row r="2581" spans="20:23" x14ac:dyDescent="0.25">
      <c r="T2581" s="71"/>
      <c r="U2581" s="71"/>
      <c r="V2581" s="71"/>
      <c r="W2581" s="71"/>
    </row>
    <row r="2582" spans="20:23" x14ac:dyDescent="0.25">
      <c r="T2582" s="71"/>
      <c r="U2582" s="71"/>
      <c r="V2582" s="71"/>
      <c r="W2582" s="71"/>
    </row>
    <row r="2583" spans="20:23" x14ac:dyDescent="0.25">
      <c r="T2583" s="71"/>
      <c r="U2583" s="71"/>
      <c r="V2583" s="71"/>
      <c r="W2583" s="71"/>
    </row>
    <row r="2584" spans="20:23" x14ac:dyDescent="0.25">
      <c r="T2584" s="71"/>
      <c r="U2584" s="71"/>
      <c r="V2584" s="71"/>
      <c r="W2584" s="71"/>
    </row>
    <row r="2585" spans="20:23" x14ac:dyDescent="0.25">
      <c r="T2585" s="71"/>
      <c r="U2585" s="71"/>
      <c r="V2585" s="71"/>
      <c r="W2585" s="71"/>
    </row>
    <row r="2586" spans="20:23" x14ac:dyDescent="0.25">
      <c r="T2586" s="71"/>
      <c r="U2586" s="71"/>
      <c r="V2586" s="71"/>
      <c r="W2586" s="71"/>
    </row>
    <row r="2587" spans="20:23" x14ac:dyDescent="0.25">
      <c r="T2587" s="71"/>
      <c r="U2587" s="71"/>
      <c r="V2587" s="71"/>
      <c r="W2587" s="71"/>
    </row>
    <row r="2588" spans="20:23" x14ac:dyDescent="0.25">
      <c r="T2588" s="71"/>
      <c r="U2588" s="71"/>
      <c r="V2588" s="71"/>
      <c r="W2588" s="71"/>
    </row>
    <row r="2589" spans="20:23" x14ac:dyDescent="0.25">
      <c r="T2589" s="71"/>
      <c r="U2589" s="71"/>
      <c r="V2589" s="71"/>
      <c r="W2589" s="71"/>
    </row>
    <row r="2590" spans="20:23" x14ac:dyDescent="0.25">
      <c r="T2590" s="71"/>
      <c r="U2590" s="71"/>
      <c r="V2590" s="71"/>
      <c r="W2590" s="71"/>
    </row>
    <row r="2591" spans="20:23" x14ac:dyDescent="0.25">
      <c r="T2591" s="71"/>
      <c r="U2591" s="71"/>
      <c r="V2591" s="71"/>
      <c r="W2591" s="71"/>
    </row>
    <row r="2592" spans="20:23" x14ac:dyDescent="0.25">
      <c r="T2592" s="71"/>
      <c r="U2592" s="71"/>
      <c r="V2592" s="71"/>
      <c r="W2592" s="71"/>
    </row>
    <row r="2593" spans="20:23" x14ac:dyDescent="0.25">
      <c r="T2593" s="71"/>
      <c r="U2593" s="71"/>
      <c r="V2593" s="71"/>
      <c r="W2593" s="71"/>
    </row>
    <row r="2594" spans="20:23" x14ac:dyDescent="0.25">
      <c r="T2594" s="71"/>
      <c r="U2594" s="71"/>
      <c r="V2594" s="71"/>
      <c r="W2594" s="71"/>
    </row>
    <row r="2595" spans="20:23" x14ac:dyDescent="0.25">
      <c r="T2595" s="71"/>
      <c r="U2595" s="71"/>
      <c r="V2595" s="71"/>
      <c r="W2595" s="71"/>
    </row>
    <row r="2596" spans="20:23" x14ac:dyDescent="0.25">
      <c r="T2596" s="71"/>
      <c r="U2596" s="71"/>
      <c r="V2596" s="71"/>
      <c r="W2596" s="71"/>
    </row>
    <row r="2597" spans="20:23" x14ac:dyDescent="0.25">
      <c r="T2597" s="71"/>
      <c r="U2597" s="71"/>
      <c r="V2597" s="71"/>
      <c r="W2597" s="71"/>
    </row>
    <row r="2598" spans="20:23" x14ac:dyDescent="0.25">
      <c r="T2598" s="71"/>
      <c r="U2598" s="71"/>
      <c r="V2598" s="71"/>
      <c r="W2598" s="71"/>
    </row>
    <row r="2599" spans="20:23" x14ac:dyDescent="0.25">
      <c r="T2599" s="71"/>
      <c r="U2599" s="71"/>
      <c r="V2599" s="71"/>
      <c r="W2599" s="71"/>
    </row>
    <row r="2600" spans="20:23" x14ac:dyDescent="0.25">
      <c r="T2600" s="71"/>
      <c r="U2600" s="71"/>
      <c r="V2600" s="71"/>
      <c r="W2600" s="71"/>
    </row>
    <row r="2601" spans="20:23" x14ac:dyDescent="0.25">
      <c r="T2601" s="71"/>
      <c r="U2601" s="71"/>
      <c r="V2601" s="71"/>
      <c r="W2601" s="71"/>
    </row>
    <row r="2602" spans="20:23" x14ac:dyDescent="0.25">
      <c r="T2602" s="71"/>
      <c r="U2602" s="71"/>
      <c r="V2602" s="71"/>
      <c r="W2602" s="71"/>
    </row>
    <row r="2603" spans="20:23" x14ac:dyDescent="0.25">
      <c r="T2603" s="71"/>
      <c r="U2603" s="71"/>
      <c r="V2603" s="71"/>
      <c r="W2603" s="71"/>
    </row>
    <row r="2604" spans="20:23" x14ac:dyDescent="0.25">
      <c r="T2604" s="71"/>
      <c r="U2604" s="71"/>
      <c r="V2604" s="71"/>
      <c r="W2604" s="71"/>
    </row>
    <row r="2605" spans="20:23" x14ac:dyDescent="0.25">
      <c r="T2605" s="71"/>
      <c r="U2605" s="71"/>
      <c r="V2605" s="71"/>
      <c r="W2605" s="71"/>
    </row>
    <row r="2606" spans="20:23" x14ac:dyDescent="0.25">
      <c r="T2606" s="71"/>
      <c r="U2606" s="71"/>
      <c r="V2606" s="71"/>
      <c r="W2606" s="71"/>
    </row>
    <row r="2607" spans="20:23" x14ac:dyDescent="0.25">
      <c r="T2607" s="71"/>
      <c r="U2607" s="71"/>
      <c r="V2607" s="71"/>
      <c r="W2607" s="71"/>
    </row>
    <row r="2608" spans="20:23" x14ac:dyDescent="0.25">
      <c r="T2608" s="71"/>
      <c r="U2608" s="71"/>
      <c r="V2608" s="71"/>
      <c r="W2608" s="71"/>
    </row>
    <row r="2609" spans="20:23" x14ac:dyDescent="0.25">
      <c r="T2609" s="71"/>
      <c r="U2609" s="71"/>
      <c r="V2609" s="71"/>
      <c r="W2609" s="71"/>
    </row>
    <row r="2610" spans="20:23" x14ac:dyDescent="0.25">
      <c r="T2610" s="71"/>
      <c r="U2610" s="71"/>
      <c r="V2610" s="71"/>
      <c r="W2610" s="71"/>
    </row>
    <row r="2611" spans="20:23" x14ac:dyDescent="0.25">
      <c r="T2611" s="71"/>
      <c r="U2611" s="71"/>
      <c r="V2611" s="71"/>
      <c r="W2611" s="71"/>
    </row>
    <row r="2612" spans="20:23" x14ac:dyDescent="0.25">
      <c r="T2612" s="71"/>
      <c r="U2612" s="71"/>
      <c r="V2612" s="71"/>
      <c r="W2612" s="71"/>
    </row>
    <row r="2613" spans="20:23" x14ac:dyDescent="0.25">
      <c r="T2613" s="71"/>
      <c r="U2613" s="71"/>
      <c r="V2613" s="71"/>
      <c r="W2613" s="71"/>
    </row>
    <row r="2614" spans="20:23" x14ac:dyDescent="0.25">
      <c r="T2614" s="71"/>
      <c r="U2614" s="71"/>
      <c r="V2614" s="71"/>
      <c r="W2614" s="71"/>
    </row>
    <row r="2615" spans="20:23" x14ac:dyDescent="0.25">
      <c r="T2615" s="71"/>
      <c r="U2615" s="71"/>
      <c r="V2615" s="71"/>
      <c r="W2615" s="71"/>
    </row>
    <row r="2616" spans="20:23" x14ac:dyDescent="0.25">
      <c r="T2616" s="71"/>
      <c r="U2616" s="71"/>
      <c r="V2616" s="71"/>
      <c r="W2616" s="71"/>
    </row>
    <row r="2617" spans="20:23" x14ac:dyDescent="0.25">
      <c r="T2617" s="71"/>
      <c r="U2617" s="71"/>
      <c r="V2617" s="71"/>
      <c r="W2617" s="71"/>
    </row>
    <row r="2618" spans="20:23" x14ac:dyDescent="0.25">
      <c r="T2618" s="71"/>
      <c r="U2618" s="71"/>
      <c r="V2618" s="71"/>
      <c r="W2618" s="71"/>
    </row>
    <row r="2619" spans="20:23" x14ac:dyDescent="0.25">
      <c r="T2619" s="71"/>
      <c r="U2619" s="71"/>
      <c r="V2619" s="71"/>
      <c r="W2619" s="71"/>
    </row>
    <row r="2620" spans="20:23" x14ac:dyDescent="0.25">
      <c r="T2620" s="71"/>
      <c r="U2620" s="71"/>
      <c r="V2620" s="71"/>
      <c r="W2620" s="71"/>
    </row>
    <row r="2621" spans="20:23" x14ac:dyDescent="0.25">
      <c r="T2621" s="71"/>
      <c r="U2621" s="71"/>
      <c r="V2621" s="71"/>
      <c r="W2621" s="71"/>
    </row>
    <row r="2622" spans="20:23" x14ac:dyDescent="0.25">
      <c r="T2622" s="71"/>
      <c r="U2622" s="71"/>
      <c r="V2622" s="71"/>
      <c r="W2622" s="71"/>
    </row>
    <row r="2623" spans="20:23" x14ac:dyDescent="0.25">
      <c r="T2623" s="71"/>
      <c r="U2623" s="71"/>
      <c r="V2623" s="71"/>
      <c r="W2623" s="71"/>
    </row>
    <row r="2624" spans="20:23" x14ac:dyDescent="0.25">
      <c r="T2624" s="71"/>
      <c r="U2624" s="71"/>
      <c r="V2624" s="71"/>
      <c r="W2624" s="71"/>
    </row>
    <row r="2625" spans="20:23" x14ac:dyDescent="0.25">
      <c r="T2625" s="71"/>
      <c r="U2625" s="71"/>
      <c r="V2625" s="71"/>
      <c r="W2625" s="71"/>
    </row>
    <row r="2626" spans="20:23" x14ac:dyDescent="0.25">
      <c r="T2626" s="71"/>
      <c r="U2626" s="71"/>
      <c r="V2626" s="71"/>
      <c r="W2626" s="71"/>
    </row>
    <row r="2627" spans="20:23" x14ac:dyDescent="0.25">
      <c r="T2627" s="71"/>
      <c r="U2627" s="71"/>
      <c r="V2627" s="71"/>
      <c r="W2627" s="71"/>
    </row>
    <row r="2628" spans="20:23" x14ac:dyDescent="0.25">
      <c r="T2628" s="71"/>
      <c r="U2628" s="71"/>
      <c r="V2628" s="71"/>
      <c r="W2628" s="71"/>
    </row>
    <row r="2629" spans="20:23" x14ac:dyDescent="0.25">
      <c r="T2629" s="71"/>
      <c r="U2629" s="71"/>
      <c r="V2629" s="71"/>
      <c r="W2629" s="71"/>
    </row>
    <row r="2630" spans="20:23" x14ac:dyDescent="0.25">
      <c r="T2630" s="71"/>
      <c r="U2630" s="71"/>
      <c r="V2630" s="71"/>
      <c r="W2630" s="71"/>
    </row>
    <row r="2631" spans="20:23" x14ac:dyDescent="0.25">
      <c r="T2631" s="71"/>
      <c r="U2631" s="71"/>
      <c r="V2631" s="71"/>
      <c r="W2631" s="71"/>
    </row>
    <row r="2632" spans="20:23" x14ac:dyDescent="0.25">
      <c r="T2632" s="71"/>
      <c r="U2632" s="71"/>
      <c r="V2632" s="71"/>
      <c r="W2632" s="71"/>
    </row>
    <row r="2633" spans="20:23" x14ac:dyDescent="0.25">
      <c r="T2633" s="71"/>
      <c r="U2633" s="71"/>
      <c r="V2633" s="71"/>
      <c r="W2633" s="71"/>
    </row>
    <row r="2634" spans="20:23" x14ac:dyDescent="0.25">
      <c r="T2634" s="71"/>
      <c r="U2634" s="71"/>
      <c r="V2634" s="71"/>
      <c r="W2634" s="71"/>
    </row>
    <row r="2635" spans="20:23" x14ac:dyDescent="0.25">
      <c r="T2635" s="71"/>
      <c r="U2635" s="71"/>
      <c r="V2635" s="71"/>
      <c r="W2635" s="71"/>
    </row>
    <row r="2636" spans="20:23" x14ac:dyDescent="0.25">
      <c r="T2636" s="71"/>
      <c r="U2636" s="71"/>
      <c r="V2636" s="71"/>
      <c r="W2636" s="71"/>
    </row>
    <row r="2637" spans="20:23" x14ac:dyDescent="0.25">
      <c r="T2637" s="71"/>
      <c r="U2637" s="71"/>
      <c r="V2637" s="71"/>
      <c r="W2637" s="71"/>
    </row>
    <row r="2638" spans="20:23" x14ac:dyDescent="0.25">
      <c r="T2638" s="71"/>
      <c r="U2638" s="71"/>
      <c r="V2638" s="71"/>
      <c r="W2638" s="71"/>
    </row>
    <row r="2639" spans="20:23" x14ac:dyDescent="0.25">
      <c r="T2639" s="71"/>
      <c r="U2639" s="71"/>
      <c r="V2639" s="71"/>
      <c r="W2639" s="71"/>
    </row>
    <row r="2640" spans="20:23" x14ac:dyDescent="0.25">
      <c r="T2640" s="71"/>
      <c r="U2640" s="71"/>
      <c r="V2640" s="71"/>
      <c r="W2640" s="71"/>
    </row>
    <row r="2641" spans="20:23" x14ac:dyDescent="0.25">
      <c r="T2641" s="71"/>
      <c r="U2641" s="71"/>
      <c r="V2641" s="71"/>
      <c r="W2641" s="71"/>
    </row>
    <row r="2642" spans="20:23" x14ac:dyDescent="0.25">
      <c r="T2642" s="71"/>
      <c r="U2642" s="71"/>
      <c r="V2642" s="71"/>
      <c r="W2642" s="71"/>
    </row>
    <row r="2643" spans="20:23" x14ac:dyDescent="0.25">
      <c r="T2643" s="71"/>
      <c r="U2643" s="71"/>
      <c r="V2643" s="71"/>
      <c r="W2643" s="71"/>
    </row>
    <row r="2644" spans="20:23" x14ac:dyDescent="0.25">
      <c r="T2644" s="71"/>
      <c r="U2644" s="71"/>
      <c r="V2644" s="71"/>
      <c r="W2644" s="71"/>
    </row>
    <row r="2645" spans="20:23" x14ac:dyDescent="0.25">
      <c r="T2645" s="71"/>
      <c r="U2645" s="71"/>
      <c r="V2645" s="71"/>
      <c r="W2645" s="71"/>
    </row>
    <row r="2646" spans="20:23" x14ac:dyDescent="0.25">
      <c r="T2646" s="71"/>
      <c r="U2646" s="71"/>
      <c r="V2646" s="71"/>
      <c r="W2646" s="71"/>
    </row>
    <row r="2647" spans="20:23" x14ac:dyDescent="0.25">
      <c r="T2647" s="71"/>
      <c r="U2647" s="71"/>
      <c r="V2647" s="71"/>
      <c r="W2647" s="71"/>
    </row>
    <row r="2648" spans="20:23" x14ac:dyDescent="0.25">
      <c r="T2648" s="71"/>
      <c r="U2648" s="71"/>
      <c r="V2648" s="71"/>
      <c r="W2648" s="71"/>
    </row>
    <row r="2649" spans="20:23" x14ac:dyDescent="0.25">
      <c r="T2649" s="71"/>
      <c r="U2649" s="71"/>
      <c r="V2649" s="71"/>
      <c r="W2649" s="71"/>
    </row>
    <row r="2650" spans="20:23" x14ac:dyDescent="0.25">
      <c r="T2650" s="71"/>
      <c r="U2650" s="71"/>
      <c r="V2650" s="71"/>
      <c r="W2650" s="71"/>
    </row>
    <row r="2651" spans="20:23" x14ac:dyDescent="0.25">
      <c r="T2651" s="71"/>
      <c r="U2651" s="71"/>
      <c r="V2651" s="71"/>
      <c r="W2651" s="71"/>
    </row>
    <row r="2652" spans="20:23" x14ac:dyDescent="0.25">
      <c r="T2652" s="71"/>
      <c r="U2652" s="71"/>
      <c r="V2652" s="71"/>
      <c r="W2652" s="71"/>
    </row>
    <row r="2653" spans="20:23" x14ac:dyDescent="0.25">
      <c r="T2653" s="71"/>
      <c r="U2653" s="71"/>
      <c r="V2653" s="71"/>
      <c r="W2653" s="71"/>
    </row>
    <row r="2654" spans="20:23" x14ac:dyDescent="0.25">
      <c r="T2654" s="71"/>
      <c r="U2654" s="71"/>
      <c r="V2654" s="71"/>
      <c r="W2654" s="71"/>
    </row>
    <row r="2655" spans="20:23" x14ac:dyDescent="0.25">
      <c r="T2655" s="71"/>
      <c r="U2655" s="71"/>
      <c r="V2655" s="71"/>
      <c r="W2655" s="71"/>
    </row>
    <row r="2656" spans="20:23" x14ac:dyDescent="0.25">
      <c r="T2656" s="71"/>
      <c r="U2656" s="71"/>
      <c r="V2656" s="71"/>
      <c r="W2656" s="71"/>
    </row>
    <row r="2657" spans="20:23" x14ac:dyDescent="0.25">
      <c r="T2657" s="71"/>
      <c r="U2657" s="71"/>
      <c r="V2657" s="71"/>
      <c r="W2657" s="71"/>
    </row>
    <row r="2658" spans="20:23" x14ac:dyDescent="0.25">
      <c r="T2658" s="71"/>
      <c r="U2658" s="71"/>
      <c r="V2658" s="71"/>
      <c r="W2658" s="71"/>
    </row>
    <row r="2659" spans="20:23" x14ac:dyDescent="0.25">
      <c r="T2659" s="71"/>
      <c r="U2659" s="71"/>
      <c r="V2659" s="71"/>
      <c r="W2659" s="71"/>
    </row>
    <row r="2660" spans="20:23" x14ac:dyDescent="0.25">
      <c r="T2660" s="71"/>
      <c r="U2660" s="71"/>
      <c r="V2660" s="71"/>
      <c r="W2660" s="71"/>
    </row>
    <row r="2661" spans="20:23" x14ac:dyDescent="0.25">
      <c r="T2661" s="71"/>
      <c r="U2661" s="71"/>
      <c r="V2661" s="71"/>
      <c r="W2661" s="71"/>
    </row>
    <row r="2662" spans="20:23" x14ac:dyDescent="0.25">
      <c r="T2662" s="71"/>
      <c r="U2662" s="71"/>
      <c r="V2662" s="71"/>
      <c r="W2662" s="71"/>
    </row>
    <row r="2663" spans="20:23" x14ac:dyDescent="0.25">
      <c r="T2663" s="71"/>
      <c r="U2663" s="71"/>
      <c r="V2663" s="71"/>
      <c r="W2663" s="71"/>
    </row>
    <row r="2664" spans="20:23" x14ac:dyDescent="0.25">
      <c r="T2664" s="71"/>
      <c r="U2664" s="71"/>
      <c r="V2664" s="71"/>
      <c r="W2664" s="71"/>
    </row>
    <row r="2665" spans="20:23" x14ac:dyDescent="0.25">
      <c r="T2665" s="71"/>
      <c r="U2665" s="71"/>
      <c r="V2665" s="71"/>
      <c r="W2665" s="71"/>
    </row>
    <row r="2666" spans="20:23" x14ac:dyDescent="0.25">
      <c r="T2666" s="71"/>
      <c r="U2666" s="71"/>
      <c r="V2666" s="71"/>
      <c r="W2666" s="71"/>
    </row>
    <row r="2667" spans="20:23" x14ac:dyDescent="0.25">
      <c r="T2667" s="71"/>
      <c r="U2667" s="71"/>
      <c r="V2667" s="71"/>
      <c r="W2667" s="71"/>
    </row>
    <row r="2668" spans="20:23" x14ac:dyDescent="0.25">
      <c r="T2668" s="71"/>
      <c r="U2668" s="71"/>
      <c r="V2668" s="71"/>
      <c r="W2668" s="71"/>
    </row>
    <row r="2669" spans="20:23" x14ac:dyDescent="0.25">
      <c r="T2669" s="71"/>
      <c r="U2669" s="71"/>
      <c r="V2669" s="71"/>
      <c r="W2669" s="71"/>
    </row>
    <row r="2670" spans="20:23" x14ac:dyDescent="0.25">
      <c r="T2670" s="71"/>
      <c r="U2670" s="71"/>
      <c r="V2670" s="71"/>
      <c r="W2670" s="71"/>
    </row>
    <row r="2671" spans="20:23" x14ac:dyDescent="0.25">
      <c r="T2671" s="71"/>
      <c r="U2671" s="71"/>
      <c r="V2671" s="71"/>
      <c r="W2671" s="71"/>
    </row>
    <row r="2672" spans="20:23" x14ac:dyDescent="0.25">
      <c r="T2672" s="71"/>
      <c r="U2672" s="71"/>
      <c r="V2672" s="71"/>
      <c r="W2672" s="71"/>
    </row>
    <row r="2673" spans="20:23" x14ac:dyDescent="0.25">
      <c r="T2673" s="71"/>
      <c r="U2673" s="71"/>
      <c r="V2673" s="71"/>
      <c r="W2673" s="71"/>
    </row>
    <row r="2674" spans="20:23" x14ac:dyDescent="0.25">
      <c r="T2674" s="71"/>
      <c r="U2674" s="71"/>
      <c r="V2674" s="71"/>
      <c r="W2674" s="71"/>
    </row>
    <row r="2675" spans="20:23" x14ac:dyDescent="0.25">
      <c r="T2675" s="71"/>
      <c r="U2675" s="71"/>
      <c r="V2675" s="71"/>
      <c r="W2675" s="71"/>
    </row>
    <row r="2676" spans="20:23" x14ac:dyDescent="0.25">
      <c r="T2676" s="71"/>
      <c r="U2676" s="71"/>
      <c r="V2676" s="71"/>
      <c r="W2676" s="71"/>
    </row>
    <row r="2677" spans="20:23" x14ac:dyDescent="0.25">
      <c r="T2677" s="71"/>
      <c r="U2677" s="71"/>
      <c r="V2677" s="71"/>
      <c r="W2677" s="71"/>
    </row>
    <row r="2678" spans="20:23" x14ac:dyDescent="0.25">
      <c r="T2678" s="71"/>
      <c r="U2678" s="71"/>
      <c r="V2678" s="71"/>
      <c r="W2678" s="71"/>
    </row>
    <row r="2679" spans="20:23" x14ac:dyDescent="0.25">
      <c r="T2679" s="71"/>
      <c r="U2679" s="71"/>
      <c r="V2679" s="71"/>
      <c r="W2679" s="71"/>
    </row>
    <row r="2680" spans="20:23" x14ac:dyDescent="0.25">
      <c r="T2680" s="71"/>
      <c r="U2680" s="71"/>
      <c r="V2680" s="71"/>
      <c r="W2680" s="71"/>
    </row>
    <row r="2681" spans="20:23" x14ac:dyDescent="0.25">
      <c r="T2681" s="71"/>
      <c r="U2681" s="71"/>
      <c r="V2681" s="71"/>
      <c r="W2681" s="71"/>
    </row>
    <row r="2682" spans="20:23" x14ac:dyDescent="0.25">
      <c r="T2682" s="71"/>
      <c r="U2682" s="71"/>
      <c r="V2682" s="71"/>
      <c r="W2682" s="71"/>
    </row>
    <row r="2683" spans="20:23" x14ac:dyDescent="0.25">
      <c r="T2683" s="71"/>
      <c r="U2683" s="71"/>
      <c r="V2683" s="71"/>
      <c r="W2683" s="71"/>
    </row>
    <row r="2684" spans="20:23" x14ac:dyDescent="0.25">
      <c r="T2684" s="71"/>
      <c r="U2684" s="71"/>
      <c r="V2684" s="71"/>
      <c r="W2684" s="71"/>
    </row>
    <row r="2685" spans="20:23" x14ac:dyDescent="0.25">
      <c r="T2685" s="71"/>
      <c r="U2685" s="71"/>
      <c r="V2685" s="71"/>
      <c r="W2685" s="71"/>
    </row>
    <row r="2686" spans="20:23" x14ac:dyDescent="0.25">
      <c r="T2686" s="71"/>
      <c r="U2686" s="71"/>
      <c r="V2686" s="71"/>
      <c r="W2686" s="71"/>
    </row>
    <row r="2687" spans="20:23" x14ac:dyDescent="0.25">
      <c r="T2687" s="71"/>
      <c r="U2687" s="71"/>
      <c r="V2687" s="71"/>
      <c r="W2687" s="71"/>
    </row>
    <row r="2688" spans="20:23" x14ac:dyDescent="0.25">
      <c r="T2688" s="71"/>
      <c r="U2688" s="71"/>
      <c r="V2688" s="71"/>
      <c r="W2688" s="71"/>
    </row>
    <row r="2689" spans="20:23" x14ac:dyDescent="0.25">
      <c r="T2689" s="71"/>
      <c r="U2689" s="71"/>
      <c r="V2689" s="71"/>
      <c r="W2689" s="71"/>
    </row>
    <row r="2690" spans="20:23" x14ac:dyDescent="0.25">
      <c r="T2690" s="71"/>
      <c r="U2690" s="71"/>
      <c r="V2690" s="71"/>
      <c r="W2690" s="71"/>
    </row>
    <row r="2691" spans="20:23" x14ac:dyDescent="0.25">
      <c r="T2691" s="71"/>
      <c r="U2691" s="71"/>
      <c r="V2691" s="71"/>
      <c r="W2691" s="71"/>
    </row>
    <row r="2692" spans="20:23" x14ac:dyDescent="0.25">
      <c r="T2692" s="71"/>
      <c r="U2692" s="71"/>
      <c r="V2692" s="71"/>
      <c r="W2692" s="71"/>
    </row>
    <row r="2693" spans="20:23" x14ac:dyDescent="0.25">
      <c r="T2693" s="71"/>
      <c r="U2693" s="71"/>
      <c r="V2693" s="71"/>
      <c r="W2693" s="71"/>
    </row>
    <row r="2694" spans="20:23" x14ac:dyDescent="0.25">
      <c r="T2694" s="71"/>
      <c r="U2694" s="71"/>
      <c r="V2694" s="71"/>
      <c r="W2694" s="71"/>
    </row>
    <row r="2695" spans="20:23" x14ac:dyDescent="0.25">
      <c r="T2695" s="71"/>
      <c r="U2695" s="71"/>
      <c r="V2695" s="71"/>
      <c r="W2695" s="71"/>
    </row>
    <row r="2696" spans="20:23" x14ac:dyDescent="0.25">
      <c r="T2696" s="71"/>
      <c r="U2696" s="71"/>
      <c r="V2696" s="71"/>
      <c r="W2696" s="71"/>
    </row>
    <row r="2697" spans="20:23" x14ac:dyDescent="0.25">
      <c r="T2697" s="71"/>
      <c r="U2697" s="71"/>
      <c r="V2697" s="71"/>
      <c r="W2697" s="71"/>
    </row>
    <row r="2698" spans="20:23" x14ac:dyDescent="0.25">
      <c r="T2698" s="71"/>
      <c r="U2698" s="71"/>
      <c r="V2698" s="71"/>
      <c r="W2698" s="71"/>
    </row>
    <row r="2699" spans="20:23" x14ac:dyDescent="0.25">
      <c r="T2699" s="71"/>
      <c r="U2699" s="71"/>
      <c r="V2699" s="71"/>
      <c r="W2699" s="71"/>
    </row>
    <row r="2700" spans="20:23" x14ac:dyDescent="0.25">
      <c r="T2700" s="71"/>
      <c r="U2700" s="71"/>
      <c r="V2700" s="71"/>
      <c r="W2700" s="71"/>
    </row>
    <row r="2701" spans="20:23" x14ac:dyDescent="0.25">
      <c r="T2701" s="71"/>
      <c r="U2701" s="71"/>
      <c r="V2701" s="71"/>
      <c r="W2701" s="71"/>
    </row>
    <row r="2702" spans="20:23" x14ac:dyDescent="0.25">
      <c r="T2702" s="71"/>
      <c r="U2702" s="71"/>
      <c r="V2702" s="71"/>
      <c r="W2702" s="71"/>
    </row>
    <row r="2703" spans="20:23" x14ac:dyDescent="0.25">
      <c r="T2703" s="71"/>
      <c r="U2703" s="71"/>
      <c r="V2703" s="71"/>
      <c r="W2703" s="71"/>
    </row>
    <row r="2704" spans="20:23" x14ac:dyDescent="0.25">
      <c r="T2704" s="71"/>
      <c r="U2704" s="71"/>
      <c r="V2704" s="71"/>
      <c r="W2704" s="71"/>
    </row>
    <row r="2705" spans="20:23" x14ac:dyDescent="0.25">
      <c r="T2705" s="71"/>
      <c r="U2705" s="71"/>
      <c r="V2705" s="71"/>
      <c r="W2705" s="71"/>
    </row>
    <row r="2706" spans="20:23" x14ac:dyDescent="0.25">
      <c r="T2706" s="71"/>
      <c r="U2706" s="71"/>
      <c r="V2706" s="71"/>
      <c r="W2706" s="71"/>
    </row>
    <row r="2707" spans="20:23" x14ac:dyDescent="0.25">
      <c r="T2707" s="71"/>
      <c r="U2707" s="71"/>
      <c r="V2707" s="71"/>
      <c r="W2707" s="71"/>
    </row>
    <row r="2708" spans="20:23" x14ac:dyDescent="0.25">
      <c r="T2708" s="71"/>
      <c r="U2708" s="71"/>
      <c r="V2708" s="71"/>
      <c r="W2708" s="71"/>
    </row>
    <row r="2709" spans="20:23" x14ac:dyDescent="0.25">
      <c r="T2709" s="71"/>
      <c r="U2709" s="71"/>
      <c r="V2709" s="71"/>
      <c r="W2709" s="71"/>
    </row>
    <row r="2710" spans="20:23" x14ac:dyDescent="0.25">
      <c r="T2710" s="71"/>
      <c r="U2710" s="71"/>
      <c r="V2710" s="71"/>
      <c r="W2710" s="71"/>
    </row>
    <row r="2711" spans="20:23" x14ac:dyDescent="0.25">
      <c r="T2711" s="71"/>
      <c r="U2711" s="71"/>
      <c r="V2711" s="71"/>
      <c r="W2711" s="71"/>
    </row>
    <row r="2712" spans="20:23" x14ac:dyDescent="0.25">
      <c r="T2712" s="71"/>
      <c r="U2712" s="71"/>
      <c r="V2712" s="71"/>
      <c r="W2712" s="71"/>
    </row>
    <row r="2713" spans="20:23" x14ac:dyDescent="0.25">
      <c r="T2713" s="71"/>
      <c r="U2713" s="71"/>
      <c r="V2713" s="71"/>
      <c r="W2713" s="71"/>
    </row>
    <row r="2714" spans="20:23" x14ac:dyDescent="0.25">
      <c r="T2714" s="71"/>
      <c r="U2714" s="71"/>
      <c r="V2714" s="71"/>
      <c r="W2714" s="71"/>
    </row>
    <row r="2715" spans="20:23" x14ac:dyDescent="0.25">
      <c r="T2715" s="71"/>
      <c r="U2715" s="71"/>
      <c r="V2715" s="71"/>
      <c r="W2715" s="71"/>
    </row>
    <row r="2716" spans="20:23" x14ac:dyDescent="0.25">
      <c r="T2716" s="71"/>
      <c r="U2716" s="71"/>
      <c r="V2716" s="71"/>
      <c r="W2716" s="71"/>
    </row>
    <row r="2717" spans="20:23" x14ac:dyDescent="0.25">
      <c r="T2717" s="71"/>
      <c r="U2717" s="71"/>
      <c r="V2717" s="71"/>
      <c r="W2717" s="71"/>
    </row>
    <row r="2718" spans="20:23" x14ac:dyDescent="0.25">
      <c r="T2718" s="71"/>
      <c r="U2718" s="71"/>
      <c r="V2718" s="71"/>
      <c r="W2718" s="71"/>
    </row>
    <row r="2719" spans="20:23" x14ac:dyDescent="0.25">
      <c r="T2719" s="71"/>
      <c r="U2719" s="71"/>
      <c r="V2719" s="71"/>
      <c r="W2719" s="71"/>
    </row>
    <row r="2720" spans="20:23" x14ac:dyDescent="0.25">
      <c r="T2720" s="71"/>
      <c r="U2720" s="71"/>
      <c r="V2720" s="71"/>
      <c r="W2720" s="71"/>
    </row>
    <row r="2721" spans="20:23" x14ac:dyDescent="0.25">
      <c r="T2721" s="71"/>
      <c r="U2721" s="71"/>
      <c r="V2721" s="71"/>
      <c r="W2721" s="71"/>
    </row>
    <row r="2722" spans="20:23" x14ac:dyDescent="0.25">
      <c r="T2722" s="71"/>
      <c r="U2722" s="71"/>
      <c r="V2722" s="71"/>
      <c r="W2722" s="71"/>
    </row>
    <row r="2723" spans="20:23" x14ac:dyDescent="0.25">
      <c r="T2723" s="71"/>
      <c r="U2723" s="71"/>
      <c r="V2723" s="71"/>
      <c r="W2723" s="71"/>
    </row>
    <row r="2724" spans="20:23" x14ac:dyDescent="0.25">
      <c r="T2724" s="71"/>
      <c r="U2724" s="71"/>
      <c r="V2724" s="71"/>
      <c r="W2724" s="71"/>
    </row>
    <row r="2725" spans="20:23" x14ac:dyDescent="0.25">
      <c r="T2725" s="71"/>
      <c r="U2725" s="71"/>
      <c r="V2725" s="71"/>
      <c r="W2725" s="71"/>
    </row>
    <row r="2726" spans="20:23" x14ac:dyDescent="0.25">
      <c r="T2726" s="71"/>
      <c r="U2726" s="71"/>
      <c r="V2726" s="71"/>
      <c r="W2726" s="71"/>
    </row>
    <row r="2727" spans="20:23" x14ac:dyDescent="0.25">
      <c r="T2727" s="71"/>
      <c r="U2727" s="71"/>
      <c r="V2727" s="71"/>
      <c r="W2727" s="71"/>
    </row>
    <row r="2728" spans="20:23" x14ac:dyDescent="0.25">
      <c r="T2728" s="71"/>
      <c r="U2728" s="71"/>
      <c r="V2728" s="71"/>
      <c r="W2728" s="71"/>
    </row>
    <row r="2729" spans="20:23" x14ac:dyDescent="0.25">
      <c r="T2729" s="71"/>
      <c r="U2729" s="71"/>
      <c r="V2729" s="71"/>
      <c r="W2729" s="71"/>
    </row>
    <row r="2730" spans="20:23" x14ac:dyDescent="0.25">
      <c r="T2730" s="71"/>
      <c r="U2730" s="71"/>
      <c r="V2730" s="71"/>
      <c r="W2730" s="71"/>
    </row>
    <row r="2731" spans="20:23" x14ac:dyDescent="0.25">
      <c r="T2731" s="71"/>
      <c r="U2731" s="71"/>
      <c r="V2731" s="71"/>
      <c r="W2731" s="71"/>
    </row>
    <row r="2732" spans="20:23" x14ac:dyDescent="0.25">
      <c r="T2732" s="71"/>
      <c r="U2732" s="71"/>
      <c r="V2732" s="71"/>
      <c r="W2732" s="71"/>
    </row>
    <row r="2733" spans="20:23" x14ac:dyDescent="0.25">
      <c r="T2733" s="71"/>
      <c r="U2733" s="71"/>
      <c r="V2733" s="71"/>
      <c r="W2733" s="71"/>
    </row>
    <row r="2734" spans="20:23" x14ac:dyDescent="0.25">
      <c r="T2734" s="71"/>
      <c r="U2734" s="71"/>
      <c r="V2734" s="71"/>
      <c r="W2734" s="71"/>
    </row>
    <row r="2735" spans="20:23" x14ac:dyDescent="0.25">
      <c r="T2735" s="71"/>
      <c r="U2735" s="71"/>
      <c r="V2735" s="71"/>
      <c r="W2735" s="71"/>
    </row>
    <row r="2736" spans="20:23" x14ac:dyDescent="0.25">
      <c r="T2736" s="71"/>
      <c r="U2736" s="71"/>
      <c r="V2736" s="71"/>
      <c r="W2736" s="71"/>
    </row>
    <row r="2737" spans="20:23" x14ac:dyDescent="0.25">
      <c r="T2737" s="71"/>
      <c r="U2737" s="71"/>
      <c r="V2737" s="71"/>
      <c r="W2737" s="71"/>
    </row>
    <row r="2738" spans="20:23" x14ac:dyDescent="0.25">
      <c r="T2738" s="71"/>
      <c r="U2738" s="71"/>
      <c r="V2738" s="71"/>
      <c r="W2738" s="71"/>
    </row>
    <row r="2739" spans="20:23" x14ac:dyDescent="0.25">
      <c r="T2739" s="71"/>
      <c r="U2739" s="71"/>
      <c r="V2739" s="71"/>
      <c r="W2739" s="71"/>
    </row>
    <row r="2740" spans="20:23" x14ac:dyDescent="0.25">
      <c r="T2740" s="71"/>
      <c r="U2740" s="71"/>
      <c r="V2740" s="71"/>
      <c r="W2740" s="71"/>
    </row>
    <row r="2741" spans="20:23" x14ac:dyDescent="0.25">
      <c r="T2741" s="71"/>
      <c r="U2741" s="71"/>
      <c r="V2741" s="71"/>
      <c r="W2741" s="71"/>
    </row>
    <row r="2742" spans="20:23" x14ac:dyDescent="0.25">
      <c r="T2742" s="71"/>
      <c r="U2742" s="71"/>
      <c r="V2742" s="71"/>
      <c r="W2742" s="71"/>
    </row>
    <row r="2743" spans="20:23" x14ac:dyDescent="0.25">
      <c r="T2743" s="71"/>
      <c r="U2743" s="71"/>
      <c r="V2743" s="71"/>
      <c r="W2743" s="71"/>
    </row>
    <row r="2744" spans="20:23" x14ac:dyDescent="0.25">
      <c r="T2744" s="71"/>
      <c r="U2744" s="71"/>
      <c r="V2744" s="71"/>
      <c r="W2744" s="71"/>
    </row>
    <row r="2745" spans="20:23" x14ac:dyDescent="0.25">
      <c r="T2745" s="71"/>
      <c r="U2745" s="71"/>
      <c r="V2745" s="71"/>
      <c r="W2745" s="71"/>
    </row>
    <row r="2746" spans="20:23" x14ac:dyDescent="0.25">
      <c r="T2746" s="71"/>
      <c r="U2746" s="71"/>
      <c r="V2746" s="71"/>
      <c r="W2746" s="71"/>
    </row>
    <row r="2747" spans="20:23" x14ac:dyDescent="0.25">
      <c r="T2747" s="71"/>
      <c r="U2747" s="71"/>
      <c r="V2747" s="71"/>
      <c r="W2747" s="71"/>
    </row>
    <row r="2748" spans="20:23" x14ac:dyDescent="0.25">
      <c r="T2748" s="71"/>
      <c r="U2748" s="71"/>
      <c r="V2748" s="71"/>
      <c r="W2748" s="71"/>
    </row>
    <row r="2749" spans="20:23" x14ac:dyDescent="0.25">
      <c r="T2749" s="71"/>
      <c r="U2749" s="71"/>
      <c r="V2749" s="71"/>
      <c r="W2749" s="71"/>
    </row>
    <row r="2750" spans="20:23" x14ac:dyDescent="0.25">
      <c r="T2750" s="71"/>
      <c r="U2750" s="71"/>
      <c r="V2750" s="71"/>
      <c r="W2750" s="71"/>
    </row>
    <row r="2751" spans="20:23" x14ac:dyDescent="0.25">
      <c r="T2751" s="71"/>
      <c r="U2751" s="71"/>
      <c r="V2751" s="71"/>
      <c r="W2751" s="71"/>
    </row>
    <row r="2752" spans="20:23" x14ac:dyDescent="0.25">
      <c r="T2752" s="71"/>
      <c r="U2752" s="71"/>
      <c r="V2752" s="71"/>
      <c r="W2752" s="71"/>
    </row>
    <row r="2753" spans="20:23" x14ac:dyDescent="0.25">
      <c r="T2753" s="71"/>
      <c r="U2753" s="71"/>
      <c r="V2753" s="71"/>
      <c r="W2753" s="71"/>
    </row>
    <row r="2754" spans="20:23" x14ac:dyDescent="0.25">
      <c r="T2754" s="71"/>
      <c r="U2754" s="71"/>
      <c r="V2754" s="71"/>
      <c r="W2754" s="71"/>
    </row>
    <row r="2755" spans="20:23" x14ac:dyDescent="0.25">
      <c r="T2755" s="71"/>
      <c r="U2755" s="71"/>
      <c r="V2755" s="71"/>
      <c r="W2755" s="71"/>
    </row>
    <row r="2756" spans="20:23" x14ac:dyDescent="0.25">
      <c r="T2756" s="71"/>
      <c r="U2756" s="71"/>
      <c r="V2756" s="71"/>
      <c r="W2756" s="71"/>
    </row>
    <row r="2757" spans="20:23" x14ac:dyDescent="0.25">
      <c r="T2757" s="71"/>
      <c r="U2757" s="71"/>
      <c r="V2757" s="71"/>
      <c r="W2757" s="71"/>
    </row>
    <row r="2758" spans="20:23" x14ac:dyDescent="0.25">
      <c r="T2758" s="71"/>
      <c r="U2758" s="71"/>
      <c r="V2758" s="71"/>
      <c r="W2758" s="71"/>
    </row>
    <row r="2759" spans="20:23" x14ac:dyDescent="0.25">
      <c r="T2759" s="71"/>
      <c r="U2759" s="71"/>
      <c r="V2759" s="71"/>
      <c r="W2759" s="71"/>
    </row>
    <row r="2760" spans="20:23" x14ac:dyDescent="0.25">
      <c r="T2760" s="71"/>
      <c r="U2760" s="71"/>
      <c r="V2760" s="71"/>
      <c r="W2760" s="71"/>
    </row>
    <row r="2761" spans="20:23" x14ac:dyDescent="0.25">
      <c r="T2761" s="71"/>
      <c r="U2761" s="71"/>
      <c r="V2761" s="71"/>
      <c r="W2761" s="71"/>
    </row>
    <row r="2762" spans="20:23" x14ac:dyDescent="0.25">
      <c r="T2762" s="71"/>
      <c r="U2762" s="71"/>
      <c r="V2762" s="71"/>
      <c r="W2762" s="71"/>
    </row>
    <row r="2763" spans="20:23" x14ac:dyDescent="0.25">
      <c r="T2763" s="71"/>
      <c r="U2763" s="71"/>
      <c r="V2763" s="71"/>
      <c r="W2763" s="71"/>
    </row>
    <row r="2764" spans="20:23" x14ac:dyDescent="0.25">
      <c r="T2764" s="71"/>
      <c r="U2764" s="71"/>
      <c r="V2764" s="71"/>
      <c r="W2764" s="71"/>
    </row>
    <row r="2765" spans="20:23" x14ac:dyDescent="0.25">
      <c r="T2765" s="71"/>
      <c r="U2765" s="71"/>
      <c r="V2765" s="71"/>
      <c r="W2765" s="71"/>
    </row>
    <row r="2766" spans="20:23" x14ac:dyDescent="0.25">
      <c r="T2766" s="71"/>
      <c r="U2766" s="71"/>
      <c r="V2766" s="71"/>
      <c r="W2766" s="71"/>
    </row>
    <row r="2767" spans="20:23" x14ac:dyDescent="0.25">
      <c r="T2767" s="71"/>
      <c r="U2767" s="71"/>
      <c r="V2767" s="71"/>
      <c r="W2767" s="71"/>
    </row>
    <row r="2768" spans="20:23" x14ac:dyDescent="0.25">
      <c r="T2768" s="71"/>
      <c r="U2768" s="71"/>
      <c r="V2768" s="71"/>
      <c r="W2768" s="71"/>
    </row>
    <row r="2769" spans="20:23" x14ac:dyDescent="0.25">
      <c r="T2769" s="71"/>
      <c r="U2769" s="71"/>
      <c r="V2769" s="71"/>
      <c r="W2769" s="71"/>
    </row>
    <row r="2770" spans="20:23" x14ac:dyDescent="0.25">
      <c r="T2770" s="71"/>
      <c r="U2770" s="71"/>
      <c r="V2770" s="71"/>
      <c r="W2770" s="71"/>
    </row>
    <row r="2771" spans="20:23" x14ac:dyDescent="0.25">
      <c r="T2771" s="71"/>
      <c r="U2771" s="71"/>
      <c r="V2771" s="71"/>
      <c r="W2771" s="71"/>
    </row>
    <row r="2772" spans="20:23" x14ac:dyDescent="0.25">
      <c r="T2772" s="71"/>
      <c r="U2772" s="71"/>
      <c r="V2772" s="71"/>
      <c r="W2772" s="71"/>
    </row>
    <row r="2773" spans="20:23" x14ac:dyDescent="0.25">
      <c r="T2773" s="71"/>
      <c r="U2773" s="71"/>
      <c r="V2773" s="71"/>
      <c r="W2773" s="71"/>
    </row>
    <row r="2774" spans="20:23" x14ac:dyDescent="0.25">
      <c r="T2774" s="71"/>
      <c r="U2774" s="71"/>
      <c r="V2774" s="71"/>
      <c r="W2774" s="71"/>
    </row>
    <row r="2775" spans="20:23" x14ac:dyDescent="0.25">
      <c r="T2775" s="71"/>
      <c r="U2775" s="71"/>
      <c r="V2775" s="71"/>
      <c r="W2775" s="71"/>
    </row>
    <row r="2776" spans="20:23" x14ac:dyDescent="0.25">
      <c r="T2776" s="71"/>
      <c r="U2776" s="71"/>
      <c r="V2776" s="71"/>
      <c r="W2776" s="71"/>
    </row>
    <row r="2777" spans="20:23" x14ac:dyDescent="0.25">
      <c r="T2777" s="71"/>
      <c r="U2777" s="71"/>
      <c r="V2777" s="71"/>
      <c r="W2777" s="71"/>
    </row>
    <row r="2778" spans="20:23" x14ac:dyDescent="0.25">
      <c r="T2778" s="71"/>
      <c r="U2778" s="71"/>
      <c r="V2778" s="71"/>
      <c r="W2778" s="71"/>
    </row>
    <row r="2779" spans="20:23" x14ac:dyDescent="0.25">
      <c r="T2779" s="71"/>
      <c r="U2779" s="71"/>
      <c r="V2779" s="71"/>
      <c r="W2779" s="71"/>
    </row>
    <row r="2780" spans="20:23" x14ac:dyDescent="0.25">
      <c r="T2780" s="71"/>
      <c r="U2780" s="71"/>
      <c r="V2780" s="71"/>
      <c r="W2780" s="71"/>
    </row>
    <row r="2781" spans="20:23" x14ac:dyDescent="0.25">
      <c r="T2781" s="71"/>
      <c r="U2781" s="71"/>
      <c r="V2781" s="71"/>
      <c r="W2781" s="71"/>
    </row>
    <row r="2782" spans="20:23" x14ac:dyDescent="0.25">
      <c r="T2782" s="71"/>
      <c r="U2782" s="71"/>
      <c r="V2782" s="71"/>
      <c r="W2782" s="71"/>
    </row>
    <row r="2783" spans="20:23" x14ac:dyDescent="0.25">
      <c r="T2783" s="71"/>
      <c r="U2783" s="71"/>
      <c r="V2783" s="71"/>
      <c r="W2783" s="71"/>
    </row>
    <row r="2784" spans="20:23" x14ac:dyDescent="0.25">
      <c r="T2784" s="71"/>
      <c r="U2784" s="71"/>
      <c r="V2784" s="71"/>
      <c r="W2784" s="71"/>
    </row>
    <row r="2785" spans="20:23" x14ac:dyDescent="0.25">
      <c r="T2785" s="71"/>
      <c r="U2785" s="71"/>
      <c r="V2785" s="71"/>
      <c r="W2785" s="71"/>
    </row>
    <row r="2786" spans="20:23" x14ac:dyDescent="0.25">
      <c r="T2786" s="71"/>
      <c r="U2786" s="71"/>
      <c r="V2786" s="71"/>
      <c r="W2786" s="71"/>
    </row>
    <row r="2787" spans="20:23" x14ac:dyDescent="0.25">
      <c r="T2787" s="71"/>
      <c r="U2787" s="71"/>
      <c r="V2787" s="71"/>
      <c r="W2787" s="71"/>
    </row>
    <row r="2788" spans="20:23" x14ac:dyDescent="0.25">
      <c r="T2788" s="71"/>
      <c r="U2788" s="71"/>
      <c r="V2788" s="71"/>
      <c r="W2788" s="71"/>
    </row>
    <row r="2789" spans="20:23" x14ac:dyDescent="0.25">
      <c r="T2789" s="71"/>
      <c r="U2789" s="71"/>
      <c r="V2789" s="71"/>
      <c r="W2789" s="71"/>
    </row>
    <row r="2790" spans="20:23" x14ac:dyDescent="0.25">
      <c r="T2790" s="71"/>
      <c r="U2790" s="71"/>
      <c r="V2790" s="71"/>
      <c r="W2790" s="71"/>
    </row>
    <row r="2791" spans="20:23" x14ac:dyDescent="0.25">
      <c r="T2791" s="71"/>
      <c r="U2791" s="71"/>
      <c r="V2791" s="71"/>
      <c r="W2791" s="71"/>
    </row>
    <row r="2792" spans="20:23" x14ac:dyDescent="0.25">
      <c r="T2792" s="71"/>
      <c r="U2792" s="71"/>
      <c r="V2792" s="71"/>
      <c r="W2792" s="71"/>
    </row>
    <row r="2793" spans="20:23" x14ac:dyDescent="0.25">
      <c r="T2793" s="71"/>
      <c r="U2793" s="71"/>
      <c r="V2793" s="71"/>
      <c r="W2793" s="71"/>
    </row>
    <row r="2794" spans="20:23" x14ac:dyDescent="0.25">
      <c r="T2794" s="71"/>
      <c r="U2794" s="71"/>
      <c r="V2794" s="71"/>
      <c r="W2794" s="71"/>
    </row>
    <row r="2795" spans="20:23" x14ac:dyDescent="0.25">
      <c r="T2795" s="71"/>
      <c r="U2795" s="71"/>
      <c r="V2795" s="71"/>
      <c r="W2795" s="71"/>
    </row>
    <row r="2796" spans="20:23" x14ac:dyDescent="0.25">
      <c r="T2796" s="71"/>
      <c r="U2796" s="71"/>
      <c r="V2796" s="71"/>
      <c r="W2796" s="71"/>
    </row>
    <row r="2797" spans="20:23" x14ac:dyDescent="0.25">
      <c r="T2797" s="71"/>
      <c r="U2797" s="71"/>
      <c r="V2797" s="71"/>
      <c r="W2797" s="71"/>
    </row>
    <row r="2798" spans="20:23" x14ac:dyDescent="0.25">
      <c r="T2798" s="71"/>
      <c r="U2798" s="71"/>
      <c r="V2798" s="71"/>
      <c r="W2798" s="71"/>
    </row>
    <row r="2799" spans="20:23" x14ac:dyDescent="0.25">
      <c r="T2799" s="71"/>
      <c r="U2799" s="71"/>
      <c r="V2799" s="71"/>
      <c r="W2799" s="71"/>
    </row>
    <row r="2800" spans="20:23" x14ac:dyDescent="0.25">
      <c r="T2800" s="71"/>
      <c r="U2800" s="71"/>
      <c r="V2800" s="71"/>
      <c r="W2800" s="71"/>
    </row>
    <row r="2801" spans="20:23" x14ac:dyDescent="0.25">
      <c r="T2801" s="71"/>
      <c r="U2801" s="71"/>
      <c r="V2801" s="71"/>
      <c r="W2801" s="71"/>
    </row>
    <row r="2802" spans="20:23" x14ac:dyDescent="0.25">
      <c r="T2802" s="71"/>
      <c r="U2802" s="71"/>
      <c r="V2802" s="71"/>
      <c r="W2802" s="71"/>
    </row>
    <row r="2803" spans="20:23" x14ac:dyDescent="0.25">
      <c r="T2803" s="71"/>
      <c r="U2803" s="71"/>
      <c r="V2803" s="71"/>
      <c r="W2803" s="71"/>
    </row>
    <row r="2804" spans="20:23" x14ac:dyDescent="0.25">
      <c r="T2804" s="71"/>
      <c r="U2804" s="71"/>
      <c r="V2804" s="71"/>
      <c r="W2804" s="71"/>
    </row>
    <row r="2805" spans="20:23" x14ac:dyDescent="0.25">
      <c r="T2805" s="71"/>
      <c r="U2805" s="71"/>
      <c r="V2805" s="71"/>
      <c r="W2805" s="71"/>
    </row>
    <row r="2806" spans="20:23" x14ac:dyDescent="0.25">
      <c r="T2806" s="71"/>
      <c r="U2806" s="71"/>
      <c r="V2806" s="71"/>
      <c r="W2806" s="71"/>
    </row>
    <row r="2807" spans="20:23" x14ac:dyDescent="0.25">
      <c r="T2807" s="71"/>
      <c r="U2807" s="71"/>
      <c r="V2807" s="71"/>
      <c r="W2807" s="71"/>
    </row>
    <row r="2808" spans="20:23" x14ac:dyDescent="0.25">
      <c r="T2808" s="71"/>
      <c r="U2808" s="71"/>
      <c r="V2808" s="71"/>
      <c r="W2808" s="71"/>
    </row>
    <row r="2809" spans="20:23" x14ac:dyDescent="0.25">
      <c r="T2809" s="71"/>
      <c r="U2809" s="71"/>
      <c r="V2809" s="71"/>
      <c r="W2809" s="71"/>
    </row>
    <row r="2810" spans="20:23" x14ac:dyDescent="0.25">
      <c r="T2810" s="71"/>
      <c r="U2810" s="71"/>
      <c r="V2810" s="71"/>
      <c r="W2810" s="71"/>
    </row>
    <row r="2811" spans="20:23" x14ac:dyDescent="0.25">
      <c r="T2811" s="71"/>
      <c r="U2811" s="71"/>
      <c r="V2811" s="71"/>
      <c r="W2811" s="71"/>
    </row>
    <row r="2812" spans="20:23" x14ac:dyDescent="0.25">
      <c r="T2812" s="71"/>
      <c r="U2812" s="71"/>
      <c r="V2812" s="71"/>
      <c r="W2812" s="71"/>
    </row>
    <row r="2813" spans="20:23" x14ac:dyDescent="0.25">
      <c r="T2813" s="71"/>
      <c r="U2813" s="71"/>
      <c r="V2813" s="71"/>
      <c r="W2813" s="71"/>
    </row>
    <row r="2814" spans="20:23" x14ac:dyDescent="0.25">
      <c r="T2814" s="71"/>
      <c r="U2814" s="71"/>
      <c r="V2814" s="71"/>
      <c r="W2814" s="71"/>
    </row>
    <row r="2815" spans="20:23" x14ac:dyDescent="0.25">
      <c r="T2815" s="71"/>
      <c r="U2815" s="71"/>
      <c r="V2815" s="71"/>
      <c r="W2815" s="71"/>
    </row>
    <row r="2816" spans="20:23" x14ac:dyDescent="0.25">
      <c r="T2816" s="71"/>
      <c r="U2816" s="71"/>
      <c r="V2816" s="71"/>
      <c r="W2816" s="71"/>
    </row>
    <row r="2817" spans="20:23" x14ac:dyDescent="0.25">
      <c r="T2817" s="71"/>
      <c r="U2817" s="71"/>
      <c r="V2817" s="71"/>
      <c r="W2817" s="71"/>
    </row>
    <row r="2818" spans="20:23" x14ac:dyDescent="0.25">
      <c r="T2818" s="71"/>
      <c r="U2818" s="71"/>
      <c r="V2818" s="71"/>
      <c r="W2818" s="71"/>
    </row>
    <row r="2819" spans="20:23" x14ac:dyDescent="0.25">
      <c r="T2819" s="71"/>
      <c r="U2819" s="71"/>
      <c r="V2819" s="71"/>
      <c r="W2819" s="71"/>
    </row>
    <row r="2820" spans="20:23" x14ac:dyDescent="0.25">
      <c r="T2820" s="71"/>
      <c r="U2820" s="71"/>
      <c r="V2820" s="71"/>
      <c r="W2820" s="71"/>
    </row>
    <row r="2821" spans="20:23" x14ac:dyDescent="0.25">
      <c r="T2821" s="71"/>
      <c r="U2821" s="71"/>
      <c r="V2821" s="71"/>
      <c r="W2821" s="71"/>
    </row>
    <row r="2822" spans="20:23" x14ac:dyDescent="0.25">
      <c r="T2822" s="71"/>
      <c r="U2822" s="71"/>
      <c r="V2822" s="71"/>
      <c r="W2822" s="71"/>
    </row>
    <row r="2823" spans="20:23" x14ac:dyDescent="0.25">
      <c r="T2823" s="71"/>
      <c r="U2823" s="71"/>
      <c r="V2823" s="71"/>
      <c r="W2823" s="71"/>
    </row>
    <row r="2824" spans="20:23" x14ac:dyDescent="0.25">
      <c r="T2824" s="71"/>
      <c r="U2824" s="71"/>
      <c r="V2824" s="71"/>
      <c r="W2824" s="71"/>
    </row>
    <row r="2825" spans="20:23" x14ac:dyDescent="0.25">
      <c r="T2825" s="71"/>
      <c r="U2825" s="71"/>
      <c r="V2825" s="71"/>
      <c r="W2825" s="71"/>
    </row>
    <row r="2826" spans="20:23" x14ac:dyDescent="0.25">
      <c r="T2826" s="71"/>
      <c r="U2826" s="71"/>
      <c r="V2826" s="71"/>
      <c r="W2826" s="71"/>
    </row>
    <row r="2827" spans="20:23" x14ac:dyDescent="0.25">
      <c r="T2827" s="71"/>
      <c r="U2827" s="71"/>
      <c r="V2827" s="71"/>
      <c r="W2827" s="71"/>
    </row>
    <row r="2828" spans="20:23" x14ac:dyDescent="0.25">
      <c r="T2828" s="71"/>
      <c r="U2828" s="71"/>
      <c r="V2828" s="71"/>
      <c r="W2828" s="71"/>
    </row>
    <row r="2829" spans="20:23" x14ac:dyDescent="0.25">
      <c r="T2829" s="71"/>
      <c r="U2829" s="71"/>
      <c r="V2829" s="71"/>
      <c r="W2829" s="71"/>
    </row>
    <row r="2830" spans="20:23" x14ac:dyDescent="0.25">
      <c r="T2830" s="71"/>
      <c r="U2830" s="71"/>
      <c r="V2830" s="71"/>
      <c r="W2830" s="71"/>
    </row>
    <row r="2831" spans="20:23" x14ac:dyDescent="0.25">
      <c r="T2831" s="71"/>
      <c r="U2831" s="71"/>
      <c r="V2831" s="71"/>
      <c r="W2831" s="71"/>
    </row>
    <row r="2832" spans="20:23" x14ac:dyDescent="0.25">
      <c r="T2832" s="71"/>
      <c r="U2832" s="71"/>
      <c r="V2832" s="71"/>
      <c r="W2832" s="71"/>
    </row>
    <row r="2833" spans="20:23" x14ac:dyDescent="0.25">
      <c r="T2833" s="71"/>
      <c r="U2833" s="71"/>
      <c r="V2833" s="71"/>
      <c r="W2833" s="71"/>
    </row>
    <row r="2834" spans="20:23" x14ac:dyDescent="0.25">
      <c r="T2834" s="71"/>
      <c r="U2834" s="71"/>
      <c r="V2834" s="71"/>
      <c r="W2834" s="71"/>
    </row>
    <row r="2835" spans="20:23" x14ac:dyDescent="0.25">
      <c r="T2835" s="71"/>
      <c r="U2835" s="71"/>
      <c r="V2835" s="71"/>
      <c r="W2835" s="71"/>
    </row>
    <row r="2836" spans="20:23" x14ac:dyDescent="0.25">
      <c r="T2836" s="71"/>
      <c r="U2836" s="71"/>
      <c r="V2836" s="71"/>
      <c r="W2836" s="71"/>
    </row>
    <row r="2837" spans="20:23" x14ac:dyDescent="0.25">
      <c r="T2837" s="71"/>
      <c r="U2837" s="71"/>
      <c r="V2837" s="71"/>
      <c r="W2837" s="71"/>
    </row>
    <row r="2838" spans="20:23" x14ac:dyDescent="0.25">
      <c r="T2838" s="71"/>
      <c r="U2838" s="71"/>
      <c r="V2838" s="71"/>
      <c r="W2838" s="71"/>
    </row>
    <row r="2839" spans="20:23" x14ac:dyDescent="0.25">
      <c r="T2839" s="71"/>
      <c r="U2839" s="71"/>
      <c r="V2839" s="71"/>
      <c r="W2839" s="71"/>
    </row>
    <row r="2840" spans="20:23" x14ac:dyDescent="0.25">
      <c r="T2840" s="71"/>
      <c r="U2840" s="71"/>
      <c r="V2840" s="71"/>
      <c r="W2840" s="71"/>
    </row>
    <row r="2841" spans="20:23" x14ac:dyDescent="0.25">
      <c r="T2841" s="71"/>
      <c r="U2841" s="71"/>
      <c r="V2841" s="71"/>
      <c r="W2841" s="71"/>
    </row>
    <row r="2842" spans="20:23" x14ac:dyDescent="0.25">
      <c r="T2842" s="71"/>
      <c r="U2842" s="71"/>
      <c r="V2842" s="71"/>
      <c r="W2842" s="71"/>
    </row>
    <row r="2843" spans="20:23" x14ac:dyDescent="0.25">
      <c r="T2843" s="71"/>
      <c r="U2843" s="71"/>
      <c r="V2843" s="71"/>
      <c r="W2843" s="71"/>
    </row>
    <row r="2844" spans="20:23" x14ac:dyDescent="0.25">
      <c r="T2844" s="71"/>
      <c r="U2844" s="71"/>
      <c r="V2844" s="71"/>
      <c r="W2844" s="71"/>
    </row>
    <row r="2845" spans="20:23" x14ac:dyDescent="0.25">
      <c r="T2845" s="71"/>
      <c r="U2845" s="71"/>
      <c r="V2845" s="71"/>
      <c r="W2845" s="71"/>
    </row>
    <row r="2846" spans="20:23" x14ac:dyDescent="0.25">
      <c r="T2846" s="71"/>
      <c r="U2846" s="71"/>
      <c r="V2846" s="71"/>
      <c r="W2846" s="71"/>
    </row>
    <row r="2847" spans="20:23" x14ac:dyDescent="0.25">
      <c r="T2847" s="71"/>
      <c r="U2847" s="71"/>
      <c r="V2847" s="71"/>
      <c r="W2847" s="71"/>
    </row>
    <row r="2848" spans="20:23" x14ac:dyDescent="0.25">
      <c r="T2848" s="71"/>
      <c r="U2848" s="71"/>
      <c r="V2848" s="71"/>
      <c r="W2848" s="71"/>
    </row>
    <row r="2849" spans="20:23" x14ac:dyDescent="0.25">
      <c r="T2849" s="71"/>
      <c r="U2849" s="71"/>
      <c r="V2849" s="71"/>
      <c r="W2849" s="71"/>
    </row>
    <row r="2850" spans="20:23" x14ac:dyDescent="0.25">
      <c r="T2850" s="71"/>
      <c r="U2850" s="71"/>
      <c r="V2850" s="71"/>
      <c r="W2850" s="71"/>
    </row>
    <row r="2851" spans="20:23" x14ac:dyDescent="0.25">
      <c r="T2851" s="71"/>
      <c r="U2851" s="71"/>
      <c r="V2851" s="71"/>
      <c r="W2851" s="71"/>
    </row>
    <row r="2852" spans="20:23" x14ac:dyDescent="0.25">
      <c r="T2852" s="71"/>
      <c r="U2852" s="71"/>
      <c r="V2852" s="71"/>
      <c r="W2852" s="71"/>
    </row>
    <row r="2853" spans="20:23" x14ac:dyDescent="0.25">
      <c r="T2853" s="71"/>
      <c r="U2853" s="71"/>
      <c r="V2853" s="71"/>
      <c r="W2853" s="71"/>
    </row>
    <row r="2854" spans="20:23" x14ac:dyDescent="0.25">
      <c r="T2854" s="71"/>
      <c r="U2854" s="71"/>
      <c r="V2854" s="71"/>
      <c r="W2854" s="71"/>
    </row>
    <row r="2855" spans="20:23" x14ac:dyDescent="0.25">
      <c r="T2855" s="71"/>
      <c r="U2855" s="71"/>
      <c r="V2855" s="71"/>
      <c r="W2855" s="71"/>
    </row>
    <row r="2856" spans="20:23" x14ac:dyDescent="0.25">
      <c r="T2856" s="71"/>
      <c r="U2856" s="71"/>
      <c r="V2856" s="71"/>
      <c r="W2856" s="71"/>
    </row>
    <row r="2857" spans="20:23" x14ac:dyDescent="0.25">
      <c r="T2857" s="71"/>
      <c r="U2857" s="71"/>
      <c r="V2857" s="71"/>
      <c r="W2857" s="71"/>
    </row>
    <row r="2858" spans="20:23" x14ac:dyDescent="0.25">
      <c r="T2858" s="71"/>
      <c r="U2858" s="71"/>
      <c r="V2858" s="71"/>
      <c r="W2858" s="71"/>
    </row>
    <row r="2859" spans="20:23" x14ac:dyDescent="0.25">
      <c r="T2859" s="71"/>
      <c r="U2859" s="71"/>
      <c r="V2859" s="71"/>
      <c r="W2859" s="71"/>
    </row>
    <row r="2860" spans="20:23" x14ac:dyDescent="0.25">
      <c r="T2860" s="71"/>
      <c r="U2860" s="71"/>
      <c r="V2860" s="71"/>
      <c r="W2860" s="71"/>
    </row>
    <row r="2861" spans="20:23" x14ac:dyDescent="0.25">
      <c r="T2861" s="71"/>
      <c r="U2861" s="71"/>
      <c r="V2861" s="71"/>
      <c r="W2861" s="71"/>
    </row>
    <row r="2862" spans="20:23" x14ac:dyDescent="0.25">
      <c r="T2862" s="71"/>
      <c r="U2862" s="71"/>
      <c r="V2862" s="71"/>
      <c r="W2862" s="71"/>
    </row>
    <row r="2863" spans="20:23" x14ac:dyDescent="0.25">
      <c r="T2863" s="71"/>
      <c r="U2863" s="71"/>
      <c r="V2863" s="71"/>
      <c r="W2863" s="71"/>
    </row>
    <row r="2864" spans="20:23" x14ac:dyDescent="0.25">
      <c r="T2864" s="71"/>
      <c r="U2864" s="71"/>
      <c r="V2864" s="71"/>
      <c r="W2864" s="71"/>
    </row>
    <row r="2865" spans="20:23" x14ac:dyDescent="0.25">
      <c r="T2865" s="71"/>
      <c r="U2865" s="71"/>
      <c r="V2865" s="71"/>
      <c r="W2865" s="71"/>
    </row>
    <row r="2866" spans="20:23" x14ac:dyDescent="0.25">
      <c r="T2866" s="71"/>
      <c r="U2866" s="71"/>
      <c r="V2866" s="71"/>
      <c r="W2866" s="71"/>
    </row>
    <row r="2867" spans="20:23" x14ac:dyDescent="0.25">
      <c r="T2867" s="71"/>
      <c r="U2867" s="71"/>
      <c r="V2867" s="71"/>
      <c r="W2867" s="71"/>
    </row>
    <row r="2868" spans="20:23" x14ac:dyDescent="0.25">
      <c r="T2868" s="71"/>
      <c r="U2868" s="71"/>
      <c r="V2868" s="71"/>
      <c r="W2868" s="71"/>
    </row>
    <row r="2869" spans="20:23" x14ac:dyDescent="0.25">
      <c r="T2869" s="71"/>
      <c r="U2869" s="71"/>
      <c r="V2869" s="71"/>
      <c r="W2869" s="71"/>
    </row>
    <row r="2870" spans="20:23" x14ac:dyDescent="0.25">
      <c r="T2870" s="71"/>
      <c r="U2870" s="71"/>
      <c r="V2870" s="71"/>
      <c r="W2870" s="71"/>
    </row>
    <row r="2871" spans="20:23" x14ac:dyDescent="0.25">
      <c r="T2871" s="71"/>
      <c r="U2871" s="71"/>
      <c r="V2871" s="71"/>
      <c r="W2871" s="71"/>
    </row>
    <row r="2872" spans="20:23" x14ac:dyDescent="0.25">
      <c r="T2872" s="71"/>
      <c r="U2872" s="71"/>
      <c r="V2872" s="71"/>
      <c r="W2872" s="71"/>
    </row>
    <row r="2873" spans="20:23" x14ac:dyDescent="0.25">
      <c r="T2873" s="71"/>
      <c r="U2873" s="71"/>
      <c r="V2873" s="71"/>
      <c r="W2873" s="71"/>
    </row>
    <row r="2874" spans="20:23" x14ac:dyDescent="0.25">
      <c r="T2874" s="71"/>
      <c r="U2874" s="71"/>
      <c r="V2874" s="71"/>
      <c r="W2874" s="71"/>
    </row>
    <row r="2875" spans="20:23" x14ac:dyDescent="0.25">
      <c r="T2875" s="71"/>
      <c r="U2875" s="71"/>
      <c r="V2875" s="71"/>
      <c r="W2875" s="71"/>
    </row>
    <row r="2876" spans="20:23" x14ac:dyDescent="0.25">
      <c r="T2876" s="71"/>
      <c r="U2876" s="71"/>
      <c r="V2876" s="71"/>
      <c r="W2876" s="71"/>
    </row>
    <row r="2877" spans="20:23" x14ac:dyDescent="0.25">
      <c r="T2877" s="71"/>
      <c r="U2877" s="71"/>
      <c r="V2877" s="71"/>
      <c r="W2877" s="71"/>
    </row>
    <row r="2878" spans="20:23" x14ac:dyDescent="0.25">
      <c r="T2878" s="71"/>
      <c r="U2878" s="71"/>
      <c r="V2878" s="71"/>
      <c r="W2878" s="71"/>
    </row>
    <row r="2879" spans="20:23" x14ac:dyDescent="0.25">
      <c r="T2879" s="71"/>
      <c r="U2879" s="71"/>
      <c r="V2879" s="71"/>
      <c r="W2879" s="71"/>
    </row>
    <row r="2880" spans="20:23" x14ac:dyDescent="0.25">
      <c r="T2880" s="71"/>
      <c r="U2880" s="71"/>
      <c r="V2880" s="71"/>
      <c r="W2880" s="71"/>
    </row>
    <row r="2881" spans="20:23" x14ac:dyDescent="0.25">
      <c r="T2881" s="71"/>
      <c r="U2881" s="71"/>
      <c r="V2881" s="71"/>
      <c r="W2881" s="71"/>
    </row>
    <row r="2882" spans="20:23" x14ac:dyDescent="0.25">
      <c r="T2882" s="71"/>
      <c r="U2882" s="71"/>
      <c r="V2882" s="71"/>
      <c r="W2882" s="71"/>
    </row>
    <row r="2883" spans="20:23" x14ac:dyDescent="0.25">
      <c r="T2883" s="71"/>
      <c r="U2883" s="71"/>
      <c r="V2883" s="71"/>
      <c r="W2883" s="71"/>
    </row>
    <row r="2884" spans="20:23" x14ac:dyDescent="0.25">
      <c r="T2884" s="71"/>
      <c r="U2884" s="71"/>
      <c r="V2884" s="71"/>
      <c r="W2884" s="71"/>
    </row>
    <row r="2885" spans="20:23" x14ac:dyDescent="0.25">
      <c r="T2885" s="71"/>
      <c r="U2885" s="71"/>
      <c r="V2885" s="71"/>
      <c r="W2885" s="71"/>
    </row>
    <row r="2886" spans="20:23" x14ac:dyDescent="0.25">
      <c r="T2886" s="71"/>
      <c r="U2886" s="71"/>
      <c r="V2886" s="71"/>
      <c r="W2886" s="71"/>
    </row>
    <row r="2887" spans="20:23" x14ac:dyDescent="0.25">
      <c r="T2887" s="71"/>
      <c r="U2887" s="71"/>
      <c r="V2887" s="71"/>
      <c r="W2887" s="71"/>
    </row>
    <row r="2888" spans="20:23" x14ac:dyDescent="0.25">
      <c r="T2888" s="71"/>
      <c r="U2888" s="71"/>
      <c r="V2888" s="71"/>
      <c r="W2888" s="71"/>
    </row>
    <row r="2889" spans="20:23" x14ac:dyDescent="0.25">
      <c r="T2889" s="71"/>
      <c r="U2889" s="71"/>
      <c r="V2889" s="71"/>
      <c r="W2889" s="71"/>
    </row>
    <row r="2890" spans="20:23" x14ac:dyDescent="0.25">
      <c r="T2890" s="71"/>
      <c r="U2890" s="71"/>
      <c r="V2890" s="71"/>
      <c r="W2890" s="71"/>
    </row>
    <row r="2891" spans="20:23" x14ac:dyDescent="0.25">
      <c r="T2891" s="71"/>
      <c r="U2891" s="71"/>
      <c r="V2891" s="71"/>
      <c r="W2891" s="71"/>
    </row>
    <row r="2892" spans="20:23" x14ac:dyDescent="0.25">
      <c r="T2892" s="71"/>
      <c r="U2892" s="71"/>
      <c r="V2892" s="71"/>
      <c r="W2892" s="71"/>
    </row>
    <row r="2893" spans="20:23" x14ac:dyDescent="0.25">
      <c r="T2893" s="71"/>
      <c r="U2893" s="71"/>
      <c r="V2893" s="71"/>
      <c r="W2893" s="71"/>
    </row>
    <row r="2894" spans="20:23" x14ac:dyDescent="0.25">
      <c r="T2894" s="71"/>
      <c r="U2894" s="71"/>
      <c r="V2894" s="71"/>
      <c r="W2894" s="71"/>
    </row>
    <row r="2895" spans="20:23" x14ac:dyDescent="0.25">
      <c r="T2895" s="71"/>
      <c r="U2895" s="71"/>
      <c r="V2895" s="71"/>
      <c r="W2895" s="71"/>
    </row>
    <row r="2896" spans="20:23" x14ac:dyDescent="0.25">
      <c r="T2896" s="71"/>
      <c r="U2896" s="71"/>
      <c r="V2896" s="71"/>
      <c r="W2896" s="71"/>
    </row>
    <row r="2897" spans="20:23" x14ac:dyDescent="0.25">
      <c r="T2897" s="71"/>
      <c r="U2897" s="71"/>
      <c r="V2897" s="71"/>
      <c r="W2897" s="71"/>
    </row>
    <row r="2898" spans="20:23" x14ac:dyDescent="0.25">
      <c r="T2898" s="71"/>
      <c r="U2898" s="71"/>
      <c r="V2898" s="71"/>
      <c r="W2898" s="71"/>
    </row>
    <row r="2899" spans="20:23" x14ac:dyDescent="0.25">
      <c r="T2899" s="71"/>
      <c r="U2899" s="71"/>
      <c r="V2899" s="71"/>
      <c r="W2899" s="71"/>
    </row>
    <row r="2900" spans="20:23" x14ac:dyDescent="0.25">
      <c r="T2900" s="71"/>
      <c r="U2900" s="71"/>
      <c r="V2900" s="71"/>
      <c r="W2900" s="71"/>
    </row>
    <row r="2901" spans="20:23" x14ac:dyDescent="0.25">
      <c r="T2901" s="71"/>
      <c r="U2901" s="71"/>
      <c r="V2901" s="71"/>
      <c r="W2901" s="71"/>
    </row>
    <row r="2902" spans="20:23" x14ac:dyDescent="0.25">
      <c r="T2902" s="71"/>
      <c r="U2902" s="71"/>
      <c r="V2902" s="71"/>
      <c r="W2902" s="71"/>
    </row>
    <row r="2903" spans="20:23" x14ac:dyDescent="0.25">
      <c r="T2903" s="71"/>
      <c r="U2903" s="71"/>
      <c r="V2903" s="71"/>
      <c r="W2903" s="71"/>
    </row>
    <row r="2904" spans="20:23" x14ac:dyDescent="0.25">
      <c r="T2904" s="71"/>
      <c r="U2904" s="71"/>
      <c r="V2904" s="71"/>
      <c r="W2904" s="71"/>
    </row>
    <row r="2905" spans="20:23" x14ac:dyDescent="0.25">
      <c r="T2905" s="71"/>
      <c r="U2905" s="71"/>
      <c r="V2905" s="71"/>
      <c r="W2905" s="71"/>
    </row>
    <row r="2906" spans="20:23" x14ac:dyDescent="0.25">
      <c r="T2906" s="71"/>
      <c r="U2906" s="71"/>
      <c r="V2906" s="71"/>
      <c r="W2906" s="71"/>
    </row>
    <row r="2907" spans="20:23" x14ac:dyDescent="0.25">
      <c r="T2907" s="71"/>
      <c r="U2907" s="71"/>
      <c r="V2907" s="71"/>
      <c r="W2907" s="71"/>
    </row>
    <row r="2908" spans="20:23" x14ac:dyDescent="0.25">
      <c r="T2908" s="71"/>
      <c r="U2908" s="71"/>
      <c r="V2908" s="71"/>
      <c r="W2908" s="71"/>
    </row>
    <row r="2909" spans="20:23" x14ac:dyDescent="0.25">
      <c r="T2909" s="71"/>
      <c r="U2909" s="71"/>
      <c r="V2909" s="71"/>
      <c r="W2909" s="71"/>
    </row>
    <row r="2910" spans="20:23" x14ac:dyDescent="0.25">
      <c r="T2910" s="71"/>
      <c r="U2910" s="71"/>
      <c r="V2910" s="71"/>
      <c r="W2910" s="71"/>
    </row>
    <row r="2911" spans="20:23" x14ac:dyDescent="0.25">
      <c r="T2911" s="71"/>
      <c r="U2911" s="71"/>
      <c r="V2911" s="71"/>
      <c r="W2911" s="71"/>
    </row>
    <row r="2912" spans="20:23" x14ac:dyDescent="0.25">
      <c r="T2912" s="71"/>
      <c r="U2912" s="71"/>
      <c r="V2912" s="71"/>
      <c r="W2912" s="71"/>
    </row>
    <row r="2913" spans="20:23" x14ac:dyDescent="0.25">
      <c r="T2913" s="71"/>
      <c r="U2913" s="71"/>
      <c r="V2913" s="71"/>
      <c r="W2913" s="71"/>
    </row>
    <row r="2914" spans="20:23" x14ac:dyDescent="0.25">
      <c r="T2914" s="71"/>
      <c r="U2914" s="71"/>
      <c r="V2914" s="71"/>
      <c r="W2914" s="71"/>
    </row>
    <row r="2915" spans="20:23" x14ac:dyDescent="0.25">
      <c r="T2915" s="71"/>
      <c r="U2915" s="71"/>
      <c r="V2915" s="71"/>
      <c r="W2915" s="71"/>
    </row>
    <row r="2916" spans="20:23" x14ac:dyDescent="0.25">
      <c r="T2916" s="71"/>
      <c r="U2916" s="71"/>
      <c r="V2916" s="71"/>
      <c r="W2916" s="71"/>
    </row>
    <row r="2917" spans="20:23" x14ac:dyDescent="0.25">
      <c r="T2917" s="71"/>
      <c r="U2917" s="71"/>
      <c r="V2917" s="71"/>
      <c r="W2917" s="71"/>
    </row>
    <row r="2918" spans="20:23" x14ac:dyDescent="0.25">
      <c r="T2918" s="71"/>
      <c r="U2918" s="71"/>
      <c r="V2918" s="71"/>
      <c r="W2918" s="71"/>
    </row>
    <row r="2919" spans="20:23" x14ac:dyDescent="0.25">
      <c r="T2919" s="71"/>
      <c r="U2919" s="71"/>
      <c r="V2919" s="71"/>
      <c r="W2919" s="71"/>
    </row>
    <row r="2920" spans="20:23" x14ac:dyDescent="0.25">
      <c r="T2920" s="71"/>
      <c r="U2920" s="71"/>
      <c r="V2920" s="71"/>
      <c r="W2920" s="71"/>
    </row>
    <row r="2921" spans="20:23" x14ac:dyDescent="0.25">
      <c r="T2921" s="71"/>
      <c r="U2921" s="71"/>
      <c r="V2921" s="71"/>
      <c r="W2921" s="71"/>
    </row>
    <row r="2922" spans="20:23" x14ac:dyDescent="0.25">
      <c r="T2922" s="71"/>
      <c r="U2922" s="71"/>
      <c r="V2922" s="71"/>
      <c r="W2922" s="71"/>
    </row>
    <row r="2923" spans="20:23" x14ac:dyDescent="0.25">
      <c r="T2923" s="71"/>
      <c r="U2923" s="71"/>
      <c r="V2923" s="71"/>
      <c r="W2923" s="71"/>
    </row>
    <row r="2924" spans="20:23" x14ac:dyDescent="0.25">
      <c r="T2924" s="71"/>
      <c r="U2924" s="71"/>
      <c r="V2924" s="71"/>
      <c r="W2924" s="71"/>
    </row>
    <row r="2925" spans="20:23" x14ac:dyDescent="0.25">
      <c r="T2925" s="71"/>
      <c r="U2925" s="71"/>
      <c r="V2925" s="71"/>
      <c r="W2925" s="71"/>
    </row>
    <row r="2926" spans="20:23" x14ac:dyDescent="0.25">
      <c r="T2926" s="71"/>
      <c r="U2926" s="71"/>
      <c r="V2926" s="71"/>
      <c r="W2926" s="71"/>
    </row>
    <row r="2927" spans="20:23" x14ac:dyDescent="0.25">
      <c r="T2927" s="71"/>
      <c r="U2927" s="71"/>
      <c r="V2927" s="71"/>
      <c r="W2927" s="71"/>
    </row>
    <row r="2928" spans="20:23" x14ac:dyDescent="0.25">
      <c r="T2928" s="71"/>
      <c r="U2928" s="71"/>
      <c r="V2928" s="71"/>
      <c r="W2928" s="71"/>
    </row>
    <row r="2929" spans="20:23" x14ac:dyDescent="0.25">
      <c r="T2929" s="71"/>
      <c r="U2929" s="71"/>
      <c r="V2929" s="71"/>
      <c r="W2929" s="71"/>
    </row>
    <row r="2930" spans="20:23" x14ac:dyDescent="0.25">
      <c r="T2930" s="71"/>
      <c r="U2930" s="71"/>
      <c r="V2930" s="71"/>
      <c r="W2930" s="71"/>
    </row>
    <row r="2931" spans="20:23" x14ac:dyDescent="0.25">
      <c r="T2931" s="71"/>
      <c r="U2931" s="71"/>
      <c r="V2931" s="71"/>
      <c r="W2931" s="71"/>
    </row>
    <row r="2932" spans="20:23" x14ac:dyDescent="0.25">
      <c r="T2932" s="71"/>
      <c r="U2932" s="71"/>
      <c r="V2932" s="71"/>
      <c r="W2932" s="71"/>
    </row>
    <row r="2933" spans="20:23" x14ac:dyDescent="0.25">
      <c r="T2933" s="71"/>
      <c r="U2933" s="71"/>
      <c r="V2933" s="71"/>
      <c r="W2933" s="71"/>
    </row>
    <row r="2934" spans="20:23" x14ac:dyDescent="0.25">
      <c r="T2934" s="71"/>
      <c r="U2934" s="71"/>
      <c r="V2934" s="71"/>
      <c r="W2934" s="71"/>
    </row>
    <row r="2935" spans="20:23" x14ac:dyDescent="0.25">
      <c r="T2935" s="71"/>
      <c r="U2935" s="71"/>
      <c r="V2935" s="71"/>
      <c r="W2935" s="71"/>
    </row>
    <row r="2936" spans="20:23" x14ac:dyDescent="0.25">
      <c r="T2936" s="71"/>
      <c r="U2936" s="71"/>
      <c r="V2936" s="71"/>
      <c r="W2936" s="71"/>
    </row>
    <row r="2937" spans="20:23" x14ac:dyDescent="0.25">
      <c r="T2937" s="71"/>
      <c r="U2937" s="71"/>
      <c r="V2937" s="71"/>
      <c r="W2937" s="71"/>
    </row>
    <row r="2938" spans="20:23" x14ac:dyDescent="0.25">
      <c r="T2938" s="71"/>
      <c r="U2938" s="71"/>
      <c r="V2938" s="71"/>
      <c r="W2938" s="71"/>
    </row>
    <row r="2939" spans="20:23" x14ac:dyDescent="0.25">
      <c r="T2939" s="71"/>
      <c r="U2939" s="71"/>
      <c r="V2939" s="71"/>
      <c r="W2939" s="71"/>
    </row>
    <row r="2940" spans="20:23" x14ac:dyDescent="0.25">
      <c r="T2940" s="71"/>
      <c r="U2940" s="71"/>
      <c r="V2940" s="71"/>
      <c r="W2940" s="71"/>
    </row>
    <row r="2941" spans="20:23" x14ac:dyDescent="0.25">
      <c r="T2941" s="71"/>
      <c r="U2941" s="71"/>
      <c r="V2941" s="71"/>
      <c r="W2941" s="71"/>
    </row>
    <row r="2942" spans="20:23" x14ac:dyDescent="0.25">
      <c r="T2942" s="71"/>
      <c r="U2942" s="71"/>
      <c r="V2942" s="71"/>
      <c r="W2942" s="71"/>
    </row>
    <row r="2943" spans="20:23" x14ac:dyDescent="0.25">
      <c r="T2943" s="71"/>
      <c r="U2943" s="71"/>
      <c r="V2943" s="71"/>
      <c r="W2943" s="71"/>
    </row>
    <row r="2944" spans="20:23" x14ac:dyDescent="0.25">
      <c r="T2944" s="71"/>
      <c r="U2944" s="71"/>
      <c r="V2944" s="71"/>
      <c r="W2944" s="71"/>
    </row>
    <row r="2945" spans="20:23" x14ac:dyDescent="0.25">
      <c r="T2945" s="71"/>
      <c r="U2945" s="71"/>
      <c r="V2945" s="71"/>
      <c r="W2945" s="71"/>
    </row>
    <row r="2946" spans="20:23" x14ac:dyDescent="0.25">
      <c r="T2946" s="71"/>
      <c r="U2946" s="71"/>
      <c r="V2946" s="71"/>
      <c r="W2946" s="71"/>
    </row>
    <row r="2947" spans="20:23" x14ac:dyDescent="0.25">
      <c r="T2947" s="71"/>
      <c r="U2947" s="71"/>
      <c r="V2947" s="71"/>
      <c r="W2947" s="71"/>
    </row>
    <row r="2948" spans="20:23" x14ac:dyDescent="0.25">
      <c r="T2948" s="71"/>
      <c r="U2948" s="71"/>
      <c r="V2948" s="71"/>
      <c r="W2948" s="71"/>
    </row>
    <row r="2949" spans="20:23" x14ac:dyDescent="0.25">
      <c r="T2949" s="71"/>
      <c r="U2949" s="71"/>
      <c r="V2949" s="71"/>
      <c r="W2949" s="71"/>
    </row>
    <row r="2950" spans="20:23" x14ac:dyDescent="0.25">
      <c r="T2950" s="71"/>
      <c r="U2950" s="71"/>
      <c r="V2950" s="71"/>
      <c r="W2950" s="71"/>
    </row>
    <row r="2951" spans="20:23" x14ac:dyDescent="0.25">
      <c r="T2951" s="71"/>
      <c r="U2951" s="71"/>
      <c r="V2951" s="71"/>
      <c r="W2951" s="71"/>
    </row>
    <row r="2952" spans="20:23" x14ac:dyDescent="0.25">
      <c r="T2952" s="71"/>
      <c r="U2952" s="71"/>
      <c r="V2952" s="71"/>
      <c r="W2952" s="71"/>
    </row>
    <row r="2953" spans="20:23" x14ac:dyDescent="0.25">
      <c r="T2953" s="71"/>
      <c r="U2953" s="71"/>
      <c r="V2953" s="71"/>
      <c r="W2953" s="71"/>
    </row>
    <row r="2954" spans="20:23" x14ac:dyDescent="0.25">
      <c r="T2954" s="71"/>
      <c r="U2954" s="71"/>
      <c r="V2954" s="71"/>
      <c r="W2954" s="71"/>
    </row>
    <row r="2955" spans="20:23" x14ac:dyDescent="0.25">
      <c r="T2955" s="71"/>
      <c r="U2955" s="71"/>
      <c r="V2955" s="71"/>
      <c r="W2955" s="71"/>
    </row>
    <row r="2956" spans="20:23" x14ac:dyDescent="0.25">
      <c r="T2956" s="71"/>
      <c r="U2956" s="71"/>
      <c r="V2956" s="71"/>
      <c r="W2956" s="71"/>
    </row>
    <row r="2957" spans="20:23" x14ac:dyDescent="0.25">
      <c r="T2957" s="71"/>
      <c r="U2957" s="71"/>
      <c r="V2957" s="71"/>
      <c r="W2957" s="71"/>
    </row>
    <row r="2958" spans="20:23" x14ac:dyDescent="0.25">
      <c r="T2958" s="71"/>
      <c r="U2958" s="71"/>
      <c r="V2958" s="71"/>
      <c r="W2958" s="71"/>
    </row>
    <row r="2959" spans="20:23" x14ac:dyDescent="0.25">
      <c r="T2959" s="71"/>
      <c r="U2959" s="71"/>
      <c r="V2959" s="71"/>
      <c r="W2959" s="71"/>
    </row>
    <row r="2960" spans="20:23" x14ac:dyDescent="0.25">
      <c r="T2960" s="71"/>
      <c r="U2960" s="71"/>
      <c r="V2960" s="71"/>
      <c r="W2960" s="71"/>
    </row>
    <row r="2961" spans="20:23" x14ac:dyDescent="0.25">
      <c r="T2961" s="71"/>
      <c r="U2961" s="71"/>
      <c r="V2961" s="71"/>
      <c r="W2961" s="71"/>
    </row>
    <row r="2962" spans="20:23" x14ac:dyDescent="0.25">
      <c r="T2962" s="71"/>
      <c r="U2962" s="71"/>
      <c r="V2962" s="71"/>
      <c r="W2962" s="71"/>
    </row>
    <row r="2963" spans="20:23" x14ac:dyDescent="0.25">
      <c r="T2963" s="71"/>
      <c r="U2963" s="71"/>
      <c r="V2963" s="71"/>
      <c r="W2963" s="71"/>
    </row>
    <row r="2964" spans="20:23" x14ac:dyDescent="0.25">
      <c r="T2964" s="71"/>
      <c r="U2964" s="71"/>
      <c r="V2964" s="71"/>
      <c r="W2964" s="71"/>
    </row>
    <row r="2965" spans="20:23" x14ac:dyDescent="0.25">
      <c r="T2965" s="71"/>
      <c r="U2965" s="71"/>
      <c r="V2965" s="71"/>
      <c r="W2965" s="71"/>
    </row>
    <row r="2966" spans="20:23" x14ac:dyDescent="0.25">
      <c r="T2966" s="71"/>
      <c r="U2966" s="71"/>
      <c r="V2966" s="71"/>
      <c r="W2966" s="71"/>
    </row>
    <row r="2967" spans="20:23" x14ac:dyDescent="0.25">
      <c r="T2967" s="71"/>
      <c r="U2967" s="71"/>
      <c r="V2967" s="71"/>
      <c r="W2967" s="71"/>
    </row>
    <row r="2968" spans="20:23" x14ac:dyDescent="0.25">
      <c r="T2968" s="71"/>
      <c r="U2968" s="71"/>
      <c r="V2968" s="71"/>
      <c r="W2968" s="71"/>
    </row>
    <row r="2969" spans="20:23" x14ac:dyDescent="0.25">
      <c r="T2969" s="71"/>
      <c r="U2969" s="71"/>
      <c r="V2969" s="71"/>
      <c r="W2969" s="71"/>
    </row>
    <row r="2970" spans="20:23" x14ac:dyDescent="0.25">
      <c r="T2970" s="71"/>
      <c r="U2970" s="71"/>
      <c r="V2970" s="71"/>
      <c r="W2970" s="71"/>
    </row>
    <row r="2971" spans="20:23" x14ac:dyDescent="0.25">
      <c r="T2971" s="71"/>
      <c r="U2971" s="71"/>
      <c r="V2971" s="71"/>
      <c r="W2971" s="71"/>
    </row>
    <row r="2972" spans="20:23" x14ac:dyDescent="0.25">
      <c r="T2972" s="71"/>
      <c r="U2972" s="71"/>
      <c r="V2972" s="71"/>
      <c r="W2972" s="71"/>
    </row>
    <row r="2973" spans="20:23" x14ac:dyDescent="0.25">
      <c r="T2973" s="71"/>
      <c r="U2973" s="71"/>
      <c r="V2973" s="71"/>
      <c r="W2973" s="71"/>
    </row>
    <row r="2974" spans="20:23" x14ac:dyDescent="0.25">
      <c r="T2974" s="71"/>
      <c r="U2974" s="71"/>
      <c r="V2974" s="71"/>
      <c r="W2974" s="71"/>
    </row>
    <row r="2975" spans="20:23" x14ac:dyDescent="0.25">
      <c r="T2975" s="71"/>
      <c r="U2975" s="71"/>
      <c r="V2975" s="71"/>
      <c r="W2975" s="71"/>
    </row>
    <row r="2976" spans="20:23" x14ac:dyDescent="0.25">
      <c r="T2976" s="71"/>
      <c r="U2976" s="71"/>
      <c r="V2976" s="71"/>
      <c r="W2976" s="71"/>
    </row>
    <row r="2977" spans="20:23" x14ac:dyDescent="0.25">
      <c r="T2977" s="71"/>
      <c r="U2977" s="71"/>
      <c r="V2977" s="71"/>
      <c r="W2977" s="71"/>
    </row>
    <row r="2978" spans="20:23" x14ac:dyDescent="0.25">
      <c r="T2978" s="71"/>
      <c r="U2978" s="71"/>
      <c r="V2978" s="71"/>
      <c r="W2978" s="71"/>
    </row>
    <row r="2979" spans="20:23" x14ac:dyDescent="0.25">
      <c r="T2979" s="71"/>
      <c r="U2979" s="71"/>
      <c r="V2979" s="71"/>
      <c r="W2979" s="71"/>
    </row>
    <row r="2980" spans="20:23" x14ac:dyDescent="0.25">
      <c r="T2980" s="71"/>
      <c r="U2980" s="71"/>
      <c r="V2980" s="71"/>
      <c r="W2980" s="71"/>
    </row>
    <row r="2981" spans="20:23" x14ac:dyDescent="0.25">
      <c r="T2981" s="71"/>
      <c r="U2981" s="71"/>
      <c r="V2981" s="71"/>
      <c r="W2981" s="71"/>
    </row>
    <row r="2982" spans="20:23" x14ac:dyDescent="0.25">
      <c r="T2982" s="71"/>
      <c r="U2982" s="71"/>
      <c r="V2982" s="71"/>
      <c r="W2982" s="71"/>
    </row>
    <row r="2983" spans="20:23" x14ac:dyDescent="0.25">
      <c r="T2983" s="71"/>
      <c r="U2983" s="71"/>
      <c r="V2983" s="71"/>
      <c r="W2983" s="71"/>
    </row>
    <row r="2984" spans="20:23" x14ac:dyDescent="0.25">
      <c r="T2984" s="71"/>
      <c r="U2984" s="71"/>
      <c r="V2984" s="71"/>
      <c r="W2984" s="71"/>
    </row>
    <row r="2985" spans="20:23" x14ac:dyDescent="0.25">
      <c r="T2985" s="71"/>
      <c r="U2985" s="71"/>
      <c r="V2985" s="71"/>
      <c r="W2985" s="71"/>
    </row>
    <row r="2986" spans="20:23" x14ac:dyDescent="0.25">
      <c r="T2986" s="71"/>
      <c r="U2986" s="71"/>
      <c r="V2986" s="71"/>
      <c r="W2986" s="71"/>
    </row>
    <row r="2987" spans="20:23" x14ac:dyDescent="0.25">
      <c r="T2987" s="71"/>
      <c r="U2987" s="71"/>
      <c r="V2987" s="71"/>
      <c r="W2987" s="71"/>
    </row>
    <row r="2988" spans="20:23" x14ac:dyDescent="0.25">
      <c r="T2988" s="71"/>
      <c r="U2988" s="71"/>
      <c r="V2988" s="71"/>
      <c r="W2988" s="71"/>
    </row>
    <row r="2989" spans="20:23" x14ac:dyDescent="0.25">
      <c r="T2989" s="71"/>
      <c r="U2989" s="71"/>
      <c r="V2989" s="71"/>
      <c r="W2989" s="71"/>
    </row>
    <row r="2990" spans="20:23" x14ac:dyDescent="0.25">
      <c r="T2990" s="71"/>
      <c r="U2990" s="71"/>
      <c r="V2990" s="71"/>
      <c r="W2990" s="71"/>
    </row>
    <row r="2991" spans="20:23" x14ac:dyDescent="0.25">
      <c r="T2991" s="71"/>
      <c r="U2991" s="71"/>
      <c r="V2991" s="71"/>
      <c r="W2991" s="71"/>
    </row>
    <row r="2992" spans="20:23" x14ac:dyDescent="0.25">
      <c r="T2992" s="71"/>
      <c r="U2992" s="71"/>
      <c r="V2992" s="71"/>
      <c r="W2992" s="71"/>
    </row>
    <row r="2993" spans="20:23" x14ac:dyDescent="0.25">
      <c r="T2993" s="71"/>
      <c r="U2993" s="71"/>
      <c r="V2993" s="71"/>
      <c r="W2993" s="71"/>
    </row>
    <row r="2994" spans="20:23" x14ac:dyDescent="0.25">
      <c r="T2994" s="71"/>
      <c r="U2994" s="71"/>
      <c r="V2994" s="71"/>
      <c r="W2994" s="71"/>
    </row>
    <row r="2995" spans="20:23" x14ac:dyDescent="0.25">
      <c r="T2995" s="71"/>
      <c r="U2995" s="71"/>
      <c r="V2995" s="71"/>
      <c r="W2995" s="71"/>
    </row>
    <row r="2996" spans="20:23" x14ac:dyDescent="0.25">
      <c r="T2996" s="71"/>
      <c r="U2996" s="71"/>
      <c r="V2996" s="71"/>
      <c r="W2996" s="71"/>
    </row>
    <row r="2997" spans="20:23" x14ac:dyDescent="0.25">
      <c r="T2997" s="71"/>
      <c r="U2997" s="71"/>
      <c r="V2997" s="71"/>
      <c r="W2997" s="71"/>
    </row>
    <row r="2998" spans="20:23" x14ac:dyDescent="0.25">
      <c r="T2998" s="71"/>
      <c r="U2998" s="71"/>
      <c r="V2998" s="71"/>
      <c r="W2998" s="71"/>
    </row>
    <row r="2999" spans="20:23" x14ac:dyDescent="0.25">
      <c r="T2999" s="71"/>
      <c r="U2999" s="71"/>
      <c r="V2999" s="71"/>
      <c r="W2999" s="71"/>
    </row>
    <row r="3000" spans="20:23" x14ac:dyDescent="0.25">
      <c r="T3000" s="71"/>
      <c r="U3000" s="71"/>
      <c r="V3000" s="71"/>
      <c r="W3000" s="71"/>
    </row>
    <row r="3001" spans="20:23" x14ac:dyDescent="0.25">
      <c r="T3001" s="71"/>
      <c r="U3001" s="71"/>
      <c r="V3001" s="71"/>
      <c r="W3001" s="71"/>
    </row>
    <row r="3002" spans="20:23" x14ac:dyDescent="0.25">
      <c r="T3002" s="71"/>
      <c r="U3002" s="71"/>
      <c r="V3002" s="71"/>
      <c r="W3002" s="71"/>
    </row>
    <row r="3003" spans="20:23" x14ac:dyDescent="0.25">
      <c r="T3003" s="71"/>
      <c r="U3003" s="71"/>
      <c r="V3003" s="71"/>
      <c r="W3003" s="71"/>
    </row>
    <row r="3004" spans="20:23" x14ac:dyDescent="0.25">
      <c r="T3004" s="71"/>
      <c r="U3004" s="71"/>
      <c r="V3004" s="71"/>
      <c r="W3004" s="71"/>
    </row>
    <row r="3005" spans="20:23" x14ac:dyDescent="0.25">
      <c r="T3005" s="71"/>
      <c r="U3005" s="71"/>
      <c r="V3005" s="71"/>
      <c r="W3005" s="71"/>
    </row>
    <row r="3006" spans="20:23" x14ac:dyDescent="0.25">
      <c r="T3006" s="71"/>
      <c r="U3006" s="71"/>
      <c r="V3006" s="71"/>
      <c r="W3006" s="71"/>
    </row>
    <row r="3007" spans="20:23" x14ac:dyDescent="0.25">
      <c r="T3007" s="71"/>
      <c r="U3007" s="71"/>
      <c r="V3007" s="71"/>
      <c r="W3007" s="71"/>
    </row>
    <row r="3008" spans="20:23" x14ac:dyDescent="0.25">
      <c r="T3008" s="71"/>
      <c r="U3008" s="71"/>
      <c r="V3008" s="71"/>
      <c r="W3008" s="71"/>
    </row>
    <row r="3009" spans="20:23" x14ac:dyDescent="0.25">
      <c r="T3009" s="71"/>
      <c r="U3009" s="71"/>
      <c r="V3009" s="71"/>
      <c r="W3009" s="71"/>
    </row>
    <row r="3010" spans="20:23" x14ac:dyDescent="0.25">
      <c r="T3010" s="71"/>
      <c r="U3010" s="71"/>
      <c r="V3010" s="71"/>
      <c r="W3010" s="71"/>
    </row>
    <row r="3011" spans="20:23" x14ac:dyDescent="0.25">
      <c r="T3011" s="71"/>
      <c r="U3011" s="71"/>
      <c r="V3011" s="71"/>
      <c r="W3011" s="71"/>
    </row>
    <row r="3012" spans="20:23" x14ac:dyDescent="0.25">
      <c r="T3012" s="71"/>
      <c r="U3012" s="71"/>
      <c r="V3012" s="71"/>
      <c r="W3012" s="71"/>
    </row>
    <row r="3013" spans="20:23" x14ac:dyDescent="0.25">
      <c r="T3013" s="71"/>
      <c r="U3013" s="71"/>
      <c r="V3013" s="71"/>
      <c r="W3013" s="71"/>
    </row>
    <row r="3014" spans="20:23" x14ac:dyDescent="0.25">
      <c r="T3014" s="71"/>
      <c r="U3014" s="71"/>
      <c r="V3014" s="71"/>
      <c r="W3014" s="71"/>
    </row>
    <row r="3015" spans="20:23" x14ac:dyDescent="0.25">
      <c r="T3015" s="71"/>
      <c r="U3015" s="71"/>
      <c r="V3015" s="71"/>
      <c r="W3015" s="71"/>
    </row>
    <row r="3016" spans="20:23" x14ac:dyDescent="0.25">
      <c r="T3016" s="71"/>
      <c r="U3016" s="71"/>
      <c r="V3016" s="71"/>
      <c r="W3016" s="71"/>
    </row>
    <row r="3017" spans="20:23" x14ac:dyDescent="0.25">
      <c r="T3017" s="71"/>
      <c r="U3017" s="71"/>
      <c r="V3017" s="71"/>
      <c r="W3017" s="71"/>
    </row>
    <row r="3018" spans="20:23" x14ac:dyDescent="0.25">
      <c r="T3018" s="71"/>
      <c r="U3018" s="71"/>
      <c r="V3018" s="71"/>
      <c r="W3018" s="71"/>
    </row>
    <row r="3019" spans="20:23" x14ac:dyDescent="0.25">
      <c r="T3019" s="71"/>
      <c r="U3019" s="71"/>
      <c r="V3019" s="71"/>
      <c r="W3019" s="71"/>
    </row>
    <row r="3020" spans="20:23" x14ac:dyDescent="0.25">
      <c r="T3020" s="71"/>
      <c r="U3020" s="71"/>
      <c r="V3020" s="71"/>
      <c r="W3020" s="71"/>
    </row>
    <row r="3021" spans="20:23" x14ac:dyDescent="0.25">
      <c r="T3021" s="71"/>
      <c r="U3021" s="71"/>
      <c r="V3021" s="71"/>
      <c r="W3021" s="71"/>
    </row>
    <row r="3022" spans="20:23" x14ac:dyDescent="0.25">
      <c r="T3022" s="71"/>
      <c r="U3022" s="71"/>
      <c r="V3022" s="71"/>
      <c r="W3022" s="71"/>
    </row>
    <row r="3023" spans="20:23" x14ac:dyDescent="0.25">
      <c r="T3023" s="71"/>
      <c r="U3023" s="71"/>
      <c r="V3023" s="71"/>
      <c r="W3023" s="71"/>
    </row>
    <row r="3024" spans="20:23" x14ac:dyDescent="0.25">
      <c r="T3024" s="71"/>
      <c r="U3024" s="71"/>
      <c r="V3024" s="71"/>
      <c r="W3024" s="71"/>
    </row>
    <row r="3025" spans="20:23" x14ac:dyDescent="0.25">
      <c r="T3025" s="71"/>
      <c r="U3025" s="71"/>
      <c r="V3025" s="71"/>
      <c r="W3025" s="71"/>
    </row>
    <row r="3026" spans="20:23" x14ac:dyDescent="0.25">
      <c r="T3026" s="71"/>
      <c r="U3026" s="71"/>
      <c r="V3026" s="71"/>
      <c r="W3026" s="71"/>
    </row>
    <row r="3027" spans="20:23" x14ac:dyDescent="0.25">
      <c r="T3027" s="71"/>
      <c r="U3027" s="71"/>
      <c r="V3027" s="71"/>
      <c r="W3027" s="71"/>
    </row>
    <row r="3028" spans="20:23" x14ac:dyDescent="0.25">
      <c r="T3028" s="71"/>
      <c r="U3028" s="71"/>
      <c r="V3028" s="71"/>
      <c r="W3028" s="71"/>
    </row>
    <row r="3029" spans="20:23" x14ac:dyDescent="0.25">
      <c r="T3029" s="71"/>
      <c r="U3029" s="71"/>
      <c r="V3029" s="71"/>
      <c r="W3029" s="71"/>
    </row>
    <row r="3030" spans="20:23" x14ac:dyDescent="0.25">
      <c r="T3030" s="71"/>
      <c r="U3030" s="71"/>
      <c r="V3030" s="71"/>
      <c r="W3030" s="71"/>
    </row>
    <row r="3031" spans="20:23" x14ac:dyDescent="0.25">
      <c r="T3031" s="71"/>
      <c r="U3031" s="71"/>
      <c r="V3031" s="71"/>
      <c r="W3031" s="71"/>
    </row>
    <row r="3032" spans="20:23" x14ac:dyDescent="0.25">
      <c r="T3032" s="71"/>
      <c r="U3032" s="71"/>
      <c r="V3032" s="71"/>
      <c r="W3032" s="71"/>
    </row>
    <row r="3033" spans="20:23" x14ac:dyDescent="0.25">
      <c r="T3033" s="71"/>
      <c r="U3033" s="71"/>
      <c r="V3033" s="71"/>
      <c r="W3033" s="71"/>
    </row>
    <row r="3034" spans="20:23" x14ac:dyDescent="0.25">
      <c r="T3034" s="71"/>
      <c r="U3034" s="71"/>
      <c r="V3034" s="71"/>
      <c r="W3034" s="71"/>
    </row>
    <row r="3035" spans="20:23" x14ac:dyDescent="0.25">
      <c r="T3035" s="71"/>
      <c r="U3035" s="71"/>
      <c r="V3035" s="71"/>
      <c r="W3035" s="71"/>
    </row>
    <row r="3036" spans="20:23" x14ac:dyDescent="0.25">
      <c r="T3036" s="71"/>
      <c r="U3036" s="71"/>
      <c r="V3036" s="71"/>
      <c r="W3036" s="71"/>
    </row>
    <row r="3037" spans="20:23" x14ac:dyDescent="0.25">
      <c r="T3037" s="71"/>
      <c r="U3037" s="71"/>
      <c r="V3037" s="71"/>
      <c r="W3037" s="71"/>
    </row>
    <row r="3038" spans="20:23" x14ac:dyDescent="0.25">
      <c r="T3038" s="71"/>
      <c r="U3038" s="71"/>
      <c r="V3038" s="71"/>
      <c r="W3038" s="71"/>
    </row>
    <row r="3039" spans="20:23" x14ac:dyDescent="0.25">
      <c r="T3039" s="71"/>
      <c r="U3039" s="71"/>
      <c r="V3039" s="71"/>
      <c r="W3039" s="71"/>
    </row>
    <row r="3040" spans="20:23" x14ac:dyDescent="0.25">
      <c r="T3040" s="71"/>
      <c r="U3040" s="71"/>
      <c r="V3040" s="71"/>
      <c r="W3040" s="71"/>
    </row>
    <row r="3041" spans="20:23" x14ac:dyDescent="0.25">
      <c r="T3041" s="71"/>
      <c r="U3041" s="71"/>
      <c r="V3041" s="71"/>
      <c r="W3041" s="71"/>
    </row>
    <row r="3042" spans="20:23" x14ac:dyDescent="0.25">
      <c r="T3042" s="71"/>
      <c r="U3042" s="71"/>
      <c r="V3042" s="71"/>
      <c r="W3042" s="71"/>
    </row>
    <row r="3043" spans="20:23" x14ac:dyDescent="0.25">
      <c r="T3043" s="71"/>
      <c r="U3043" s="71"/>
      <c r="V3043" s="71"/>
      <c r="W3043" s="71"/>
    </row>
    <row r="3044" spans="20:23" x14ac:dyDescent="0.25">
      <c r="T3044" s="71"/>
      <c r="U3044" s="71"/>
      <c r="V3044" s="71"/>
      <c r="W3044" s="71"/>
    </row>
    <row r="3045" spans="20:23" x14ac:dyDescent="0.25">
      <c r="T3045" s="71"/>
      <c r="U3045" s="71"/>
      <c r="V3045" s="71"/>
      <c r="W3045" s="71"/>
    </row>
    <row r="3046" spans="20:23" x14ac:dyDescent="0.25">
      <c r="T3046" s="71"/>
      <c r="U3046" s="71"/>
      <c r="V3046" s="71"/>
      <c r="W3046" s="71"/>
    </row>
    <row r="3047" spans="20:23" x14ac:dyDescent="0.25">
      <c r="T3047" s="71"/>
      <c r="U3047" s="71"/>
      <c r="V3047" s="71"/>
      <c r="W3047" s="71"/>
    </row>
    <row r="3048" spans="20:23" x14ac:dyDescent="0.25">
      <c r="T3048" s="71"/>
      <c r="U3048" s="71"/>
      <c r="V3048" s="71"/>
      <c r="W3048" s="71"/>
    </row>
    <row r="3049" spans="20:23" x14ac:dyDescent="0.25">
      <c r="T3049" s="71"/>
      <c r="U3049" s="71"/>
      <c r="V3049" s="71"/>
      <c r="W3049" s="71"/>
    </row>
    <row r="3050" spans="20:23" x14ac:dyDescent="0.25">
      <c r="T3050" s="71"/>
      <c r="U3050" s="71"/>
      <c r="V3050" s="71"/>
      <c r="W3050" s="71"/>
    </row>
    <row r="3051" spans="20:23" x14ac:dyDescent="0.25">
      <c r="T3051" s="71"/>
      <c r="U3051" s="71"/>
      <c r="V3051" s="71"/>
      <c r="W3051" s="71"/>
    </row>
    <row r="3052" spans="20:23" x14ac:dyDescent="0.25">
      <c r="T3052" s="71"/>
      <c r="U3052" s="71"/>
      <c r="V3052" s="71"/>
      <c r="W3052" s="71"/>
    </row>
    <row r="3053" spans="20:23" x14ac:dyDescent="0.25">
      <c r="T3053" s="71"/>
      <c r="U3053" s="71"/>
      <c r="V3053" s="71"/>
      <c r="W3053" s="71"/>
    </row>
    <row r="3054" spans="20:23" x14ac:dyDescent="0.25">
      <c r="T3054" s="71"/>
      <c r="U3054" s="71"/>
      <c r="V3054" s="71"/>
      <c r="W3054" s="71"/>
    </row>
    <row r="3055" spans="20:23" x14ac:dyDescent="0.25">
      <c r="T3055" s="71"/>
      <c r="U3055" s="71"/>
      <c r="V3055" s="71"/>
      <c r="W3055" s="71"/>
    </row>
    <row r="3056" spans="20:23" x14ac:dyDescent="0.25">
      <c r="T3056" s="71"/>
      <c r="U3056" s="71"/>
      <c r="V3056" s="71"/>
      <c r="W3056" s="71"/>
    </row>
    <row r="3057" spans="20:23" x14ac:dyDescent="0.25">
      <c r="T3057" s="71"/>
      <c r="U3057" s="71"/>
      <c r="V3057" s="71"/>
      <c r="W3057" s="71"/>
    </row>
    <row r="3058" spans="20:23" x14ac:dyDescent="0.25">
      <c r="T3058" s="71"/>
      <c r="U3058" s="71"/>
      <c r="V3058" s="71"/>
      <c r="W3058" s="71"/>
    </row>
    <row r="3059" spans="20:23" x14ac:dyDescent="0.25">
      <c r="T3059" s="71"/>
      <c r="U3059" s="71"/>
      <c r="V3059" s="71"/>
      <c r="W3059" s="71"/>
    </row>
    <row r="3060" spans="20:23" x14ac:dyDescent="0.25">
      <c r="T3060" s="71"/>
      <c r="U3060" s="71"/>
      <c r="V3060" s="71"/>
      <c r="W3060" s="71"/>
    </row>
    <row r="3061" spans="20:23" x14ac:dyDescent="0.25">
      <c r="T3061" s="71"/>
      <c r="U3061" s="71"/>
      <c r="V3061" s="71"/>
      <c r="W3061" s="71"/>
    </row>
    <row r="3062" spans="20:23" x14ac:dyDescent="0.25">
      <c r="T3062" s="71"/>
      <c r="U3062" s="71"/>
      <c r="V3062" s="71"/>
      <c r="W3062" s="71"/>
    </row>
    <row r="3063" spans="20:23" x14ac:dyDescent="0.25">
      <c r="T3063" s="71"/>
      <c r="U3063" s="71"/>
      <c r="V3063" s="71"/>
      <c r="W3063" s="71"/>
    </row>
    <row r="3064" spans="20:23" x14ac:dyDescent="0.25">
      <c r="T3064" s="71"/>
      <c r="U3064" s="71"/>
      <c r="V3064" s="71"/>
      <c r="W3064" s="71"/>
    </row>
    <row r="3065" spans="20:23" x14ac:dyDescent="0.25">
      <c r="T3065" s="71"/>
      <c r="U3065" s="71"/>
      <c r="V3065" s="71"/>
      <c r="W3065" s="71"/>
    </row>
    <row r="3066" spans="20:23" x14ac:dyDescent="0.25">
      <c r="T3066" s="71"/>
      <c r="U3066" s="71"/>
      <c r="V3066" s="71"/>
      <c r="W3066" s="71"/>
    </row>
    <row r="3067" spans="20:23" x14ac:dyDescent="0.25">
      <c r="T3067" s="71"/>
      <c r="U3067" s="71"/>
      <c r="V3067" s="71"/>
      <c r="W3067" s="71"/>
    </row>
    <row r="3068" spans="20:23" x14ac:dyDescent="0.25">
      <c r="T3068" s="71"/>
      <c r="U3068" s="71"/>
      <c r="V3068" s="71"/>
      <c r="W3068" s="71"/>
    </row>
    <row r="3069" spans="20:23" x14ac:dyDescent="0.25">
      <c r="T3069" s="71"/>
      <c r="U3069" s="71"/>
      <c r="V3069" s="71"/>
      <c r="W3069" s="71"/>
    </row>
    <row r="3070" spans="20:23" x14ac:dyDescent="0.25">
      <c r="T3070" s="71"/>
      <c r="U3070" s="71"/>
      <c r="V3070" s="71"/>
      <c r="W3070" s="71"/>
    </row>
    <row r="3071" spans="20:23" x14ac:dyDescent="0.25">
      <c r="T3071" s="71"/>
      <c r="U3071" s="71"/>
      <c r="V3071" s="71"/>
      <c r="W3071" s="71"/>
    </row>
    <row r="3072" spans="20:23" x14ac:dyDescent="0.25">
      <c r="T3072" s="71"/>
      <c r="U3072" s="71"/>
      <c r="V3072" s="71"/>
      <c r="W3072" s="71"/>
    </row>
    <row r="3073" spans="20:23" x14ac:dyDescent="0.25">
      <c r="T3073" s="71"/>
      <c r="U3073" s="71"/>
      <c r="V3073" s="71"/>
      <c r="W3073" s="71"/>
    </row>
    <row r="3074" spans="20:23" x14ac:dyDescent="0.25">
      <c r="T3074" s="71"/>
      <c r="U3074" s="71"/>
      <c r="V3074" s="71"/>
      <c r="W3074" s="71"/>
    </row>
    <row r="3075" spans="20:23" x14ac:dyDescent="0.25">
      <c r="T3075" s="71"/>
      <c r="U3075" s="71"/>
      <c r="V3075" s="71"/>
      <c r="W3075" s="71"/>
    </row>
    <row r="3076" spans="20:23" x14ac:dyDescent="0.25">
      <c r="T3076" s="71"/>
      <c r="U3076" s="71"/>
      <c r="V3076" s="71"/>
      <c r="W3076" s="71"/>
    </row>
    <row r="3077" spans="20:23" x14ac:dyDescent="0.25">
      <c r="T3077" s="71"/>
      <c r="U3077" s="71"/>
      <c r="V3077" s="71"/>
      <c r="W3077" s="71"/>
    </row>
    <row r="3078" spans="20:23" x14ac:dyDescent="0.25">
      <c r="T3078" s="71"/>
      <c r="U3078" s="71"/>
      <c r="V3078" s="71"/>
      <c r="W3078" s="71"/>
    </row>
    <row r="3079" spans="20:23" x14ac:dyDescent="0.25">
      <c r="T3079" s="71"/>
      <c r="U3079" s="71"/>
      <c r="V3079" s="71"/>
      <c r="W3079" s="71"/>
    </row>
    <row r="3080" spans="20:23" x14ac:dyDescent="0.25">
      <c r="T3080" s="71"/>
      <c r="U3080" s="71"/>
      <c r="V3080" s="71"/>
      <c r="W3080" s="71"/>
    </row>
    <row r="3081" spans="20:23" x14ac:dyDescent="0.25">
      <c r="T3081" s="71"/>
      <c r="U3081" s="71"/>
      <c r="V3081" s="71"/>
      <c r="W3081" s="71"/>
    </row>
    <row r="3082" spans="20:23" x14ac:dyDescent="0.25">
      <c r="T3082" s="71"/>
      <c r="U3082" s="71"/>
      <c r="V3082" s="71"/>
      <c r="W3082" s="71"/>
    </row>
    <row r="3083" spans="20:23" x14ac:dyDescent="0.25">
      <c r="T3083" s="71"/>
      <c r="U3083" s="71"/>
      <c r="V3083" s="71"/>
      <c r="W3083" s="71"/>
    </row>
    <row r="3084" spans="20:23" x14ac:dyDescent="0.25">
      <c r="T3084" s="71"/>
      <c r="U3084" s="71"/>
      <c r="V3084" s="71"/>
      <c r="W3084" s="71"/>
    </row>
    <row r="3085" spans="20:23" x14ac:dyDescent="0.25">
      <c r="T3085" s="71"/>
      <c r="U3085" s="71"/>
      <c r="V3085" s="71"/>
      <c r="W3085" s="71"/>
    </row>
    <row r="3086" spans="20:23" x14ac:dyDescent="0.25">
      <c r="T3086" s="71"/>
      <c r="U3086" s="71"/>
      <c r="V3086" s="71"/>
      <c r="W3086" s="71"/>
    </row>
    <row r="3087" spans="20:23" x14ac:dyDescent="0.25">
      <c r="T3087" s="71"/>
      <c r="U3087" s="71"/>
      <c r="V3087" s="71"/>
      <c r="W3087" s="71"/>
    </row>
    <row r="3088" spans="20:23" x14ac:dyDescent="0.25">
      <c r="T3088" s="71"/>
      <c r="U3088" s="71"/>
      <c r="V3088" s="71"/>
      <c r="W3088" s="71"/>
    </row>
    <row r="3089" spans="20:23" x14ac:dyDescent="0.25">
      <c r="T3089" s="71"/>
      <c r="U3089" s="71"/>
      <c r="V3089" s="71"/>
      <c r="W3089" s="71"/>
    </row>
    <row r="3090" spans="20:23" x14ac:dyDescent="0.25">
      <c r="T3090" s="71"/>
      <c r="U3090" s="71"/>
      <c r="V3090" s="71"/>
      <c r="W3090" s="71"/>
    </row>
    <row r="3091" spans="20:23" x14ac:dyDescent="0.25">
      <c r="T3091" s="71"/>
      <c r="U3091" s="71"/>
      <c r="V3091" s="71"/>
      <c r="W3091" s="71"/>
    </row>
    <row r="3092" spans="20:23" x14ac:dyDescent="0.25">
      <c r="T3092" s="71"/>
      <c r="U3092" s="71"/>
      <c r="V3092" s="71"/>
      <c r="W3092" s="71"/>
    </row>
    <row r="3093" spans="20:23" x14ac:dyDescent="0.25">
      <c r="T3093" s="71"/>
      <c r="U3093" s="71"/>
      <c r="V3093" s="71"/>
      <c r="W3093" s="71"/>
    </row>
    <row r="3094" spans="20:23" x14ac:dyDescent="0.25">
      <c r="T3094" s="71"/>
      <c r="U3094" s="71"/>
      <c r="V3094" s="71"/>
      <c r="W3094" s="71"/>
    </row>
    <row r="3095" spans="20:23" x14ac:dyDescent="0.25">
      <c r="T3095" s="71"/>
      <c r="U3095" s="71"/>
      <c r="V3095" s="71"/>
      <c r="W3095" s="71"/>
    </row>
    <row r="3096" spans="20:23" x14ac:dyDescent="0.25">
      <c r="T3096" s="71"/>
      <c r="U3096" s="71"/>
      <c r="V3096" s="71"/>
      <c r="W3096" s="71"/>
    </row>
    <row r="3097" spans="20:23" x14ac:dyDescent="0.25">
      <c r="T3097" s="71"/>
      <c r="U3097" s="71"/>
      <c r="V3097" s="71"/>
      <c r="W3097" s="71"/>
    </row>
    <row r="3098" spans="20:23" x14ac:dyDescent="0.25">
      <c r="T3098" s="71"/>
      <c r="U3098" s="71"/>
      <c r="V3098" s="71"/>
      <c r="W3098" s="71"/>
    </row>
    <row r="3099" spans="20:23" x14ac:dyDescent="0.25">
      <c r="T3099" s="71"/>
      <c r="U3099" s="71"/>
      <c r="V3099" s="71"/>
      <c r="W3099" s="71"/>
    </row>
    <row r="3100" spans="20:23" x14ac:dyDescent="0.25">
      <c r="T3100" s="71"/>
      <c r="U3100" s="71"/>
      <c r="V3100" s="71"/>
      <c r="W3100" s="71"/>
    </row>
    <row r="3101" spans="20:23" x14ac:dyDescent="0.25">
      <c r="T3101" s="71"/>
      <c r="U3101" s="71"/>
      <c r="V3101" s="71"/>
      <c r="W3101" s="71"/>
    </row>
    <row r="3102" spans="20:23" x14ac:dyDescent="0.25">
      <c r="T3102" s="71"/>
      <c r="U3102" s="71"/>
      <c r="V3102" s="71"/>
      <c r="W3102" s="71"/>
    </row>
    <row r="3103" spans="20:23" x14ac:dyDescent="0.25">
      <c r="T3103" s="71"/>
      <c r="U3103" s="71"/>
      <c r="V3103" s="71"/>
      <c r="W3103" s="71"/>
    </row>
    <row r="3104" spans="20:23" x14ac:dyDescent="0.25">
      <c r="T3104" s="71"/>
      <c r="U3104" s="71"/>
      <c r="V3104" s="71"/>
      <c r="W3104" s="71"/>
    </row>
    <row r="3105" spans="20:23" x14ac:dyDescent="0.25">
      <c r="T3105" s="71"/>
      <c r="U3105" s="71"/>
      <c r="V3105" s="71"/>
      <c r="W3105" s="71"/>
    </row>
    <row r="3106" spans="20:23" x14ac:dyDescent="0.25">
      <c r="T3106" s="71"/>
      <c r="U3106" s="71"/>
      <c r="V3106" s="71"/>
      <c r="W3106" s="71"/>
    </row>
    <row r="3107" spans="20:23" x14ac:dyDescent="0.25">
      <c r="T3107" s="71"/>
      <c r="U3107" s="71"/>
      <c r="V3107" s="71"/>
      <c r="W3107" s="71"/>
    </row>
    <row r="3108" spans="20:23" x14ac:dyDescent="0.25">
      <c r="T3108" s="71"/>
      <c r="U3108" s="71"/>
      <c r="V3108" s="71"/>
      <c r="W3108" s="71"/>
    </row>
    <row r="3109" spans="20:23" x14ac:dyDescent="0.25">
      <c r="T3109" s="71"/>
      <c r="U3109" s="71"/>
      <c r="V3109" s="71"/>
      <c r="W3109" s="71"/>
    </row>
    <row r="3110" spans="20:23" x14ac:dyDescent="0.25">
      <c r="T3110" s="71"/>
      <c r="U3110" s="71"/>
      <c r="V3110" s="71"/>
      <c r="W3110" s="71"/>
    </row>
    <row r="3111" spans="20:23" x14ac:dyDescent="0.25">
      <c r="T3111" s="71"/>
      <c r="U3111" s="71"/>
      <c r="V3111" s="71"/>
      <c r="W3111" s="71"/>
    </row>
    <row r="3112" spans="20:23" x14ac:dyDescent="0.25">
      <c r="T3112" s="71"/>
      <c r="U3112" s="71"/>
      <c r="V3112" s="71"/>
      <c r="W3112" s="71"/>
    </row>
    <row r="3113" spans="20:23" x14ac:dyDescent="0.25">
      <c r="T3113" s="71"/>
      <c r="U3113" s="71"/>
      <c r="V3113" s="71"/>
      <c r="W3113" s="71"/>
    </row>
    <row r="3114" spans="20:23" x14ac:dyDescent="0.25">
      <c r="T3114" s="71"/>
      <c r="U3114" s="71"/>
      <c r="V3114" s="71"/>
      <c r="W3114" s="71"/>
    </row>
    <row r="3115" spans="20:23" x14ac:dyDescent="0.25">
      <c r="T3115" s="71"/>
      <c r="U3115" s="71"/>
      <c r="V3115" s="71"/>
      <c r="W3115" s="71"/>
    </row>
    <row r="3116" spans="20:23" x14ac:dyDescent="0.25">
      <c r="T3116" s="71"/>
      <c r="U3116" s="71"/>
      <c r="V3116" s="71"/>
      <c r="W3116" s="71"/>
    </row>
    <row r="3117" spans="20:23" x14ac:dyDescent="0.25">
      <c r="T3117" s="71"/>
      <c r="U3117" s="71"/>
      <c r="V3117" s="71"/>
      <c r="W3117" s="71"/>
    </row>
    <row r="3118" spans="20:23" x14ac:dyDescent="0.25">
      <c r="T3118" s="71"/>
      <c r="U3118" s="71"/>
      <c r="V3118" s="71"/>
      <c r="W3118" s="71"/>
    </row>
    <row r="3119" spans="20:23" x14ac:dyDescent="0.25">
      <c r="T3119" s="71"/>
      <c r="U3119" s="71"/>
      <c r="V3119" s="71"/>
      <c r="W3119" s="71"/>
    </row>
    <row r="3120" spans="20:23" x14ac:dyDescent="0.25">
      <c r="T3120" s="71"/>
      <c r="U3120" s="71"/>
      <c r="V3120" s="71"/>
      <c r="W3120" s="71"/>
    </row>
    <row r="3121" spans="20:23" x14ac:dyDescent="0.25">
      <c r="T3121" s="71"/>
      <c r="U3121" s="71"/>
      <c r="V3121" s="71"/>
      <c r="W3121" s="71"/>
    </row>
    <row r="3122" spans="20:23" x14ac:dyDescent="0.25">
      <c r="T3122" s="71"/>
      <c r="U3122" s="71"/>
      <c r="V3122" s="71"/>
      <c r="W3122" s="71"/>
    </row>
    <row r="3123" spans="20:23" x14ac:dyDescent="0.25">
      <c r="T3123" s="71"/>
      <c r="U3123" s="71"/>
      <c r="V3123" s="71"/>
      <c r="W3123" s="71"/>
    </row>
    <row r="3124" spans="20:23" x14ac:dyDescent="0.25">
      <c r="T3124" s="71"/>
      <c r="U3124" s="71"/>
      <c r="V3124" s="71"/>
      <c r="W3124" s="71"/>
    </row>
    <row r="3125" spans="20:23" x14ac:dyDescent="0.25">
      <c r="T3125" s="71"/>
      <c r="U3125" s="71"/>
      <c r="V3125" s="71"/>
      <c r="W3125" s="71"/>
    </row>
    <row r="3126" spans="20:23" x14ac:dyDescent="0.25">
      <c r="T3126" s="71"/>
      <c r="U3126" s="71"/>
      <c r="V3126" s="71"/>
      <c r="W3126" s="71"/>
    </row>
    <row r="3127" spans="20:23" x14ac:dyDescent="0.25">
      <c r="T3127" s="71"/>
      <c r="U3127" s="71"/>
      <c r="V3127" s="71"/>
      <c r="W3127" s="71"/>
    </row>
    <row r="3128" spans="20:23" x14ac:dyDescent="0.25">
      <c r="T3128" s="71"/>
      <c r="U3128" s="71"/>
      <c r="V3128" s="71"/>
      <c r="W3128" s="71"/>
    </row>
    <row r="3129" spans="20:23" x14ac:dyDescent="0.25">
      <c r="T3129" s="71"/>
      <c r="U3129" s="71"/>
      <c r="V3129" s="71"/>
      <c r="W3129" s="71"/>
    </row>
    <row r="3130" spans="20:23" x14ac:dyDescent="0.25">
      <c r="T3130" s="71"/>
      <c r="U3130" s="71"/>
      <c r="V3130" s="71"/>
      <c r="W3130" s="71"/>
    </row>
    <row r="3131" spans="20:23" x14ac:dyDescent="0.25">
      <c r="T3131" s="71"/>
      <c r="U3131" s="71"/>
      <c r="V3131" s="71"/>
      <c r="W3131" s="71"/>
    </row>
    <row r="3132" spans="20:23" x14ac:dyDescent="0.25">
      <c r="T3132" s="71"/>
      <c r="U3132" s="71"/>
      <c r="V3132" s="71"/>
      <c r="W3132" s="71"/>
    </row>
    <row r="3133" spans="20:23" x14ac:dyDescent="0.25">
      <c r="T3133" s="71"/>
      <c r="U3133" s="71"/>
      <c r="V3133" s="71"/>
      <c r="W3133" s="71"/>
    </row>
    <row r="3134" spans="20:23" x14ac:dyDescent="0.25">
      <c r="T3134" s="71"/>
      <c r="U3134" s="71"/>
      <c r="V3134" s="71"/>
      <c r="W3134" s="71"/>
    </row>
    <row r="3135" spans="20:23" x14ac:dyDescent="0.25">
      <c r="T3135" s="71"/>
      <c r="U3135" s="71"/>
      <c r="V3135" s="71"/>
      <c r="W3135" s="71"/>
    </row>
    <row r="3136" spans="20:23" x14ac:dyDescent="0.25">
      <c r="T3136" s="71"/>
      <c r="U3136" s="71"/>
      <c r="V3136" s="71"/>
      <c r="W3136" s="71"/>
    </row>
    <row r="3137" spans="20:23" x14ac:dyDescent="0.25">
      <c r="T3137" s="71"/>
      <c r="U3137" s="71"/>
      <c r="V3137" s="71"/>
      <c r="W3137" s="71"/>
    </row>
    <row r="3138" spans="20:23" x14ac:dyDescent="0.25">
      <c r="T3138" s="71"/>
      <c r="U3138" s="71"/>
      <c r="V3138" s="71"/>
      <c r="W3138" s="71"/>
    </row>
    <row r="3139" spans="20:23" x14ac:dyDescent="0.25">
      <c r="T3139" s="71"/>
      <c r="U3139" s="71"/>
      <c r="V3139" s="71"/>
      <c r="W3139" s="71"/>
    </row>
    <row r="3140" spans="20:23" x14ac:dyDescent="0.25">
      <c r="T3140" s="71"/>
      <c r="U3140" s="71"/>
      <c r="V3140" s="71"/>
      <c r="W3140" s="71"/>
    </row>
    <row r="3141" spans="20:23" x14ac:dyDescent="0.25">
      <c r="T3141" s="71"/>
      <c r="U3141" s="71"/>
      <c r="V3141" s="71"/>
      <c r="W3141" s="71"/>
    </row>
    <row r="3142" spans="20:23" x14ac:dyDescent="0.25">
      <c r="T3142" s="71"/>
      <c r="U3142" s="71"/>
      <c r="V3142" s="71"/>
      <c r="W3142" s="71"/>
    </row>
    <row r="3143" spans="20:23" x14ac:dyDescent="0.25">
      <c r="T3143" s="71"/>
      <c r="U3143" s="71"/>
      <c r="V3143" s="71"/>
      <c r="W3143" s="71"/>
    </row>
    <row r="3144" spans="20:23" x14ac:dyDescent="0.25">
      <c r="T3144" s="71"/>
      <c r="U3144" s="71"/>
      <c r="V3144" s="71"/>
      <c r="W3144" s="71"/>
    </row>
    <row r="3145" spans="20:23" x14ac:dyDescent="0.25">
      <c r="T3145" s="71"/>
      <c r="U3145" s="71"/>
      <c r="V3145" s="71"/>
      <c r="W3145" s="71"/>
    </row>
    <row r="3146" spans="20:23" x14ac:dyDescent="0.25">
      <c r="T3146" s="71"/>
      <c r="U3146" s="71"/>
      <c r="V3146" s="71"/>
      <c r="W3146" s="71"/>
    </row>
    <row r="3147" spans="20:23" x14ac:dyDescent="0.25">
      <c r="T3147" s="71"/>
      <c r="U3147" s="71"/>
      <c r="V3147" s="71"/>
      <c r="W3147" s="71"/>
    </row>
    <row r="3148" spans="20:23" x14ac:dyDescent="0.25">
      <c r="T3148" s="71"/>
      <c r="U3148" s="71"/>
      <c r="V3148" s="71"/>
      <c r="W3148" s="71"/>
    </row>
    <row r="3149" spans="20:23" x14ac:dyDescent="0.25">
      <c r="T3149" s="71"/>
      <c r="U3149" s="71"/>
      <c r="V3149" s="71"/>
      <c r="W3149" s="71"/>
    </row>
    <row r="3150" spans="20:23" x14ac:dyDescent="0.25">
      <c r="T3150" s="71"/>
      <c r="U3150" s="71"/>
      <c r="V3150" s="71"/>
      <c r="W3150" s="71"/>
    </row>
    <row r="3151" spans="20:23" x14ac:dyDescent="0.25">
      <c r="T3151" s="71"/>
      <c r="U3151" s="71"/>
      <c r="V3151" s="71"/>
      <c r="W3151" s="71"/>
    </row>
    <row r="3152" spans="20:23" x14ac:dyDescent="0.25">
      <c r="T3152" s="71"/>
      <c r="U3152" s="71"/>
      <c r="V3152" s="71"/>
      <c r="W3152" s="71"/>
    </row>
    <row r="3153" spans="20:23" x14ac:dyDescent="0.25">
      <c r="T3153" s="71"/>
      <c r="U3153" s="71"/>
      <c r="V3153" s="71"/>
      <c r="W3153" s="71"/>
    </row>
    <row r="3154" spans="20:23" x14ac:dyDescent="0.25">
      <c r="T3154" s="71"/>
      <c r="U3154" s="71"/>
      <c r="V3154" s="71"/>
      <c r="W3154" s="71"/>
    </row>
    <row r="3155" spans="20:23" x14ac:dyDescent="0.25">
      <c r="T3155" s="71"/>
      <c r="U3155" s="71"/>
      <c r="V3155" s="71"/>
      <c r="W3155" s="71"/>
    </row>
    <row r="3156" spans="20:23" x14ac:dyDescent="0.25">
      <c r="T3156" s="71"/>
      <c r="U3156" s="71"/>
      <c r="V3156" s="71"/>
      <c r="W3156" s="71"/>
    </row>
    <row r="3157" spans="20:23" x14ac:dyDescent="0.25">
      <c r="T3157" s="71"/>
      <c r="U3157" s="71"/>
      <c r="V3157" s="71"/>
      <c r="W3157" s="71"/>
    </row>
    <row r="3158" spans="20:23" x14ac:dyDescent="0.25">
      <c r="T3158" s="71"/>
      <c r="U3158" s="71"/>
      <c r="V3158" s="71"/>
      <c r="W3158" s="71"/>
    </row>
    <row r="3159" spans="20:23" x14ac:dyDescent="0.25">
      <c r="T3159" s="71"/>
      <c r="U3159" s="71"/>
      <c r="V3159" s="71"/>
      <c r="W3159" s="71"/>
    </row>
    <row r="3160" spans="20:23" x14ac:dyDescent="0.25">
      <c r="T3160" s="71"/>
      <c r="U3160" s="71"/>
      <c r="V3160" s="71"/>
      <c r="W3160" s="71"/>
    </row>
    <row r="3161" spans="20:23" x14ac:dyDescent="0.25">
      <c r="T3161" s="71"/>
      <c r="U3161" s="71"/>
      <c r="V3161" s="71"/>
      <c r="W3161" s="71"/>
    </row>
    <row r="3162" spans="20:23" x14ac:dyDescent="0.25">
      <c r="T3162" s="71"/>
      <c r="U3162" s="71"/>
      <c r="V3162" s="71"/>
      <c r="W3162" s="71"/>
    </row>
    <row r="3163" spans="20:23" x14ac:dyDescent="0.25">
      <c r="T3163" s="71"/>
      <c r="U3163" s="71"/>
      <c r="V3163" s="71"/>
      <c r="W3163" s="71"/>
    </row>
    <row r="3164" spans="20:23" x14ac:dyDescent="0.25">
      <c r="T3164" s="71"/>
      <c r="U3164" s="71"/>
      <c r="V3164" s="71"/>
      <c r="W3164" s="71"/>
    </row>
    <row r="3165" spans="20:23" x14ac:dyDescent="0.25">
      <c r="T3165" s="71"/>
      <c r="U3165" s="71"/>
      <c r="V3165" s="71"/>
      <c r="W3165" s="71"/>
    </row>
    <row r="3166" spans="20:23" x14ac:dyDescent="0.25">
      <c r="T3166" s="71"/>
      <c r="U3166" s="71"/>
      <c r="V3166" s="71"/>
      <c r="W3166" s="71"/>
    </row>
    <row r="3167" spans="20:23" x14ac:dyDescent="0.25">
      <c r="T3167" s="71"/>
      <c r="U3167" s="71"/>
      <c r="V3167" s="71"/>
      <c r="W3167" s="71"/>
    </row>
    <row r="3168" spans="20:23" x14ac:dyDescent="0.25">
      <c r="T3168" s="71"/>
      <c r="U3168" s="71"/>
      <c r="V3168" s="71"/>
      <c r="W3168" s="71"/>
    </row>
    <row r="3169" spans="20:23" x14ac:dyDescent="0.25">
      <c r="T3169" s="71"/>
      <c r="U3169" s="71"/>
      <c r="V3169" s="71"/>
      <c r="W3169" s="71"/>
    </row>
    <row r="3170" spans="20:23" x14ac:dyDescent="0.25">
      <c r="T3170" s="71"/>
      <c r="U3170" s="71"/>
      <c r="V3170" s="71"/>
      <c r="W3170" s="71"/>
    </row>
    <row r="3171" spans="20:23" x14ac:dyDescent="0.25">
      <c r="T3171" s="71"/>
      <c r="U3171" s="71"/>
      <c r="V3171" s="71"/>
      <c r="W3171" s="71"/>
    </row>
    <row r="3172" spans="20:23" x14ac:dyDescent="0.25">
      <c r="T3172" s="71"/>
      <c r="U3172" s="71"/>
      <c r="V3172" s="71"/>
      <c r="W3172" s="71"/>
    </row>
    <row r="3173" spans="20:23" x14ac:dyDescent="0.25">
      <c r="T3173" s="71"/>
      <c r="U3173" s="71"/>
      <c r="V3173" s="71"/>
      <c r="W3173" s="71"/>
    </row>
    <row r="3174" spans="20:23" x14ac:dyDescent="0.25">
      <c r="T3174" s="71"/>
      <c r="U3174" s="71"/>
      <c r="V3174" s="71"/>
      <c r="W3174" s="71"/>
    </row>
    <row r="3175" spans="20:23" x14ac:dyDescent="0.25">
      <c r="T3175" s="71"/>
      <c r="U3175" s="71"/>
      <c r="V3175" s="71"/>
      <c r="W3175" s="71"/>
    </row>
    <row r="3176" spans="20:23" x14ac:dyDescent="0.25">
      <c r="T3176" s="71"/>
      <c r="U3176" s="71"/>
      <c r="V3176" s="71"/>
      <c r="W3176" s="71"/>
    </row>
    <row r="3177" spans="20:23" x14ac:dyDescent="0.25">
      <c r="T3177" s="71"/>
      <c r="U3177" s="71"/>
      <c r="V3177" s="71"/>
      <c r="W3177" s="71"/>
    </row>
    <row r="3178" spans="20:23" x14ac:dyDescent="0.25">
      <c r="T3178" s="71"/>
      <c r="U3178" s="71"/>
      <c r="V3178" s="71"/>
      <c r="W3178" s="71"/>
    </row>
    <row r="3179" spans="20:23" x14ac:dyDescent="0.25">
      <c r="T3179" s="71"/>
      <c r="U3179" s="71"/>
      <c r="V3179" s="71"/>
      <c r="W3179" s="71"/>
    </row>
    <row r="3180" spans="20:23" x14ac:dyDescent="0.25">
      <c r="T3180" s="71"/>
      <c r="U3180" s="71"/>
      <c r="V3180" s="71"/>
      <c r="W3180" s="71"/>
    </row>
    <row r="3181" spans="20:23" x14ac:dyDescent="0.25">
      <c r="T3181" s="71"/>
      <c r="U3181" s="71"/>
      <c r="V3181" s="71"/>
      <c r="W3181" s="71"/>
    </row>
    <row r="3182" spans="20:23" x14ac:dyDescent="0.25">
      <c r="T3182" s="71"/>
      <c r="U3182" s="71"/>
      <c r="V3182" s="71"/>
      <c r="W3182" s="71"/>
    </row>
    <row r="3183" spans="20:23" x14ac:dyDescent="0.25">
      <c r="T3183" s="71"/>
      <c r="U3183" s="71"/>
      <c r="V3183" s="71"/>
      <c r="W3183" s="71"/>
    </row>
    <row r="3184" spans="20:23" x14ac:dyDescent="0.25">
      <c r="T3184" s="71"/>
      <c r="U3184" s="71"/>
      <c r="V3184" s="71"/>
      <c r="W3184" s="71"/>
    </row>
    <row r="3185" spans="20:23" x14ac:dyDescent="0.25">
      <c r="T3185" s="71"/>
      <c r="U3185" s="71"/>
      <c r="V3185" s="71"/>
      <c r="W3185" s="71"/>
    </row>
    <row r="3186" spans="20:23" x14ac:dyDescent="0.25">
      <c r="T3186" s="71"/>
      <c r="U3186" s="71"/>
      <c r="V3186" s="71"/>
      <c r="W3186" s="71"/>
    </row>
    <row r="3187" spans="20:23" x14ac:dyDescent="0.25">
      <c r="T3187" s="71"/>
      <c r="U3187" s="71"/>
      <c r="V3187" s="71"/>
      <c r="W3187" s="71"/>
    </row>
    <row r="3188" spans="20:23" x14ac:dyDescent="0.25">
      <c r="T3188" s="71"/>
      <c r="U3188" s="71"/>
      <c r="V3188" s="71"/>
      <c r="W3188" s="71"/>
    </row>
    <row r="3189" spans="20:23" x14ac:dyDescent="0.25">
      <c r="T3189" s="71"/>
      <c r="U3189" s="71"/>
      <c r="V3189" s="71"/>
      <c r="W3189" s="71"/>
    </row>
    <row r="3190" spans="20:23" x14ac:dyDescent="0.25">
      <c r="T3190" s="71"/>
      <c r="U3190" s="71"/>
      <c r="V3190" s="71"/>
      <c r="W3190" s="71"/>
    </row>
    <row r="3191" spans="20:23" x14ac:dyDescent="0.25">
      <c r="T3191" s="71"/>
      <c r="U3191" s="71"/>
      <c r="V3191" s="71"/>
      <c r="W3191" s="71"/>
    </row>
    <row r="3192" spans="20:23" x14ac:dyDescent="0.25">
      <c r="T3192" s="71"/>
      <c r="U3192" s="71"/>
      <c r="V3192" s="71"/>
      <c r="W3192" s="71"/>
    </row>
    <row r="3193" spans="20:23" x14ac:dyDescent="0.25">
      <c r="T3193" s="71"/>
      <c r="U3193" s="71"/>
      <c r="V3193" s="71"/>
      <c r="W3193" s="71"/>
    </row>
    <row r="3194" spans="20:23" x14ac:dyDescent="0.25">
      <c r="T3194" s="71"/>
      <c r="U3194" s="71"/>
      <c r="V3194" s="71"/>
      <c r="W3194" s="71"/>
    </row>
    <row r="3195" spans="20:23" x14ac:dyDescent="0.25">
      <c r="T3195" s="71"/>
      <c r="U3195" s="71"/>
      <c r="V3195" s="71"/>
      <c r="W3195" s="71"/>
    </row>
    <row r="3196" spans="20:23" x14ac:dyDescent="0.25">
      <c r="T3196" s="71"/>
      <c r="U3196" s="71"/>
      <c r="V3196" s="71"/>
      <c r="W3196" s="71"/>
    </row>
    <row r="3197" spans="20:23" x14ac:dyDescent="0.25">
      <c r="T3197" s="71"/>
      <c r="U3197" s="71"/>
      <c r="V3197" s="71"/>
      <c r="W3197" s="71"/>
    </row>
    <row r="3198" spans="20:23" x14ac:dyDescent="0.25">
      <c r="T3198" s="71"/>
      <c r="U3198" s="71"/>
      <c r="V3198" s="71"/>
      <c r="W3198" s="71"/>
    </row>
    <row r="3199" spans="20:23" x14ac:dyDescent="0.25">
      <c r="T3199" s="71"/>
      <c r="U3199" s="71"/>
      <c r="V3199" s="71"/>
      <c r="W3199" s="71"/>
    </row>
    <row r="3200" spans="20:23" x14ac:dyDescent="0.25">
      <c r="T3200" s="71"/>
      <c r="U3200" s="71"/>
      <c r="V3200" s="71"/>
      <c r="W3200" s="71"/>
    </row>
    <row r="3201" spans="20:23" x14ac:dyDescent="0.25">
      <c r="T3201" s="71"/>
      <c r="U3201" s="71"/>
      <c r="V3201" s="71"/>
      <c r="W3201" s="71"/>
    </row>
    <row r="3202" spans="20:23" x14ac:dyDescent="0.25">
      <c r="T3202" s="71"/>
      <c r="U3202" s="71"/>
      <c r="V3202" s="71"/>
      <c r="W3202" s="71"/>
    </row>
    <row r="3203" spans="20:23" x14ac:dyDescent="0.25">
      <c r="T3203" s="71"/>
      <c r="U3203" s="71"/>
      <c r="V3203" s="71"/>
      <c r="W3203" s="71"/>
    </row>
    <row r="3204" spans="20:23" x14ac:dyDescent="0.25">
      <c r="T3204" s="71"/>
      <c r="U3204" s="71"/>
      <c r="V3204" s="71"/>
      <c r="W3204" s="71"/>
    </row>
    <row r="3205" spans="20:23" x14ac:dyDescent="0.25">
      <c r="T3205" s="71"/>
      <c r="U3205" s="71"/>
      <c r="V3205" s="71"/>
      <c r="W3205" s="71"/>
    </row>
    <row r="3206" spans="20:23" x14ac:dyDescent="0.25">
      <c r="T3206" s="71"/>
      <c r="U3206" s="71"/>
      <c r="V3206" s="71"/>
      <c r="W3206" s="71"/>
    </row>
    <row r="3207" spans="20:23" x14ac:dyDescent="0.25">
      <c r="T3207" s="71"/>
      <c r="U3207" s="71"/>
      <c r="V3207" s="71"/>
      <c r="W3207" s="71"/>
    </row>
    <row r="3208" spans="20:23" x14ac:dyDescent="0.25">
      <c r="T3208" s="71"/>
      <c r="U3208" s="71"/>
      <c r="V3208" s="71"/>
      <c r="W3208" s="71"/>
    </row>
    <row r="3209" spans="20:23" x14ac:dyDescent="0.25">
      <c r="T3209" s="71"/>
      <c r="U3209" s="71"/>
      <c r="V3209" s="71"/>
      <c r="W3209" s="71"/>
    </row>
    <row r="3210" spans="20:23" x14ac:dyDescent="0.25">
      <c r="T3210" s="71"/>
      <c r="U3210" s="71"/>
      <c r="V3210" s="71"/>
      <c r="W3210" s="71"/>
    </row>
    <row r="3211" spans="20:23" x14ac:dyDescent="0.25">
      <c r="T3211" s="71"/>
      <c r="U3211" s="71"/>
      <c r="V3211" s="71"/>
      <c r="W3211" s="71"/>
    </row>
    <row r="3212" spans="20:23" x14ac:dyDescent="0.25">
      <c r="T3212" s="71"/>
      <c r="U3212" s="71"/>
      <c r="V3212" s="71"/>
      <c r="W3212" s="71"/>
    </row>
    <row r="3213" spans="20:23" x14ac:dyDescent="0.25">
      <c r="T3213" s="71"/>
      <c r="U3213" s="71"/>
      <c r="V3213" s="71"/>
      <c r="W3213" s="71"/>
    </row>
    <row r="3214" spans="20:23" x14ac:dyDescent="0.25">
      <c r="T3214" s="71"/>
      <c r="U3214" s="71"/>
      <c r="V3214" s="71"/>
      <c r="W3214" s="71"/>
    </row>
    <row r="3215" spans="20:23" x14ac:dyDescent="0.25">
      <c r="T3215" s="71"/>
      <c r="U3215" s="71"/>
      <c r="V3215" s="71"/>
      <c r="W3215" s="71"/>
    </row>
    <row r="3216" spans="20:23" x14ac:dyDescent="0.25">
      <c r="T3216" s="71"/>
      <c r="U3216" s="71"/>
      <c r="V3216" s="71"/>
      <c r="W3216" s="71"/>
    </row>
    <row r="3217" spans="20:23" x14ac:dyDescent="0.25">
      <c r="T3217" s="71"/>
      <c r="U3217" s="71"/>
      <c r="V3217" s="71"/>
      <c r="W3217" s="71"/>
    </row>
    <row r="3218" spans="20:23" x14ac:dyDescent="0.25">
      <c r="T3218" s="71"/>
      <c r="U3218" s="71"/>
      <c r="V3218" s="71"/>
      <c r="W3218" s="71"/>
    </row>
    <row r="3219" spans="20:23" x14ac:dyDescent="0.25">
      <c r="T3219" s="71"/>
      <c r="U3219" s="71"/>
      <c r="V3219" s="71"/>
      <c r="W3219" s="71"/>
    </row>
    <row r="3220" spans="20:23" x14ac:dyDescent="0.25">
      <c r="T3220" s="71"/>
      <c r="U3220" s="71"/>
      <c r="V3220" s="71"/>
      <c r="W3220" s="71"/>
    </row>
    <row r="3221" spans="20:23" x14ac:dyDescent="0.25">
      <c r="T3221" s="71"/>
      <c r="U3221" s="71"/>
      <c r="V3221" s="71"/>
      <c r="W3221" s="71"/>
    </row>
    <row r="3222" spans="20:23" x14ac:dyDescent="0.25">
      <c r="T3222" s="71"/>
      <c r="U3222" s="71"/>
      <c r="V3222" s="71"/>
      <c r="W3222" s="71"/>
    </row>
    <row r="3223" spans="20:23" x14ac:dyDescent="0.25">
      <c r="T3223" s="71"/>
      <c r="U3223" s="71"/>
      <c r="V3223" s="71"/>
      <c r="W3223" s="71"/>
    </row>
    <row r="3224" spans="20:23" x14ac:dyDescent="0.25">
      <c r="T3224" s="71"/>
      <c r="U3224" s="71"/>
      <c r="V3224" s="71"/>
      <c r="W3224" s="71"/>
    </row>
    <row r="3225" spans="20:23" x14ac:dyDescent="0.25">
      <c r="T3225" s="71"/>
      <c r="U3225" s="71"/>
      <c r="V3225" s="71"/>
      <c r="W3225" s="71"/>
    </row>
    <row r="3226" spans="20:23" x14ac:dyDescent="0.25">
      <c r="T3226" s="71"/>
      <c r="U3226" s="71"/>
      <c r="V3226" s="71"/>
      <c r="W3226" s="71"/>
    </row>
    <row r="3227" spans="20:23" x14ac:dyDescent="0.25">
      <c r="T3227" s="71"/>
      <c r="U3227" s="71"/>
      <c r="V3227" s="71"/>
      <c r="W3227" s="71"/>
    </row>
    <row r="3228" spans="20:23" x14ac:dyDescent="0.25">
      <c r="T3228" s="71"/>
      <c r="U3228" s="71"/>
      <c r="V3228" s="71"/>
      <c r="W3228" s="71"/>
    </row>
    <row r="3229" spans="20:23" x14ac:dyDescent="0.25">
      <c r="T3229" s="71"/>
      <c r="U3229" s="71"/>
      <c r="V3229" s="71"/>
      <c r="W3229" s="71"/>
    </row>
    <row r="3230" spans="20:23" x14ac:dyDescent="0.25">
      <c r="T3230" s="71"/>
      <c r="U3230" s="71"/>
      <c r="V3230" s="71"/>
      <c r="W3230" s="71"/>
    </row>
    <row r="3231" spans="20:23" x14ac:dyDescent="0.25">
      <c r="T3231" s="71"/>
      <c r="U3231" s="71"/>
      <c r="V3231" s="71"/>
      <c r="W3231" s="71"/>
    </row>
    <row r="3232" spans="20:23" x14ac:dyDescent="0.25">
      <c r="T3232" s="71"/>
      <c r="U3232" s="71"/>
      <c r="V3232" s="71"/>
      <c r="W3232" s="71"/>
    </row>
    <row r="3233" spans="20:23" x14ac:dyDescent="0.25">
      <c r="T3233" s="71"/>
      <c r="U3233" s="71"/>
      <c r="V3233" s="71"/>
      <c r="W3233" s="71"/>
    </row>
    <row r="3234" spans="20:23" x14ac:dyDescent="0.25">
      <c r="T3234" s="71"/>
      <c r="U3234" s="71"/>
      <c r="V3234" s="71"/>
      <c r="W3234" s="71"/>
    </row>
    <row r="3235" spans="20:23" x14ac:dyDescent="0.25">
      <c r="T3235" s="71"/>
      <c r="U3235" s="71"/>
      <c r="V3235" s="71"/>
      <c r="W3235" s="71"/>
    </row>
    <row r="3236" spans="20:23" x14ac:dyDescent="0.25">
      <c r="T3236" s="71"/>
      <c r="U3236" s="71"/>
      <c r="V3236" s="71"/>
      <c r="W3236" s="71"/>
    </row>
    <row r="3237" spans="20:23" x14ac:dyDescent="0.25">
      <c r="T3237" s="71"/>
      <c r="U3237" s="71"/>
      <c r="V3237" s="71"/>
      <c r="W3237" s="71"/>
    </row>
    <row r="3238" spans="20:23" x14ac:dyDescent="0.25">
      <c r="T3238" s="71"/>
      <c r="U3238" s="71"/>
      <c r="V3238" s="71"/>
      <c r="W3238" s="71"/>
    </row>
    <row r="3239" spans="20:23" x14ac:dyDescent="0.25">
      <c r="T3239" s="71"/>
      <c r="U3239" s="71"/>
      <c r="V3239" s="71"/>
      <c r="W3239" s="71"/>
    </row>
    <row r="3240" spans="20:23" x14ac:dyDescent="0.25">
      <c r="T3240" s="71"/>
      <c r="U3240" s="71"/>
      <c r="V3240" s="71"/>
      <c r="W3240" s="71"/>
    </row>
    <row r="3241" spans="20:23" x14ac:dyDescent="0.25">
      <c r="T3241" s="71"/>
      <c r="U3241" s="71"/>
      <c r="V3241" s="71"/>
      <c r="W3241" s="71"/>
    </row>
    <row r="3242" spans="20:23" x14ac:dyDescent="0.25">
      <c r="T3242" s="71"/>
      <c r="U3242" s="71"/>
      <c r="V3242" s="71"/>
      <c r="W3242" s="71"/>
    </row>
    <row r="3243" spans="20:23" x14ac:dyDescent="0.25">
      <c r="T3243" s="71"/>
      <c r="U3243" s="71"/>
      <c r="V3243" s="71"/>
      <c r="W3243" s="71"/>
    </row>
    <row r="3244" spans="20:23" x14ac:dyDescent="0.25">
      <c r="T3244" s="71"/>
      <c r="U3244" s="71"/>
      <c r="V3244" s="71"/>
      <c r="W3244" s="71"/>
    </row>
    <row r="3245" spans="20:23" x14ac:dyDescent="0.25">
      <c r="T3245" s="71"/>
      <c r="U3245" s="71"/>
      <c r="V3245" s="71"/>
      <c r="W3245" s="71"/>
    </row>
    <row r="3246" spans="20:23" x14ac:dyDescent="0.25">
      <c r="T3246" s="71"/>
      <c r="U3246" s="71"/>
      <c r="V3246" s="71"/>
      <c r="W3246" s="71"/>
    </row>
    <row r="3247" spans="20:23" x14ac:dyDescent="0.25">
      <c r="T3247" s="71"/>
      <c r="U3247" s="71"/>
      <c r="V3247" s="71"/>
      <c r="W3247" s="71"/>
    </row>
    <row r="3248" spans="20:23" x14ac:dyDescent="0.25">
      <c r="T3248" s="71"/>
      <c r="U3248" s="71"/>
      <c r="V3248" s="71"/>
      <c r="W3248" s="71"/>
    </row>
    <row r="3249" spans="20:23" x14ac:dyDescent="0.25">
      <c r="T3249" s="71"/>
      <c r="U3249" s="71"/>
      <c r="V3249" s="71"/>
      <c r="W3249" s="71"/>
    </row>
    <row r="3250" spans="20:23" x14ac:dyDescent="0.25">
      <c r="T3250" s="71"/>
      <c r="U3250" s="71"/>
      <c r="V3250" s="71"/>
      <c r="W3250" s="71"/>
    </row>
    <row r="3251" spans="20:23" x14ac:dyDescent="0.25">
      <c r="T3251" s="71"/>
      <c r="U3251" s="71"/>
      <c r="V3251" s="71"/>
      <c r="W3251" s="71"/>
    </row>
    <row r="3252" spans="20:23" x14ac:dyDescent="0.25">
      <c r="T3252" s="71"/>
      <c r="U3252" s="71"/>
      <c r="V3252" s="71"/>
      <c r="W3252" s="71"/>
    </row>
    <row r="3253" spans="20:23" x14ac:dyDescent="0.25">
      <c r="T3253" s="71"/>
      <c r="U3253" s="71"/>
      <c r="V3253" s="71"/>
      <c r="W3253" s="71"/>
    </row>
    <row r="3254" spans="20:23" x14ac:dyDescent="0.25">
      <c r="T3254" s="71"/>
      <c r="U3254" s="71"/>
      <c r="V3254" s="71"/>
      <c r="W3254" s="71"/>
    </row>
    <row r="3255" spans="20:23" x14ac:dyDescent="0.25">
      <c r="T3255" s="71"/>
      <c r="U3255" s="71"/>
      <c r="V3255" s="71"/>
      <c r="W3255" s="71"/>
    </row>
    <row r="3256" spans="20:23" x14ac:dyDescent="0.25">
      <c r="T3256" s="71"/>
      <c r="U3256" s="71"/>
      <c r="V3256" s="71"/>
      <c r="W3256" s="71"/>
    </row>
    <row r="3257" spans="20:23" x14ac:dyDescent="0.25">
      <c r="T3257" s="71"/>
      <c r="U3257" s="71"/>
      <c r="V3257" s="71"/>
      <c r="W3257" s="71"/>
    </row>
    <row r="3258" spans="20:23" x14ac:dyDescent="0.25">
      <c r="T3258" s="71"/>
      <c r="U3258" s="71"/>
      <c r="V3258" s="71"/>
      <c r="W3258" s="71"/>
    </row>
    <row r="3259" spans="20:23" x14ac:dyDescent="0.25">
      <c r="T3259" s="71"/>
      <c r="U3259" s="71"/>
      <c r="V3259" s="71"/>
      <c r="W3259" s="71"/>
    </row>
    <row r="3260" spans="20:23" x14ac:dyDescent="0.25">
      <c r="T3260" s="71"/>
      <c r="U3260" s="71"/>
      <c r="V3260" s="71"/>
      <c r="W3260" s="71"/>
    </row>
    <row r="3261" spans="20:23" x14ac:dyDescent="0.25">
      <c r="T3261" s="71"/>
      <c r="U3261" s="71"/>
      <c r="V3261" s="71"/>
      <c r="W3261" s="71"/>
    </row>
    <row r="3262" spans="20:23" x14ac:dyDescent="0.25">
      <c r="T3262" s="71"/>
      <c r="U3262" s="71"/>
      <c r="V3262" s="71"/>
      <c r="W3262" s="71"/>
    </row>
    <row r="3263" spans="20:23" x14ac:dyDescent="0.25">
      <c r="T3263" s="71"/>
      <c r="U3263" s="71"/>
      <c r="V3263" s="71"/>
      <c r="W3263" s="71"/>
    </row>
    <row r="3264" spans="20:23" x14ac:dyDescent="0.25">
      <c r="T3264" s="71"/>
      <c r="U3264" s="71"/>
      <c r="V3264" s="71"/>
      <c r="W3264" s="71"/>
    </row>
    <row r="3265" spans="20:23" x14ac:dyDescent="0.25">
      <c r="T3265" s="71"/>
      <c r="U3265" s="71"/>
      <c r="V3265" s="71"/>
      <c r="W3265" s="71"/>
    </row>
    <row r="3266" spans="20:23" x14ac:dyDescent="0.25">
      <c r="T3266" s="71"/>
      <c r="U3266" s="71"/>
      <c r="V3266" s="71"/>
      <c r="W3266" s="71"/>
    </row>
    <row r="3267" spans="20:23" x14ac:dyDescent="0.25">
      <c r="T3267" s="71"/>
      <c r="U3267" s="71"/>
      <c r="V3267" s="71"/>
      <c r="W3267" s="71"/>
    </row>
    <row r="3268" spans="20:23" x14ac:dyDescent="0.25">
      <c r="T3268" s="71"/>
      <c r="U3268" s="71"/>
      <c r="V3268" s="71"/>
      <c r="W3268" s="71"/>
    </row>
    <row r="3269" spans="20:23" x14ac:dyDescent="0.25">
      <c r="T3269" s="71"/>
      <c r="U3269" s="71"/>
      <c r="V3269" s="71"/>
      <c r="W3269" s="71"/>
    </row>
    <row r="3270" spans="20:23" x14ac:dyDescent="0.25">
      <c r="T3270" s="71"/>
      <c r="U3270" s="71"/>
      <c r="V3270" s="71"/>
      <c r="W3270" s="71"/>
    </row>
    <row r="3271" spans="20:23" x14ac:dyDescent="0.25">
      <c r="T3271" s="71"/>
      <c r="U3271" s="71"/>
      <c r="V3271" s="71"/>
      <c r="W3271" s="71"/>
    </row>
    <row r="3272" spans="20:23" x14ac:dyDescent="0.25">
      <c r="T3272" s="71"/>
      <c r="U3272" s="71"/>
      <c r="V3272" s="71"/>
      <c r="W3272" s="71"/>
    </row>
    <row r="3273" spans="20:23" x14ac:dyDescent="0.25">
      <c r="T3273" s="71"/>
      <c r="U3273" s="71"/>
      <c r="V3273" s="71"/>
      <c r="W3273" s="71"/>
    </row>
    <row r="3274" spans="20:23" x14ac:dyDescent="0.25">
      <c r="T3274" s="71"/>
      <c r="U3274" s="71"/>
      <c r="V3274" s="71"/>
      <c r="W3274" s="71"/>
    </row>
    <row r="3275" spans="20:23" x14ac:dyDescent="0.25">
      <c r="T3275" s="71"/>
      <c r="U3275" s="71"/>
      <c r="V3275" s="71"/>
      <c r="W3275" s="71"/>
    </row>
    <row r="3276" spans="20:23" x14ac:dyDescent="0.25">
      <c r="T3276" s="71"/>
      <c r="U3276" s="71"/>
      <c r="V3276" s="71"/>
      <c r="W3276" s="71"/>
    </row>
    <row r="3277" spans="20:23" x14ac:dyDescent="0.25">
      <c r="T3277" s="71"/>
      <c r="U3277" s="71"/>
      <c r="V3277" s="71"/>
      <c r="W3277" s="71"/>
    </row>
    <row r="3278" spans="20:23" x14ac:dyDescent="0.25">
      <c r="T3278" s="71"/>
      <c r="U3278" s="71"/>
      <c r="V3278" s="71"/>
      <c r="W3278" s="71"/>
    </row>
    <row r="3279" spans="20:23" x14ac:dyDescent="0.25">
      <c r="T3279" s="71"/>
      <c r="U3279" s="71"/>
      <c r="V3279" s="71"/>
      <c r="W3279" s="71"/>
    </row>
    <row r="3280" spans="20:23" x14ac:dyDescent="0.25">
      <c r="T3280" s="71"/>
      <c r="U3280" s="71"/>
      <c r="V3280" s="71"/>
      <c r="W3280" s="71"/>
    </row>
    <row r="3281" spans="20:23" x14ac:dyDescent="0.25">
      <c r="T3281" s="71"/>
      <c r="U3281" s="71"/>
      <c r="V3281" s="71"/>
      <c r="W3281" s="71"/>
    </row>
    <row r="3282" spans="20:23" x14ac:dyDescent="0.25">
      <c r="T3282" s="71"/>
      <c r="U3282" s="71"/>
      <c r="V3282" s="71"/>
      <c r="W3282" s="71"/>
    </row>
    <row r="3283" spans="20:23" x14ac:dyDescent="0.25">
      <c r="T3283" s="71"/>
      <c r="U3283" s="71"/>
      <c r="V3283" s="71"/>
      <c r="W3283" s="71"/>
    </row>
    <row r="3284" spans="20:23" x14ac:dyDescent="0.25">
      <c r="T3284" s="71"/>
      <c r="U3284" s="71"/>
      <c r="V3284" s="71"/>
      <c r="W3284" s="71"/>
    </row>
    <row r="3285" spans="20:23" x14ac:dyDescent="0.25">
      <c r="T3285" s="71"/>
      <c r="U3285" s="71"/>
      <c r="V3285" s="71"/>
      <c r="W3285" s="71"/>
    </row>
    <row r="3286" spans="20:23" x14ac:dyDescent="0.25">
      <c r="T3286" s="71"/>
      <c r="U3286" s="71"/>
      <c r="V3286" s="71"/>
      <c r="W3286" s="71"/>
    </row>
    <row r="3287" spans="20:23" x14ac:dyDescent="0.25">
      <c r="T3287" s="71"/>
      <c r="U3287" s="71"/>
      <c r="V3287" s="71"/>
      <c r="W3287" s="71"/>
    </row>
    <row r="3288" spans="20:23" x14ac:dyDescent="0.25">
      <c r="T3288" s="71"/>
      <c r="U3288" s="71"/>
      <c r="V3288" s="71"/>
      <c r="W3288" s="71"/>
    </row>
    <row r="3289" spans="20:23" x14ac:dyDescent="0.25">
      <c r="T3289" s="71"/>
      <c r="U3289" s="71"/>
      <c r="V3289" s="71"/>
      <c r="W3289" s="71"/>
    </row>
    <row r="3290" spans="20:23" x14ac:dyDescent="0.25">
      <c r="T3290" s="71"/>
      <c r="U3290" s="71"/>
      <c r="V3290" s="71"/>
      <c r="W3290" s="71"/>
    </row>
    <row r="3291" spans="20:23" x14ac:dyDescent="0.25">
      <c r="T3291" s="71"/>
      <c r="U3291" s="71"/>
      <c r="V3291" s="71"/>
      <c r="W3291" s="71"/>
    </row>
    <row r="3292" spans="20:23" x14ac:dyDescent="0.25">
      <c r="T3292" s="71"/>
      <c r="U3292" s="71"/>
      <c r="V3292" s="71"/>
      <c r="W3292" s="71"/>
    </row>
    <row r="3293" spans="20:23" x14ac:dyDescent="0.25">
      <c r="T3293" s="71"/>
      <c r="U3293" s="71"/>
      <c r="V3293" s="71"/>
      <c r="W3293" s="71"/>
    </row>
    <row r="3294" spans="20:23" x14ac:dyDescent="0.25">
      <c r="T3294" s="71"/>
      <c r="U3294" s="71"/>
      <c r="V3294" s="71"/>
      <c r="W3294" s="71"/>
    </row>
    <row r="3295" spans="20:23" x14ac:dyDescent="0.25">
      <c r="T3295" s="71"/>
      <c r="U3295" s="71"/>
      <c r="V3295" s="71"/>
      <c r="W3295" s="71"/>
    </row>
    <row r="3296" spans="20:23" x14ac:dyDescent="0.25">
      <c r="T3296" s="71"/>
      <c r="U3296" s="71"/>
      <c r="V3296" s="71"/>
      <c r="W3296" s="71"/>
    </row>
    <row r="3297" spans="20:23" x14ac:dyDescent="0.25">
      <c r="T3297" s="71"/>
      <c r="U3297" s="71"/>
      <c r="V3297" s="71"/>
      <c r="W3297" s="71"/>
    </row>
    <row r="3298" spans="20:23" x14ac:dyDescent="0.25">
      <c r="T3298" s="71"/>
      <c r="U3298" s="71"/>
      <c r="V3298" s="71"/>
      <c r="W3298" s="71"/>
    </row>
    <row r="3299" spans="20:23" x14ac:dyDescent="0.25">
      <c r="T3299" s="71"/>
      <c r="U3299" s="71"/>
      <c r="V3299" s="71"/>
      <c r="W3299" s="71"/>
    </row>
    <row r="3300" spans="20:23" x14ac:dyDescent="0.25">
      <c r="T3300" s="71"/>
      <c r="U3300" s="71"/>
      <c r="V3300" s="71"/>
      <c r="W3300" s="71"/>
    </row>
    <row r="3301" spans="20:23" x14ac:dyDescent="0.25">
      <c r="T3301" s="71"/>
      <c r="U3301" s="71"/>
      <c r="V3301" s="71"/>
      <c r="W3301" s="71"/>
    </row>
    <row r="3302" spans="20:23" x14ac:dyDescent="0.25">
      <c r="T3302" s="71"/>
      <c r="U3302" s="71"/>
      <c r="V3302" s="71"/>
      <c r="W3302" s="71"/>
    </row>
    <row r="3303" spans="20:23" x14ac:dyDescent="0.25">
      <c r="T3303" s="71"/>
      <c r="U3303" s="71"/>
      <c r="V3303" s="71"/>
      <c r="W3303" s="71"/>
    </row>
    <row r="3304" spans="20:23" x14ac:dyDescent="0.25">
      <c r="T3304" s="71"/>
      <c r="U3304" s="71"/>
      <c r="V3304" s="71"/>
      <c r="W3304" s="71"/>
    </row>
    <row r="3305" spans="20:23" x14ac:dyDescent="0.25">
      <c r="T3305" s="71"/>
      <c r="U3305" s="71"/>
      <c r="V3305" s="71"/>
      <c r="W3305" s="71"/>
    </row>
    <row r="3306" spans="20:23" x14ac:dyDescent="0.25">
      <c r="T3306" s="71"/>
      <c r="U3306" s="71"/>
      <c r="V3306" s="71"/>
      <c r="W3306" s="71"/>
    </row>
    <row r="3307" spans="20:23" x14ac:dyDescent="0.25">
      <c r="T3307" s="71"/>
      <c r="U3307" s="71"/>
      <c r="V3307" s="71"/>
      <c r="W3307" s="71"/>
    </row>
    <row r="3308" spans="20:23" x14ac:dyDescent="0.25">
      <c r="T3308" s="71"/>
      <c r="U3308" s="71"/>
      <c r="V3308" s="71"/>
      <c r="W3308" s="71"/>
    </row>
    <row r="3309" spans="20:23" x14ac:dyDescent="0.25">
      <c r="T3309" s="71"/>
      <c r="U3309" s="71"/>
      <c r="V3309" s="71"/>
      <c r="W3309" s="71"/>
    </row>
    <row r="3310" spans="20:23" x14ac:dyDescent="0.25">
      <c r="T3310" s="71"/>
      <c r="U3310" s="71"/>
      <c r="V3310" s="71"/>
      <c r="W3310" s="71"/>
    </row>
    <row r="3311" spans="20:23" x14ac:dyDescent="0.25">
      <c r="T3311" s="71"/>
      <c r="U3311" s="71"/>
      <c r="V3311" s="71"/>
      <c r="W3311" s="71"/>
    </row>
    <row r="3312" spans="20:23" x14ac:dyDescent="0.25">
      <c r="T3312" s="71"/>
      <c r="U3312" s="71"/>
      <c r="V3312" s="71"/>
      <c r="W3312" s="71"/>
    </row>
    <row r="3313" spans="20:23" x14ac:dyDescent="0.25">
      <c r="T3313" s="71"/>
      <c r="U3313" s="71"/>
      <c r="V3313" s="71"/>
      <c r="W3313" s="71"/>
    </row>
    <row r="3314" spans="20:23" x14ac:dyDescent="0.25">
      <c r="T3314" s="71"/>
      <c r="U3314" s="71"/>
      <c r="V3314" s="71"/>
      <c r="W3314" s="71"/>
    </row>
    <row r="3315" spans="20:23" x14ac:dyDescent="0.25">
      <c r="T3315" s="71"/>
      <c r="U3315" s="71"/>
      <c r="V3315" s="71"/>
      <c r="W3315" s="71"/>
    </row>
    <row r="3316" spans="20:23" x14ac:dyDescent="0.25">
      <c r="T3316" s="71"/>
      <c r="U3316" s="71"/>
      <c r="V3316" s="71"/>
      <c r="W3316" s="71"/>
    </row>
    <row r="3317" spans="20:23" x14ac:dyDescent="0.25">
      <c r="T3317" s="71"/>
      <c r="U3317" s="71"/>
      <c r="V3317" s="71"/>
      <c r="W3317" s="71"/>
    </row>
    <row r="3318" spans="20:23" x14ac:dyDescent="0.25">
      <c r="T3318" s="71"/>
      <c r="U3318" s="71"/>
      <c r="V3318" s="71"/>
      <c r="W3318" s="71"/>
    </row>
    <row r="3319" spans="20:23" x14ac:dyDescent="0.25">
      <c r="T3319" s="71"/>
      <c r="U3319" s="71"/>
      <c r="V3319" s="71"/>
      <c r="W3319" s="71"/>
    </row>
    <row r="3320" spans="20:23" x14ac:dyDescent="0.25">
      <c r="T3320" s="71"/>
      <c r="U3320" s="71"/>
      <c r="V3320" s="71"/>
      <c r="W3320" s="71"/>
    </row>
    <row r="3321" spans="20:23" x14ac:dyDescent="0.25">
      <c r="T3321" s="71"/>
      <c r="U3321" s="71"/>
      <c r="V3321" s="71"/>
      <c r="W3321" s="71"/>
    </row>
    <row r="3322" spans="20:23" x14ac:dyDescent="0.25">
      <c r="T3322" s="71"/>
      <c r="U3322" s="71"/>
      <c r="V3322" s="71"/>
      <c r="W3322" s="71"/>
    </row>
    <row r="3323" spans="20:23" x14ac:dyDescent="0.25">
      <c r="T3323" s="71"/>
      <c r="U3323" s="71"/>
      <c r="V3323" s="71"/>
      <c r="W3323" s="71"/>
    </row>
    <row r="3324" spans="20:23" x14ac:dyDescent="0.25">
      <c r="T3324" s="71"/>
      <c r="U3324" s="71"/>
      <c r="V3324" s="71"/>
      <c r="W3324" s="71"/>
    </row>
    <row r="3325" spans="20:23" x14ac:dyDescent="0.25">
      <c r="T3325" s="71"/>
      <c r="U3325" s="71"/>
      <c r="V3325" s="71"/>
      <c r="W3325" s="71"/>
    </row>
    <row r="3326" spans="20:23" x14ac:dyDescent="0.25">
      <c r="T3326" s="71"/>
      <c r="U3326" s="71"/>
      <c r="V3326" s="71"/>
      <c r="W3326" s="71"/>
    </row>
    <row r="3327" spans="20:23" x14ac:dyDescent="0.25">
      <c r="T3327" s="71"/>
      <c r="U3327" s="71"/>
      <c r="V3327" s="71"/>
      <c r="W3327" s="71"/>
    </row>
    <row r="3328" spans="20:23" x14ac:dyDescent="0.25">
      <c r="T3328" s="71"/>
      <c r="U3328" s="71"/>
      <c r="V3328" s="71"/>
      <c r="W3328" s="71"/>
    </row>
    <row r="3329" spans="20:23" x14ac:dyDescent="0.25">
      <c r="T3329" s="71"/>
      <c r="U3329" s="71"/>
      <c r="V3329" s="71"/>
      <c r="W3329" s="71"/>
    </row>
    <row r="3330" spans="20:23" x14ac:dyDescent="0.25">
      <c r="T3330" s="71"/>
      <c r="U3330" s="71"/>
      <c r="V3330" s="71"/>
      <c r="W3330" s="71"/>
    </row>
    <row r="3331" spans="20:23" x14ac:dyDescent="0.25">
      <c r="T3331" s="71"/>
      <c r="U3331" s="71"/>
      <c r="V3331" s="71"/>
      <c r="W3331" s="71"/>
    </row>
    <row r="3332" spans="20:23" x14ac:dyDescent="0.25">
      <c r="T3332" s="71"/>
      <c r="U3332" s="71"/>
      <c r="V3332" s="71"/>
      <c r="W3332" s="71"/>
    </row>
    <row r="3333" spans="20:23" x14ac:dyDescent="0.25">
      <c r="T3333" s="71"/>
      <c r="U3333" s="71"/>
      <c r="V3333" s="71"/>
      <c r="W3333" s="71"/>
    </row>
    <row r="3334" spans="20:23" x14ac:dyDescent="0.25">
      <c r="T3334" s="71"/>
      <c r="U3334" s="71"/>
      <c r="V3334" s="71"/>
      <c r="W3334" s="71"/>
    </row>
    <row r="3335" spans="20:23" x14ac:dyDescent="0.25">
      <c r="T3335" s="71"/>
      <c r="U3335" s="71"/>
      <c r="V3335" s="71"/>
      <c r="W3335" s="71"/>
    </row>
    <row r="3336" spans="20:23" x14ac:dyDescent="0.25">
      <c r="T3336" s="71"/>
      <c r="U3336" s="71"/>
      <c r="V3336" s="71"/>
      <c r="W3336" s="71"/>
    </row>
    <row r="3337" spans="20:23" x14ac:dyDescent="0.25">
      <c r="T3337" s="71"/>
      <c r="U3337" s="71"/>
      <c r="V3337" s="71"/>
      <c r="W3337" s="71"/>
    </row>
    <row r="3338" spans="20:23" x14ac:dyDescent="0.25">
      <c r="T3338" s="71"/>
      <c r="U3338" s="71"/>
      <c r="V3338" s="71"/>
      <c r="W3338" s="71"/>
    </row>
    <row r="3339" spans="20:23" x14ac:dyDescent="0.25">
      <c r="T3339" s="71"/>
      <c r="U3339" s="71"/>
      <c r="V3339" s="71"/>
      <c r="W3339" s="71"/>
    </row>
    <row r="3340" spans="20:23" x14ac:dyDescent="0.25">
      <c r="T3340" s="71"/>
      <c r="U3340" s="71"/>
      <c r="V3340" s="71"/>
      <c r="W3340" s="71"/>
    </row>
    <row r="3341" spans="20:23" x14ac:dyDescent="0.25">
      <c r="T3341" s="71"/>
      <c r="U3341" s="71"/>
      <c r="V3341" s="71"/>
      <c r="W3341" s="71"/>
    </row>
    <row r="3342" spans="20:23" x14ac:dyDescent="0.25">
      <c r="T3342" s="71"/>
      <c r="U3342" s="71"/>
      <c r="V3342" s="71"/>
      <c r="W3342" s="71"/>
    </row>
    <row r="3343" spans="20:23" x14ac:dyDescent="0.25">
      <c r="T3343" s="71"/>
      <c r="U3343" s="71"/>
      <c r="V3343" s="71"/>
      <c r="W3343" s="71"/>
    </row>
    <row r="3344" spans="20:23" x14ac:dyDescent="0.25">
      <c r="T3344" s="71"/>
      <c r="U3344" s="71"/>
      <c r="V3344" s="71"/>
      <c r="W3344" s="71"/>
    </row>
    <row r="3345" spans="20:23" x14ac:dyDescent="0.25">
      <c r="T3345" s="71"/>
      <c r="U3345" s="71"/>
      <c r="V3345" s="71"/>
      <c r="W3345" s="71"/>
    </row>
    <row r="3346" spans="20:23" x14ac:dyDescent="0.25">
      <c r="T3346" s="71"/>
      <c r="U3346" s="71"/>
      <c r="V3346" s="71"/>
      <c r="W3346" s="71"/>
    </row>
    <row r="3347" spans="20:23" x14ac:dyDescent="0.25">
      <c r="T3347" s="71"/>
      <c r="U3347" s="71"/>
      <c r="V3347" s="71"/>
      <c r="W3347" s="71"/>
    </row>
    <row r="3348" spans="20:23" x14ac:dyDescent="0.25">
      <c r="T3348" s="71"/>
      <c r="U3348" s="71"/>
      <c r="V3348" s="71"/>
      <c r="W3348" s="71"/>
    </row>
    <row r="3349" spans="20:23" x14ac:dyDescent="0.25">
      <c r="T3349" s="71"/>
      <c r="U3349" s="71"/>
      <c r="V3349" s="71"/>
      <c r="W3349" s="71"/>
    </row>
    <row r="3350" spans="20:23" x14ac:dyDescent="0.25">
      <c r="T3350" s="71"/>
      <c r="U3350" s="71"/>
      <c r="V3350" s="71"/>
      <c r="W3350" s="71"/>
    </row>
    <row r="3351" spans="20:23" x14ac:dyDescent="0.25">
      <c r="T3351" s="71"/>
      <c r="U3351" s="71"/>
      <c r="V3351" s="71"/>
      <c r="W3351" s="71"/>
    </row>
    <row r="3352" spans="20:23" x14ac:dyDescent="0.25">
      <c r="T3352" s="71"/>
      <c r="U3352" s="71"/>
      <c r="V3352" s="71"/>
      <c r="W3352" s="71"/>
    </row>
    <row r="3353" spans="20:23" x14ac:dyDescent="0.25">
      <c r="T3353" s="71"/>
      <c r="U3353" s="71"/>
      <c r="V3353" s="71"/>
      <c r="W3353" s="71"/>
    </row>
    <row r="3354" spans="20:23" x14ac:dyDescent="0.25">
      <c r="T3354" s="71"/>
      <c r="U3354" s="71"/>
      <c r="V3354" s="71"/>
      <c r="W3354" s="71"/>
    </row>
    <row r="3355" spans="20:23" x14ac:dyDescent="0.25">
      <c r="T3355" s="71"/>
      <c r="U3355" s="71"/>
      <c r="V3355" s="71"/>
      <c r="W3355" s="71"/>
    </row>
    <row r="3356" spans="20:23" x14ac:dyDescent="0.25">
      <c r="T3356" s="71"/>
      <c r="U3356" s="71"/>
      <c r="V3356" s="71"/>
      <c r="W3356" s="71"/>
    </row>
    <row r="3357" spans="20:23" x14ac:dyDescent="0.25">
      <c r="T3357" s="71"/>
      <c r="U3357" s="71"/>
      <c r="V3357" s="71"/>
      <c r="W3357" s="71"/>
    </row>
    <row r="3358" spans="20:23" x14ac:dyDescent="0.25">
      <c r="T3358" s="71"/>
      <c r="U3358" s="71"/>
      <c r="V3358" s="71"/>
      <c r="W3358" s="71"/>
    </row>
    <row r="3359" spans="20:23" x14ac:dyDescent="0.25">
      <c r="T3359" s="71"/>
      <c r="U3359" s="71"/>
      <c r="V3359" s="71"/>
      <c r="W3359" s="71"/>
    </row>
    <row r="3360" spans="20:23" x14ac:dyDescent="0.25">
      <c r="T3360" s="71"/>
      <c r="U3360" s="71"/>
      <c r="V3360" s="71"/>
      <c r="W3360" s="71"/>
    </row>
    <row r="3361" spans="20:23" x14ac:dyDescent="0.25">
      <c r="T3361" s="71"/>
      <c r="U3361" s="71"/>
      <c r="V3361" s="71"/>
      <c r="W3361" s="71"/>
    </row>
    <row r="3362" spans="20:23" x14ac:dyDescent="0.25">
      <c r="T3362" s="71"/>
      <c r="U3362" s="71"/>
      <c r="V3362" s="71"/>
      <c r="W3362" s="71"/>
    </row>
    <row r="3363" spans="20:23" x14ac:dyDescent="0.25">
      <c r="T3363" s="71"/>
      <c r="U3363" s="71"/>
      <c r="V3363" s="71"/>
      <c r="W3363" s="71"/>
    </row>
    <row r="3364" spans="20:23" x14ac:dyDescent="0.25">
      <c r="T3364" s="71"/>
      <c r="U3364" s="71"/>
      <c r="V3364" s="71"/>
      <c r="W3364" s="71"/>
    </row>
    <row r="3365" spans="20:23" x14ac:dyDescent="0.25">
      <c r="T3365" s="71"/>
      <c r="U3365" s="71"/>
      <c r="V3365" s="71"/>
      <c r="W3365" s="71"/>
    </row>
    <row r="3366" spans="20:23" x14ac:dyDescent="0.25">
      <c r="T3366" s="71"/>
      <c r="U3366" s="71"/>
      <c r="V3366" s="71"/>
      <c r="W3366" s="71"/>
    </row>
    <row r="3367" spans="20:23" x14ac:dyDescent="0.25">
      <c r="T3367" s="71"/>
      <c r="U3367" s="71"/>
      <c r="V3367" s="71"/>
      <c r="W3367" s="71"/>
    </row>
    <row r="3368" spans="20:23" x14ac:dyDescent="0.25">
      <c r="T3368" s="71"/>
      <c r="U3368" s="71"/>
      <c r="V3368" s="71"/>
      <c r="W3368" s="71"/>
    </row>
    <row r="3369" spans="20:23" x14ac:dyDescent="0.25">
      <c r="T3369" s="71"/>
      <c r="U3369" s="71"/>
      <c r="V3369" s="71"/>
      <c r="W3369" s="71"/>
    </row>
    <row r="3370" spans="20:23" x14ac:dyDescent="0.25">
      <c r="T3370" s="71"/>
      <c r="U3370" s="71"/>
      <c r="V3370" s="71"/>
      <c r="W3370" s="71"/>
    </row>
    <row r="3371" spans="20:23" x14ac:dyDescent="0.25">
      <c r="T3371" s="71"/>
      <c r="U3371" s="71"/>
      <c r="V3371" s="71"/>
      <c r="W3371" s="71"/>
    </row>
    <row r="3372" spans="20:23" x14ac:dyDescent="0.25">
      <c r="T3372" s="71"/>
      <c r="U3372" s="71"/>
      <c r="V3372" s="71"/>
      <c r="W3372" s="71"/>
    </row>
    <row r="3373" spans="20:23" x14ac:dyDescent="0.25">
      <c r="T3373" s="71"/>
      <c r="U3373" s="71"/>
      <c r="V3373" s="71"/>
      <c r="W3373" s="71"/>
    </row>
    <row r="3374" spans="20:23" x14ac:dyDescent="0.25">
      <c r="T3374" s="71"/>
      <c r="U3374" s="71"/>
      <c r="V3374" s="71"/>
      <c r="W3374" s="71"/>
    </row>
    <row r="3375" spans="20:23" x14ac:dyDescent="0.25">
      <c r="T3375" s="71"/>
      <c r="U3375" s="71"/>
      <c r="V3375" s="71"/>
      <c r="W3375" s="71"/>
    </row>
    <row r="3376" spans="20:23" x14ac:dyDescent="0.25">
      <c r="T3376" s="71"/>
      <c r="U3376" s="71"/>
      <c r="V3376" s="71"/>
      <c r="W3376" s="71"/>
    </row>
    <row r="3377" spans="20:23" x14ac:dyDescent="0.25">
      <c r="T3377" s="71"/>
      <c r="U3377" s="71"/>
      <c r="V3377" s="71"/>
      <c r="W3377" s="71"/>
    </row>
    <row r="3378" spans="20:23" x14ac:dyDescent="0.25">
      <c r="T3378" s="71"/>
      <c r="U3378" s="71"/>
      <c r="V3378" s="71"/>
      <c r="W3378" s="71"/>
    </row>
    <row r="3379" spans="20:23" x14ac:dyDescent="0.25">
      <c r="T3379" s="71"/>
      <c r="U3379" s="71"/>
      <c r="V3379" s="71"/>
      <c r="W3379" s="71"/>
    </row>
    <row r="3380" spans="20:23" x14ac:dyDescent="0.25">
      <c r="T3380" s="71"/>
      <c r="U3380" s="71"/>
      <c r="V3380" s="71"/>
      <c r="W3380" s="71"/>
    </row>
    <row r="3381" spans="20:23" x14ac:dyDescent="0.25">
      <c r="T3381" s="71"/>
      <c r="U3381" s="71"/>
      <c r="V3381" s="71"/>
      <c r="W3381" s="71"/>
    </row>
    <row r="3382" spans="20:23" x14ac:dyDescent="0.25">
      <c r="T3382" s="71"/>
      <c r="U3382" s="71"/>
      <c r="V3382" s="71"/>
      <c r="W3382" s="71"/>
    </row>
    <row r="3383" spans="20:23" x14ac:dyDescent="0.25">
      <c r="T3383" s="71"/>
      <c r="U3383" s="71"/>
      <c r="V3383" s="71"/>
      <c r="W3383" s="71"/>
    </row>
    <row r="3384" spans="20:23" x14ac:dyDescent="0.25">
      <c r="T3384" s="71"/>
      <c r="U3384" s="71"/>
      <c r="V3384" s="71"/>
      <c r="W3384" s="71"/>
    </row>
    <row r="3385" spans="20:23" x14ac:dyDescent="0.25">
      <c r="T3385" s="71"/>
      <c r="U3385" s="71"/>
      <c r="V3385" s="71"/>
      <c r="W3385" s="71"/>
    </row>
    <row r="3386" spans="20:23" x14ac:dyDescent="0.25">
      <c r="T3386" s="71"/>
      <c r="U3386" s="71"/>
      <c r="V3386" s="71"/>
      <c r="W3386" s="71"/>
    </row>
    <row r="3387" spans="20:23" x14ac:dyDescent="0.25">
      <c r="T3387" s="71"/>
      <c r="U3387" s="71"/>
      <c r="V3387" s="71"/>
      <c r="W3387" s="71"/>
    </row>
    <row r="3388" spans="20:23" x14ac:dyDescent="0.25">
      <c r="T3388" s="71"/>
      <c r="U3388" s="71"/>
      <c r="V3388" s="71"/>
      <c r="W3388" s="71"/>
    </row>
    <row r="3389" spans="20:23" x14ac:dyDescent="0.25">
      <c r="T3389" s="71"/>
      <c r="U3389" s="71"/>
      <c r="V3389" s="71"/>
      <c r="W3389" s="71"/>
    </row>
    <row r="3390" spans="20:23" x14ac:dyDescent="0.25">
      <c r="T3390" s="71"/>
      <c r="U3390" s="71"/>
      <c r="V3390" s="71"/>
      <c r="W3390" s="71"/>
    </row>
    <row r="3391" spans="20:23" x14ac:dyDescent="0.25">
      <c r="T3391" s="71"/>
      <c r="U3391" s="71"/>
      <c r="V3391" s="71"/>
      <c r="W3391" s="71"/>
    </row>
    <row r="3392" spans="20:23" x14ac:dyDescent="0.25">
      <c r="T3392" s="71"/>
      <c r="U3392" s="71"/>
      <c r="V3392" s="71"/>
      <c r="W3392" s="71"/>
    </row>
    <row r="3393" spans="20:23" x14ac:dyDescent="0.25">
      <c r="T3393" s="71"/>
      <c r="U3393" s="71"/>
      <c r="V3393" s="71"/>
      <c r="W3393" s="71"/>
    </row>
    <row r="3394" spans="20:23" x14ac:dyDescent="0.25">
      <c r="T3394" s="71"/>
      <c r="U3394" s="71"/>
      <c r="V3394" s="71"/>
      <c r="W3394" s="71"/>
    </row>
    <row r="3395" spans="20:23" x14ac:dyDescent="0.25">
      <c r="T3395" s="71"/>
      <c r="U3395" s="71"/>
      <c r="V3395" s="71"/>
      <c r="W3395" s="71"/>
    </row>
    <row r="3396" spans="20:23" x14ac:dyDescent="0.25">
      <c r="T3396" s="71"/>
      <c r="U3396" s="71"/>
      <c r="V3396" s="71"/>
      <c r="W3396" s="71"/>
    </row>
    <row r="3397" spans="20:23" x14ac:dyDescent="0.25">
      <c r="T3397" s="71"/>
      <c r="U3397" s="71"/>
      <c r="V3397" s="71"/>
      <c r="W3397" s="71"/>
    </row>
    <row r="3398" spans="20:23" x14ac:dyDescent="0.25">
      <c r="T3398" s="71"/>
      <c r="U3398" s="71"/>
      <c r="V3398" s="71"/>
      <c r="W3398" s="71"/>
    </row>
    <row r="3399" spans="20:23" x14ac:dyDescent="0.25">
      <c r="T3399" s="71"/>
      <c r="U3399" s="71"/>
      <c r="V3399" s="71"/>
      <c r="W3399" s="71"/>
    </row>
    <row r="3400" spans="20:23" x14ac:dyDescent="0.25">
      <c r="T3400" s="71"/>
      <c r="U3400" s="71"/>
      <c r="V3400" s="71"/>
      <c r="W3400" s="71"/>
    </row>
    <row r="3401" spans="20:23" x14ac:dyDescent="0.25">
      <c r="T3401" s="71"/>
      <c r="U3401" s="71"/>
      <c r="V3401" s="71"/>
      <c r="W3401" s="71"/>
    </row>
    <row r="3402" spans="20:23" x14ac:dyDescent="0.25">
      <c r="T3402" s="71"/>
      <c r="U3402" s="71"/>
      <c r="V3402" s="71"/>
      <c r="W3402" s="71"/>
    </row>
    <row r="3403" spans="20:23" x14ac:dyDescent="0.25">
      <c r="T3403" s="71"/>
      <c r="U3403" s="71"/>
      <c r="V3403" s="71"/>
      <c r="W3403" s="71"/>
    </row>
    <row r="3404" spans="20:23" x14ac:dyDescent="0.25">
      <c r="T3404" s="71"/>
      <c r="U3404" s="71"/>
      <c r="V3404" s="71"/>
      <c r="W3404" s="71"/>
    </row>
    <row r="3405" spans="20:23" x14ac:dyDescent="0.25">
      <c r="T3405" s="71"/>
      <c r="U3405" s="71"/>
      <c r="V3405" s="71"/>
      <c r="W3405" s="71"/>
    </row>
    <row r="3406" spans="20:23" x14ac:dyDescent="0.25">
      <c r="T3406" s="71"/>
      <c r="U3406" s="71"/>
      <c r="V3406" s="71"/>
      <c r="W3406" s="71"/>
    </row>
    <row r="3407" spans="20:23" x14ac:dyDescent="0.25">
      <c r="T3407" s="71"/>
      <c r="U3407" s="71"/>
      <c r="V3407" s="71"/>
      <c r="W3407" s="71"/>
    </row>
    <row r="3408" spans="20:23" x14ac:dyDescent="0.25">
      <c r="T3408" s="71"/>
      <c r="U3408" s="71"/>
      <c r="V3408" s="71"/>
      <c r="W3408" s="71"/>
    </row>
    <row r="3409" spans="20:23" x14ac:dyDescent="0.25">
      <c r="T3409" s="71"/>
      <c r="U3409" s="71"/>
      <c r="V3409" s="71"/>
      <c r="W3409" s="71"/>
    </row>
    <row r="3410" spans="20:23" x14ac:dyDescent="0.25">
      <c r="T3410" s="71"/>
      <c r="U3410" s="71"/>
      <c r="V3410" s="71"/>
      <c r="W3410" s="71"/>
    </row>
    <row r="3411" spans="20:23" x14ac:dyDescent="0.25">
      <c r="T3411" s="71"/>
      <c r="U3411" s="71"/>
      <c r="V3411" s="71"/>
      <c r="W3411" s="71"/>
    </row>
    <row r="3412" spans="20:23" x14ac:dyDescent="0.25">
      <c r="T3412" s="71"/>
      <c r="U3412" s="71"/>
      <c r="V3412" s="71"/>
      <c r="W3412" s="71"/>
    </row>
    <row r="3413" spans="20:23" x14ac:dyDescent="0.25">
      <c r="T3413" s="71"/>
      <c r="U3413" s="71"/>
      <c r="V3413" s="71"/>
      <c r="W3413" s="71"/>
    </row>
    <row r="3414" spans="20:23" x14ac:dyDescent="0.25">
      <c r="T3414" s="71"/>
      <c r="U3414" s="71"/>
      <c r="V3414" s="71"/>
      <c r="W3414" s="71"/>
    </row>
    <row r="3415" spans="20:23" x14ac:dyDescent="0.25">
      <c r="T3415" s="71"/>
      <c r="U3415" s="71"/>
      <c r="V3415" s="71"/>
      <c r="W3415" s="71"/>
    </row>
    <row r="3416" spans="20:23" x14ac:dyDescent="0.25">
      <c r="T3416" s="71"/>
      <c r="U3416" s="71"/>
      <c r="V3416" s="71"/>
      <c r="W3416" s="71"/>
    </row>
    <row r="3417" spans="20:23" x14ac:dyDescent="0.25">
      <c r="T3417" s="71"/>
      <c r="U3417" s="71"/>
      <c r="V3417" s="71"/>
      <c r="W3417" s="71"/>
    </row>
    <row r="3418" spans="20:23" x14ac:dyDescent="0.25">
      <c r="T3418" s="71"/>
      <c r="U3418" s="71"/>
      <c r="V3418" s="71"/>
      <c r="W3418" s="71"/>
    </row>
    <row r="3419" spans="20:23" x14ac:dyDescent="0.25">
      <c r="T3419" s="71"/>
      <c r="U3419" s="71"/>
      <c r="V3419" s="71"/>
      <c r="W3419" s="71"/>
    </row>
    <row r="3420" spans="20:23" x14ac:dyDescent="0.25">
      <c r="T3420" s="71"/>
      <c r="U3420" s="71"/>
      <c r="V3420" s="71"/>
      <c r="W3420" s="71"/>
    </row>
    <row r="3421" spans="20:23" x14ac:dyDescent="0.25">
      <c r="T3421" s="71"/>
      <c r="U3421" s="71"/>
      <c r="V3421" s="71"/>
      <c r="W3421" s="71"/>
    </row>
    <row r="3422" spans="20:23" x14ac:dyDescent="0.25">
      <c r="T3422" s="71"/>
      <c r="U3422" s="71"/>
      <c r="V3422" s="71"/>
      <c r="W3422" s="71"/>
    </row>
    <row r="3423" spans="20:23" x14ac:dyDescent="0.25">
      <c r="T3423" s="71"/>
      <c r="U3423" s="71"/>
      <c r="V3423" s="71"/>
      <c r="W3423" s="71"/>
    </row>
    <row r="3424" spans="20:23" x14ac:dyDescent="0.25">
      <c r="T3424" s="71"/>
      <c r="U3424" s="71"/>
      <c r="V3424" s="71"/>
      <c r="W3424" s="71"/>
    </row>
    <row r="3425" spans="20:23" x14ac:dyDescent="0.25">
      <c r="T3425" s="71"/>
      <c r="U3425" s="71"/>
      <c r="V3425" s="71"/>
      <c r="W3425" s="71"/>
    </row>
    <row r="3426" spans="20:23" x14ac:dyDescent="0.25">
      <c r="T3426" s="71"/>
      <c r="U3426" s="71"/>
      <c r="V3426" s="71"/>
      <c r="W3426" s="71"/>
    </row>
    <row r="3427" spans="20:23" x14ac:dyDescent="0.25">
      <c r="T3427" s="71"/>
      <c r="U3427" s="71"/>
      <c r="V3427" s="71"/>
      <c r="W3427" s="71"/>
    </row>
    <row r="3428" spans="20:23" x14ac:dyDescent="0.25">
      <c r="T3428" s="71"/>
      <c r="U3428" s="71"/>
      <c r="V3428" s="71"/>
      <c r="W3428" s="71"/>
    </row>
    <row r="3429" spans="20:23" x14ac:dyDescent="0.25">
      <c r="T3429" s="71"/>
      <c r="U3429" s="71"/>
      <c r="V3429" s="71"/>
      <c r="W3429" s="71"/>
    </row>
    <row r="3430" spans="20:23" x14ac:dyDescent="0.25">
      <c r="T3430" s="71"/>
      <c r="U3430" s="71"/>
      <c r="V3430" s="71"/>
      <c r="W3430" s="71"/>
    </row>
    <row r="3431" spans="20:23" x14ac:dyDescent="0.25">
      <c r="T3431" s="71"/>
      <c r="U3431" s="71"/>
      <c r="V3431" s="71"/>
      <c r="W3431" s="71"/>
    </row>
    <row r="3432" spans="20:23" x14ac:dyDescent="0.25">
      <c r="T3432" s="71"/>
      <c r="U3432" s="71"/>
      <c r="V3432" s="71"/>
      <c r="W3432" s="71"/>
    </row>
    <row r="3433" spans="20:23" x14ac:dyDescent="0.25">
      <c r="T3433" s="71"/>
      <c r="U3433" s="71"/>
      <c r="V3433" s="71"/>
      <c r="W3433" s="71"/>
    </row>
    <row r="3434" spans="20:23" x14ac:dyDescent="0.25">
      <c r="T3434" s="71"/>
      <c r="U3434" s="71"/>
      <c r="V3434" s="71"/>
      <c r="W3434" s="71"/>
    </row>
    <row r="3435" spans="20:23" x14ac:dyDescent="0.25">
      <c r="T3435" s="71"/>
      <c r="U3435" s="71"/>
      <c r="V3435" s="71"/>
      <c r="W3435" s="71"/>
    </row>
    <row r="3436" spans="20:23" x14ac:dyDescent="0.25">
      <c r="T3436" s="71"/>
      <c r="U3436" s="71"/>
      <c r="V3436" s="71"/>
      <c r="W3436" s="71"/>
    </row>
    <row r="3437" spans="20:23" x14ac:dyDescent="0.25">
      <c r="T3437" s="71"/>
      <c r="U3437" s="71"/>
      <c r="V3437" s="71"/>
      <c r="W3437" s="71"/>
    </row>
    <row r="3438" spans="20:23" x14ac:dyDescent="0.25">
      <c r="T3438" s="71"/>
      <c r="U3438" s="71"/>
      <c r="V3438" s="71"/>
      <c r="W3438" s="71"/>
    </row>
    <row r="3439" spans="20:23" x14ac:dyDescent="0.25">
      <c r="T3439" s="71"/>
      <c r="U3439" s="71"/>
      <c r="V3439" s="71"/>
      <c r="W3439" s="71"/>
    </row>
    <row r="3440" spans="20:23" x14ac:dyDescent="0.25">
      <c r="T3440" s="71"/>
      <c r="U3440" s="71"/>
      <c r="V3440" s="71"/>
      <c r="W3440" s="71"/>
    </row>
    <row r="3441" spans="20:23" x14ac:dyDescent="0.25">
      <c r="T3441" s="71"/>
      <c r="U3441" s="71"/>
      <c r="V3441" s="71"/>
      <c r="W3441" s="71"/>
    </row>
    <row r="3442" spans="20:23" x14ac:dyDescent="0.25">
      <c r="T3442" s="71"/>
      <c r="U3442" s="71"/>
      <c r="V3442" s="71"/>
      <c r="W3442" s="71"/>
    </row>
    <row r="3443" spans="20:23" x14ac:dyDescent="0.25">
      <c r="T3443" s="71"/>
      <c r="U3443" s="71"/>
      <c r="V3443" s="71"/>
      <c r="W3443" s="71"/>
    </row>
    <row r="3444" spans="20:23" x14ac:dyDescent="0.25">
      <c r="T3444" s="71"/>
      <c r="U3444" s="71"/>
      <c r="V3444" s="71"/>
      <c r="W3444" s="71"/>
    </row>
    <row r="3445" spans="20:23" x14ac:dyDescent="0.25">
      <c r="T3445" s="71"/>
      <c r="U3445" s="71"/>
      <c r="V3445" s="71"/>
      <c r="W3445" s="71"/>
    </row>
    <row r="3446" spans="20:23" x14ac:dyDescent="0.25">
      <c r="T3446" s="71"/>
      <c r="U3446" s="71"/>
      <c r="V3446" s="71"/>
      <c r="W3446" s="71"/>
    </row>
    <row r="3447" spans="20:23" x14ac:dyDescent="0.25">
      <c r="T3447" s="71"/>
      <c r="U3447" s="71"/>
      <c r="V3447" s="71"/>
      <c r="W3447" s="71"/>
    </row>
    <row r="3448" spans="20:23" x14ac:dyDescent="0.25">
      <c r="T3448" s="71"/>
      <c r="U3448" s="71"/>
      <c r="V3448" s="71"/>
      <c r="W3448" s="71"/>
    </row>
    <row r="3449" spans="20:23" x14ac:dyDescent="0.25">
      <c r="T3449" s="71"/>
      <c r="U3449" s="71"/>
      <c r="V3449" s="71"/>
      <c r="W3449" s="71"/>
    </row>
    <row r="3450" spans="20:23" x14ac:dyDescent="0.25">
      <c r="T3450" s="71"/>
      <c r="U3450" s="71"/>
      <c r="V3450" s="71"/>
      <c r="W3450" s="71"/>
    </row>
    <row r="3451" spans="20:23" x14ac:dyDescent="0.25">
      <c r="T3451" s="71"/>
      <c r="U3451" s="71"/>
      <c r="V3451" s="71"/>
      <c r="W3451" s="71"/>
    </row>
    <row r="3452" spans="20:23" x14ac:dyDescent="0.25">
      <c r="T3452" s="71"/>
      <c r="U3452" s="71"/>
      <c r="V3452" s="71"/>
      <c r="W3452" s="71"/>
    </row>
    <row r="3453" spans="20:23" x14ac:dyDescent="0.25">
      <c r="T3453" s="71"/>
      <c r="U3453" s="71"/>
      <c r="V3453" s="71"/>
      <c r="W3453" s="71"/>
    </row>
    <row r="3454" spans="20:23" x14ac:dyDescent="0.25">
      <c r="T3454" s="71"/>
      <c r="U3454" s="71"/>
      <c r="V3454" s="71"/>
      <c r="W3454" s="71"/>
    </row>
    <row r="3455" spans="20:23" x14ac:dyDescent="0.25">
      <c r="T3455" s="71"/>
      <c r="U3455" s="71"/>
      <c r="V3455" s="71"/>
      <c r="W3455" s="71"/>
    </row>
    <row r="3456" spans="20:23" x14ac:dyDescent="0.25">
      <c r="T3456" s="71"/>
      <c r="U3456" s="71"/>
      <c r="V3456" s="71"/>
      <c r="W3456" s="71"/>
    </row>
    <row r="3457" spans="20:23" x14ac:dyDescent="0.25">
      <c r="T3457" s="71"/>
      <c r="U3457" s="71"/>
      <c r="V3457" s="71"/>
      <c r="W3457" s="71"/>
    </row>
    <row r="3458" spans="20:23" x14ac:dyDescent="0.25">
      <c r="T3458" s="71"/>
      <c r="U3458" s="71"/>
      <c r="V3458" s="71"/>
      <c r="W3458" s="71"/>
    </row>
    <row r="3459" spans="20:23" x14ac:dyDescent="0.25">
      <c r="T3459" s="71"/>
      <c r="U3459" s="71"/>
      <c r="V3459" s="71"/>
      <c r="W3459" s="71"/>
    </row>
    <row r="3460" spans="20:23" x14ac:dyDescent="0.25">
      <c r="T3460" s="71"/>
      <c r="U3460" s="71"/>
      <c r="V3460" s="71"/>
      <c r="W3460" s="71"/>
    </row>
    <row r="3461" spans="20:23" x14ac:dyDescent="0.25">
      <c r="T3461" s="71"/>
      <c r="U3461" s="71"/>
      <c r="V3461" s="71"/>
      <c r="W3461" s="71"/>
    </row>
    <row r="3462" spans="20:23" x14ac:dyDescent="0.25">
      <c r="T3462" s="71"/>
      <c r="U3462" s="71"/>
      <c r="V3462" s="71"/>
      <c r="W3462" s="71"/>
    </row>
    <row r="3463" spans="20:23" x14ac:dyDescent="0.25">
      <c r="T3463" s="71"/>
      <c r="U3463" s="71"/>
      <c r="V3463" s="71"/>
      <c r="W3463" s="71"/>
    </row>
    <row r="3464" spans="20:23" x14ac:dyDescent="0.25">
      <c r="T3464" s="71"/>
      <c r="U3464" s="71"/>
      <c r="V3464" s="71"/>
      <c r="W3464" s="71"/>
    </row>
    <row r="3465" spans="20:23" x14ac:dyDescent="0.25">
      <c r="T3465" s="71"/>
      <c r="U3465" s="71"/>
      <c r="V3465" s="71"/>
      <c r="W3465" s="71"/>
    </row>
    <row r="3466" spans="20:23" x14ac:dyDescent="0.25">
      <c r="T3466" s="71"/>
      <c r="U3466" s="71"/>
      <c r="V3466" s="71"/>
      <c r="W3466" s="71"/>
    </row>
    <row r="3467" spans="20:23" x14ac:dyDescent="0.25">
      <c r="T3467" s="71"/>
      <c r="U3467" s="71"/>
      <c r="V3467" s="71"/>
      <c r="W3467" s="71"/>
    </row>
    <row r="3468" spans="20:23" x14ac:dyDescent="0.25">
      <c r="T3468" s="71"/>
      <c r="U3468" s="71"/>
      <c r="V3468" s="71"/>
      <c r="W3468" s="71"/>
    </row>
    <row r="3469" spans="20:23" x14ac:dyDescent="0.25">
      <c r="T3469" s="71"/>
      <c r="U3469" s="71"/>
      <c r="V3469" s="71"/>
      <c r="W3469" s="71"/>
    </row>
    <row r="3470" spans="20:23" x14ac:dyDescent="0.25">
      <c r="T3470" s="71"/>
      <c r="U3470" s="71"/>
      <c r="V3470" s="71"/>
      <c r="W3470" s="71"/>
    </row>
    <row r="3471" spans="20:23" x14ac:dyDescent="0.25">
      <c r="T3471" s="71"/>
      <c r="U3471" s="71"/>
      <c r="V3471" s="71"/>
      <c r="W3471" s="71"/>
    </row>
    <row r="3472" spans="20:23" x14ac:dyDescent="0.25">
      <c r="T3472" s="71"/>
      <c r="U3472" s="71"/>
      <c r="V3472" s="71"/>
      <c r="W3472" s="71"/>
    </row>
    <row r="3473" spans="20:23" x14ac:dyDescent="0.25">
      <c r="T3473" s="71"/>
      <c r="U3473" s="71"/>
      <c r="V3473" s="71"/>
      <c r="W3473" s="71"/>
    </row>
    <row r="3474" spans="20:23" x14ac:dyDescent="0.25">
      <c r="T3474" s="71"/>
      <c r="U3474" s="71"/>
      <c r="V3474" s="71"/>
      <c r="W3474" s="71"/>
    </row>
    <row r="3475" spans="20:23" x14ac:dyDescent="0.25">
      <c r="T3475" s="71"/>
      <c r="U3475" s="71"/>
      <c r="V3475" s="71"/>
      <c r="W3475" s="71"/>
    </row>
    <row r="3476" spans="20:23" x14ac:dyDescent="0.25">
      <c r="T3476" s="71"/>
      <c r="U3476" s="71"/>
      <c r="V3476" s="71"/>
      <c r="W3476" s="71"/>
    </row>
    <row r="3477" spans="20:23" x14ac:dyDescent="0.25">
      <c r="T3477" s="71"/>
      <c r="U3477" s="71"/>
      <c r="V3477" s="71"/>
      <c r="W3477" s="71"/>
    </row>
    <row r="3478" spans="20:23" x14ac:dyDescent="0.25">
      <c r="T3478" s="71"/>
      <c r="U3478" s="71"/>
      <c r="V3478" s="71"/>
      <c r="W3478" s="71"/>
    </row>
    <row r="3479" spans="20:23" x14ac:dyDescent="0.25">
      <c r="T3479" s="71"/>
      <c r="U3479" s="71"/>
      <c r="V3479" s="71"/>
      <c r="W3479" s="71"/>
    </row>
    <row r="3480" spans="20:23" x14ac:dyDescent="0.25">
      <c r="T3480" s="71"/>
      <c r="U3480" s="71"/>
      <c r="V3480" s="71"/>
      <c r="W3480" s="71"/>
    </row>
    <row r="3481" spans="20:23" x14ac:dyDescent="0.25">
      <c r="T3481" s="71"/>
      <c r="U3481" s="71"/>
      <c r="V3481" s="71"/>
      <c r="W3481" s="71"/>
    </row>
    <row r="3482" spans="20:23" x14ac:dyDescent="0.25">
      <c r="T3482" s="71"/>
      <c r="U3482" s="71"/>
      <c r="V3482" s="71"/>
      <c r="W3482" s="71"/>
    </row>
    <row r="3483" spans="20:23" x14ac:dyDescent="0.25">
      <c r="T3483" s="71"/>
      <c r="U3483" s="71"/>
      <c r="V3483" s="71"/>
      <c r="W3483" s="71"/>
    </row>
    <row r="3484" spans="20:23" x14ac:dyDescent="0.25">
      <c r="T3484" s="71"/>
      <c r="U3484" s="71"/>
      <c r="V3484" s="71"/>
      <c r="W3484" s="71"/>
    </row>
    <row r="3485" spans="20:23" x14ac:dyDescent="0.25">
      <c r="T3485" s="71"/>
      <c r="U3485" s="71"/>
      <c r="V3485" s="71"/>
      <c r="W3485" s="71"/>
    </row>
    <row r="3486" spans="20:23" x14ac:dyDescent="0.25">
      <c r="T3486" s="71"/>
      <c r="U3486" s="71"/>
      <c r="V3486" s="71"/>
      <c r="W3486" s="71"/>
    </row>
    <row r="3487" spans="20:23" x14ac:dyDescent="0.25">
      <c r="T3487" s="71"/>
      <c r="U3487" s="71"/>
      <c r="V3487" s="71"/>
      <c r="W3487" s="71"/>
    </row>
    <row r="3488" spans="20:23" x14ac:dyDescent="0.25">
      <c r="T3488" s="71"/>
      <c r="U3488" s="71"/>
      <c r="V3488" s="71"/>
      <c r="W3488" s="71"/>
    </row>
    <row r="3489" spans="20:23" x14ac:dyDescent="0.25">
      <c r="T3489" s="71"/>
      <c r="U3489" s="71"/>
      <c r="V3489" s="71"/>
      <c r="W3489" s="71"/>
    </row>
    <row r="3490" spans="20:23" x14ac:dyDescent="0.25">
      <c r="T3490" s="71"/>
      <c r="U3490" s="71"/>
      <c r="V3490" s="71"/>
      <c r="W3490" s="71"/>
    </row>
    <row r="3491" spans="20:23" x14ac:dyDescent="0.25">
      <c r="T3491" s="71"/>
      <c r="U3491" s="71"/>
      <c r="V3491" s="71"/>
      <c r="W3491" s="71"/>
    </row>
    <row r="3492" spans="20:23" x14ac:dyDescent="0.25">
      <c r="T3492" s="71"/>
      <c r="U3492" s="71"/>
      <c r="V3492" s="71"/>
      <c r="W3492" s="71"/>
    </row>
    <row r="3493" spans="20:23" x14ac:dyDescent="0.25">
      <c r="T3493" s="71"/>
      <c r="U3493" s="71"/>
      <c r="V3493" s="71"/>
      <c r="W3493" s="71"/>
    </row>
    <row r="3494" spans="20:23" x14ac:dyDescent="0.25">
      <c r="T3494" s="71"/>
      <c r="U3494" s="71"/>
      <c r="V3494" s="71"/>
      <c r="W3494" s="71"/>
    </row>
    <row r="3495" spans="20:23" x14ac:dyDescent="0.25">
      <c r="T3495" s="71"/>
      <c r="U3495" s="71"/>
      <c r="V3495" s="71"/>
      <c r="W3495" s="71"/>
    </row>
    <row r="3496" spans="20:23" x14ac:dyDescent="0.25">
      <c r="T3496" s="71"/>
      <c r="U3496" s="71"/>
      <c r="V3496" s="71"/>
      <c r="W3496" s="71"/>
    </row>
    <row r="3497" spans="20:23" x14ac:dyDescent="0.25">
      <c r="T3497" s="71"/>
      <c r="U3497" s="71"/>
      <c r="V3497" s="71"/>
      <c r="W3497" s="71"/>
    </row>
    <row r="3498" spans="20:23" x14ac:dyDescent="0.25">
      <c r="T3498" s="71"/>
      <c r="U3498" s="71"/>
      <c r="V3498" s="71"/>
      <c r="W3498" s="71"/>
    </row>
    <row r="3499" spans="20:23" x14ac:dyDescent="0.25">
      <c r="T3499" s="71"/>
      <c r="U3499" s="71"/>
      <c r="V3499" s="71"/>
      <c r="W3499" s="71"/>
    </row>
    <row r="3500" spans="20:23" x14ac:dyDescent="0.25">
      <c r="T3500" s="71"/>
      <c r="U3500" s="71"/>
      <c r="V3500" s="71"/>
      <c r="W3500" s="71"/>
    </row>
    <row r="3501" spans="20:23" x14ac:dyDescent="0.25">
      <c r="T3501" s="71"/>
      <c r="U3501" s="71"/>
      <c r="V3501" s="71"/>
      <c r="W3501" s="71"/>
    </row>
    <row r="3502" spans="20:23" x14ac:dyDescent="0.25">
      <c r="T3502" s="71"/>
      <c r="U3502" s="71"/>
      <c r="V3502" s="71"/>
      <c r="W3502" s="71"/>
    </row>
    <row r="3503" spans="20:23" x14ac:dyDescent="0.25">
      <c r="T3503" s="71"/>
      <c r="U3503" s="71"/>
      <c r="V3503" s="71"/>
      <c r="W3503" s="71"/>
    </row>
    <row r="3504" spans="20:23" x14ac:dyDescent="0.25">
      <c r="T3504" s="71"/>
      <c r="U3504" s="71"/>
      <c r="V3504" s="71"/>
      <c r="W3504" s="71"/>
    </row>
    <row r="3505" spans="20:23" x14ac:dyDescent="0.25">
      <c r="T3505" s="71"/>
      <c r="U3505" s="71"/>
      <c r="V3505" s="71"/>
      <c r="W3505" s="71"/>
    </row>
    <row r="3506" spans="20:23" x14ac:dyDescent="0.25">
      <c r="T3506" s="71"/>
      <c r="U3506" s="71"/>
      <c r="V3506" s="71"/>
      <c r="W3506" s="71"/>
    </row>
    <row r="3507" spans="20:23" x14ac:dyDescent="0.25">
      <c r="T3507" s="71"/>
      <c r="U3507" s="71"/>
      <c r="V3507" s="71"/>
      <c r="W3507" s="71"/>
    </row>
    <row r="3508" spans="20:23" x14ac:dyDescent="0.25">
      <c r="T3508" s="71"/>
      <c r="U3508" s="71"/>
      <c r="V3508" s="71"/>
      <c r="W3508" s="71"/>
    </row>
    <row r="3509" spans="20:23" x14ac:dyDescent="0.25">
      <c r="T3509" s="71"/>
      <c r="U3509" s="71"/>
      <c r="V3509" s="71"/>
      <c r="W3509" s="71"/>
    </row>
    <row r="3510" spans="20:23" x14ac:dyDescent="0.25">
      <c r="T3510" s="71"/>
      <c r="U3510" s="71"/>
      <c r="V3510" s="71"/>
      <c r="W3510" s="71"/>
    </row>
    <row r="3511" spans="20:23" x14ac:dyDescent="0.25">
      <c r="T3511" s="71"/>
      <c r="U3511" s="71"/>
      <c r="V3511" s="71"/>
      <c r="W3511" s="71"/>
    </row>
    <row r="3512" spans="20:23" x14ac:dyDescent="0.25">
      <c r="T3512" s="71"/>
      <c r="U3512" s="71"/>
      <c r="V3512" s="71"/>
      <c r="W3512" s="71"/>
    </row>
    <row r="3513" spans="20:23" x14ac:dyDescent="0.25">
      <c r="T3513" s="71"/>
      <c r="U3513" s="71"/>
      <c r="V3513" s="71"/>
      <c r="W3513" s="71"/>
    </row>
    <row r="3514" spans="20:23" x14ac:dyDescent="0.25">
      <c r="T3514" s="71"/>
      <c r="U3514" s="71"/>
      <c r="V3514" s="71"/>
      <c r="W3514" s="71"/>
    </row>
    <row r="3515" spans="20:23" x14ac:dyDescent="0.25">
      <c r="T3515" s="71"/>
      <c r="U3515" s="71"/>
      <c r="V3515" s="71"/>
      <c r="W3515" s="71"/>
    </row>
    <row r="3516" spans="20:23" x14ac:dyDescent="0.25">
      <c r="T3516" s="71"/>
      <c r="U3516" s="71"/>
      <c r="V3516" s="71"/>
      <c r="W3516" s="71"/>
    </row>
    <row r="3517" spans="20:23" x14ac:dyDescent="0.25">
      <c r="T3517" s="71"/>
      <c r="U3517" s="71"/>
      <c r="V3517" s="71"/>
      <c r="W3517" s="71"/>
    </row>
    <row r="3518" spans="20:23" x14ac:dyDescent="0.25">
      <c r="T3518" s="71"/>
      <c r="U3518" s="71"/>
      <c r="V3518" s="71"/>
      <c r="W3518" s="71"/>
    </row>
    <row r="3519" spans="20:23" x14ac:dyDescent="0.25">
      <c r="T3519" s="71"/>
      <c r="U3519" s="71"/>
      <c r="V3519" s="71"/>
      <c r="W3519" s="71"/>
    </row>
    <row r="3520" spans="20:23" x14ac:dyDescent="0.25">
      <c r="T3520" s="71"/>
      <c r="U3520" s="71"/>
      <c r="V3520" s="71"/>
      <c r="W3520" s="71"/>
    </row>
    <row r="3521" spans="20:23" x14ac:dyDescent="0.25">
      <c r="T3521" s="71"/>
      <c r="U3521" s="71"/>
      <c r="V3521" s="71"/>
      <c r="W3521" s="71"/>
    </row>
    <row r="3522" spans="20:23" x14ac:dyDescent="0.25">
      <c r="T3522" s="71"/>
      <c r="U3522" s="71"/>
      <c r="V3522" s="71"/>
      <c r="W3522" s="71"/>
    </row>
    <row r="3523" spans="20:23" x14ac:dyDescent="0.25">
      <c r="T3523" s="71"/>
      <c r="U3523" s="71"/>
      <c r="V3523" s="71"/>
      <c r="W3523" s="71"/>
    </row>
    <row r="3524" spans="20:23" x14ac:dyDescent="0.25">
      <c r="T3524" s="71"/>
      <c r="U3524" s="71"/>
      <c r="V3524" s="71"/>
      <c r="W3524" s="71"/>
    </row>
    <row r="3525" spans="20:23" x14ac:dyDescent="0.25">
      <c r="T3525" s="71"/>
      <c r="U3525" s="71"/>
      <c r="V3525" s="71"/>
      <c r="W3525" s="71"/>
    </row>
    <row r="3526" spans="20:23" x14ac:dyDescent="0.25">
      <c r="T3526" s="71"/>
      <c r="U3526" s="71"/>
      <c r="V3526" s="71"/>
      <c r="W3526" s="71"/>
    </row>
    <row r="3527" spans="20:23" x14ac:dyDescent="0.25">
      <c r="T3527" s="71"/>
      <c r="U3527" s="71"/>
      <c r="V3527" s="71"/>
      <c r="W3527" s="71"/>
    </row>
    <row r="3528" spans="20:23" x14ac:dyDescent="0.25">
      <c r="T3528" s="71"/>
      <c r="U3528" s="71"/>
      <c r="V3528" s="71"/>
      <c r="W3528" s="71"/>
    </row>
    <row r="3529" spans="20:23" x14ac:dyDescent="0.25">
      <c r="T3529" s="71"/>
      <c r="U3529" s="71"/>
      <c r="V3529" s="71"/>
      <c r="W3529" s="71"/>
    </row>
    <row r="3530" spans="20:23" x14ac:dyDescent="0.25">
      <c r="T3530" s="71"/>
      <c r="U3530" s="71"/>
      <c r="V3530" s="71"/>
      <c r="W3530" s="71"/>
    </row>
    <row r="3531" spans="20:23" x14ac:dyDescent="0.25">
      <c r="T3531" s="71"/>
      <c r="U3531" s="71"/>
      <c r="V3531" s="71"/>
      <c r="W3531" s="71"/>
    </row>
    <row r="3532" spans="20:23" x14ac:dyDescent="0.25">
      <c r="T3532" s="71"/>
      <c r="U3532" s="71"/>
      <c r="V3532" s="71"/>
      <c r="W3532" s="71"/>
    </row>
    <row r="3533" spans="20:23" x14ac:dyDescent="0.25">
      <c r="T3533" s="71"/>
      <c r="U3533" s="71"/>
      <c r="V3533" s="71"/>
      <c r="W3533" s="71"/>
    </row>
    <row r="3534" spans="20:23" x14ac:dyDescent="0.25">
      <c r="T3534" s="71"/>
      <c r="U3534" s="71"/>
      <c r="V3534" s="71"/>
      <c r="W3534" s="71"/>
    </row>
    <row r="3535" spans="20:23" x14ac:dyDescent="0.25">
      <c r="T3535" s="71"/>
      <c r="U3535" s="71"/>
      <c r="V3535" s="71"/>
      <c r="W3535" s="71"/>
    </row>
    <row r="3536" spans="20:23" x14ac:dyDescent="0.25">
      <c r="T3536" s="71"/>
      <c r="U3536" s="71"/>
      <c r="V3536" s="71"/>
      <c r="W3536" s="71"/>
    </row>
    <row r="3537" spans="20:23" x14ac:dyDescent="0.25">
      <c r="T3537" s="71"/>
      <c r="U3537" s="71"/>
      <c r="V3537" s="71"/>
      <c r="W3537" s="71"/>
    </row>
    <row r="3538" spans="20:23" x14ac:dyDescent="0.25">
      <c r="T3538" s="71"/>
      <c r="U3538" s="71"/>
      <c r="V3538" s="71"/>
      <c r="W3538" s="71"/>
    </row>
    <row r="3539" spans="20:23" x14ac:dyDescent="0.25">
      <c r="T3539" s="71"/>
      <c r="U3539" s="71"/>
      <c r="V3539" s="71"/>
      <c r="W3539" s="71"/>
    </row>
    <row r="3540" spans="20:23" x14ac:dyDescent="0.25">
      <c r="T3540" s="71"/>
      <c r="U3540" s="71"/>
      <c r="V3540" s="71"/>
      <c r="W3540" s="71"/>
    </row>
    <row r="3541" spans="20:23" x14ac:dyDescent="0.25">
      <c r="T3541" s="71"/>
      <c r="U3541" s="71"/>
      <c r="V3541" s="71"/>
      <c r="W3541" s="71"/>
    </row>
    <row r="3542" spans="20:23" x14ac:dyDescent="0.25">
      <c r="T3542" s="71"/>
      <c r="U3542" s="71"/>
      <c r="V3542" s="71"/>
      <c r="W3542" s="71"/>
    </row>
    <row r="3543" spans="20:23" x14ac:dyDescent="0.25">
      <c r="T3543" s="71"/>
      <c r="U3543" s="71"/>
      <c r="V3543" s="71"/>
      <c r="W3543" s="71"/>
    </row>
    <row r="3544" spans="20:23" x14ac:dyDescent="0.25">
      <c r="T3544" s="71"/>
      <c r="U3544" s="71"/>
      <c r="V3544" s="71"/>
      <c r="W3544" s="71"/>
    </row>
    <row r="3545" spans="20:23" x14ac:dyDescent="0.25">
      <c r="T3545" s="71"/>
      <c r="U3545" s="71"/>
      <c r="V3545" s="71"/>
      <c r="W3545" s="71"/>
    </row>
    <row r="3546" spans="20:23" x14ac:dyDescent="0.25">
      <c r="T3546" s="71"/>
      <c r="U3546" s="71"/>
      <c r="V3546" s="71"/>
      <c r="W3546" s="71"/>
    </row>
    <row r="3547" spans="20:23" x14ac:dyDescent="0.25">
      <c r="T3547" s="71"/>
      <c r="U3547" s="71"/>
      <c r="V3547" s="71"/>
      <c r="W3547" s="71"/>
    </row>
    <row r="3548" spans="20:23" x14ac:dyDescent="0.25">
      <c r="T3548" s="71"/>
      <c r="U3548" s="71"/>
      <c r="V3548" s="71"/>
      <c r="W3548" s="71"/>
    </row>
    <row r="3549" spans="20:23" x14ac:dyDescent="0.25">
      <c r="T3549" s="71"/>
      <c r="U3549" s="71"/>
      <c r="V3549" s="71"/>
      <c r="W3549" s="71"/>
    </row>
    <row r="3550" spans="20:23" x14ac:dyDescent="0.25">
      <c r="T3550" s="71"/>
      <c r="U3550" s="71"/>
      <c r="V3550" s="71"/>
      <c r="W3550" s="71"/>
    </row>
    <row r="3551" spans="20:23" x14ac:dyDescent="0.25">
      <c r="T3551" s="71"/>
      <c r="U3551" s="71"/>
      <c r="V3551" s="71"/>
      <c r="W3551" s="71"/>
    </row>
    <row r="3552" spans="20:23" x14ac:dyDescent="0.25">
      <c r="T3552" s="71"/>
      <c r="U3552" s="71"/>
      <c r="V3552" s="71"/>
      <c r="W3552" s="71"/>
    </row>
    <row r="3553" spans="20:23" x14ac:dyDescent="0.25">
      <c r="T3553" s="71"/>
      <c r="U3553" s="71"/>
      <c r="V3553" s="71"/>
      <c r="W3553" s="71"/>
    </row>
    <row r="3554" spans="20:23" x14ac:dyDescent="0.25">
      <c r="T3554" s="71"/>
      <c r="U3554" s="71"/>
      <c r="V3554" s="71"/>
      <c r="W3554" s="71"/>
    </row>
    <row r="3555" spans="20:23" x14ac:dyDescent="0.25">
      <c r="T3555" s="71"/>
      <c r="U3555" s="71"/>
      <c r="V3555" s="71"/>
      <c r="W3555" s="71"/>
    </row>
    <row r="3556" spans="20:23" x14ac:dyDescent="0.25">
      <c r="T3556" s="71"/>
      <c r="U3556" s="71"/>
      <c r="V3556" s="71"/>
      <c r="W3556" s="71"/>
    </row>
    <row r="3557" spans="20:23" x14ac:dyDescent="0.25">
      <c r="T3557" s="71"/>
      <c r="U3557" s="71"/>
      <c r="V3557" s="71"/>
      <c r="W3557" s="71"/>
    </row>
    <row r="3558" spans="20:23" x14ac:dyDescent="0.25">
      <c r="T3558" s="71"/>
      <c r="U3558" s="71"/>
      <c r="V3558" s="71"/>
      <c r="W3558" s="71"/>
    </row>
    <row r="3559" spans="20:23" x14ac:dyDescent="0.25">
      <c r="T3559" s="71"/>
      <c r="U3559" s="71"/>
      <c r="V3559" s="71"/>
      <c r="W3559" s="71"/>
    </row>
    <row r="3560" spans="20:23" x14ac:dyDescent="0.25">
      <c r="T3560" s="71"/>
      <c r="U3560" s="71"/>
      <c r="V3560" s="71"/>
      <c r="W3560" s="71"/>
    </row>
    <row r="3561" spans="20:23" x14ac:dyDescent="0.25">
      <c r="T3561" s="71"/>
      <c r="U3561" s="71"/>
      <c r="V3561" s="71"/>
      <c r="W3561" s="71"/>
    </row>
    <row r="3562" spans="20:23" x14ac:dyDescent="0.25">
      <c r="T3562" s="71"/>
      <c r="U3562" s="71"/>
      <c r="V3562" s="71"/>
      <c r="W3562" s="71"/>
    </row>
    <row r="3563" spans="20:23" x14ac:dyDescent="0.25">
      <c r="T3563" s="71"/>
      <c r="U3563" s="71"/>
      <c r="V3563" s="71"/>
      <c r="W3563" s="71"/>
    </row>
    <row r="3564" spans="20:23" x14ac:dyDescent="0.25">
      <c r="T3564" s="71"/>
      <c r="U3564" s="71"/>
      <c r="V3564" s="71"/>
      <c r="W3564" s="71"/>
    </row>
    <row r="3565" spans="20:23" x14ac:dyDescent="0.25">
      <c r="T3565" s="71"/>
      <c r="U3565" s="71"/>
      <c r="V3565" s="71"/>
      <c r="W3565" s="71"/>
    </row>
    <row r="3566" spans="20:23" x14ac:dyDescent="0.25">
      <c r="T3566" s="71"/>
      <c r="U3566" s="71"/>
      <c r="V3566" s="71"/>
      <c r="W3566" s="71"/>
    </row>
    <row r="3567" spans="20:23" x14ac:dyDescent="0.25">
      <c r="T3567" s="71"/>
      <c r="U3567" s="71"/>
      <c r="V3567" s="71"/>
      <c r="W3567" s="71"/>
    </row>
    <row r="3568" spans="20:23" x14ac:dyDescent="0.25">
      <c r="T3568" s="71"/>
      <c r="U3568" s="71"/>
      <c r="V3568" s="71"/>
      <c r="W3568" s="71"/>
    </row>
    <row r="3569" spans="20:23" x14ac:dyDescent="0.25">
      <c r="T3569" s="71"/>
      <c r="U3569" s="71"/>
      <c r="V3569" s="71"/>
      <c r="W3569" s="71"/>
    </row>
    <row r="3570" spans="20:23" x14ac:dyDescent="0.25">
      <c r="T3570" s="71"/>
      <c r="U3570" s="71"/>
      <c r="V3570" s="71"/>
      <c r="W3570" s="71"/>
    </row>
    <row r="3571" spans="20:23" x14ac:dyDescent="0.25">
      <c r="T3571" s="71"/>
      <c r="U3571" s="71"/>
      <c r="V3571" s="71"/>
      <c r="W3571" s="71"/>
    </row>
    <row r="3572" spans="20:23" x14ac:dyDescent="0.25">
      <c r="T3572" s="71"/>
      <c r="U3572" s="71"/>
      <c r="V3572" s="71"/>
      <c r="W3572" s="71"/>
    </row>
    <row r="3573" spans="20:23" x14ac:dyDescent="0.25">
      <c r="T3573" s="71"/>
      <c r="U3573" s="71"/>
      <c r="V3573" s="71"/>
      <c r="W3573" s="71"/>
    </row>
    <row r="3574" spans="20:23" x14ac:dyDescent="0.25">
      <c r="T3574" s="71"/>
      <c r="U3574" s="71"/>
      <c r="V3574" s="71"/>
      <c r="W3574" s="71"/>
    </row>
    <row r="3575" spans="20:23" x14ac:dyDescent="0.25">
      <c r="T3575" s="71"/>
      <c r="U3575" s="71"/>
      <c r="V3575" s="71"/>
      <c r="W3575" s="71"/>
    </row>
    <row r="3576" spans="20:23" x14ac:dyDescent="0.25">
      <c r="T3576" s="71"/>
      <c r="U3576" s="71"/>
      <c r="V3576" s="71"/>
      <c r="W3576" s="71"/>
    </row>
    <row r="3577" spans="20:23" x14ac:dyDescent="0.25">
      <c r="T3577" s="71"/>
      <c r="U3577" s="71"/>
      <c r="V3577" s="71"/>
      <c r="W3577" s="71"/>
    </row>
    <row r="3578" spans="20:23" x14ac:dyDescent="0.25">
      <c r="T3578" s="71"/>
      <c r="U3578" s="71"/>
      <c r="V3578" s="71"/>
      <c r="W3578" s="71"/>
    </row>
    <row r="3579" spans="20:23" x14ac:dyDescent="0.25">
      <c r="T3579" s="71"/>
      <c r="U3579" s="71"/>
      <c r="V3579" s="71"/>
      <c r="W3579" s="71"/>
    </row>
    <row r="3580" spans="20:23" x14ac:dyDescent="0.25">
      <c r="T3580" s="71"/>
      <c r="U3580" s="71"/>
      <c r="V3580" s="71"/>
      <c r="W3580" s="71"/>
    </row>
    <row r="3581" spans="20:23" x14ac:dyDescent="0.25">
      <c r="T3581" s="71"/>
      <c r="U3581" s="71"/>
      <c r="V3581" s="71"/>
      <c r="W3581" s="71"/>
    </row>
    <row r="3582" spans="20:23" x14ac:dyDescent="0.25">
      <c r="T3582" s="71"/>
      <c r="U3582" s="71"/>
      <c r="V3582" s="71"/>
      <c r="W3582" s="71"/>
    </row>
    <row r="3583" spans="20:23" x14ac:dyDescent="0.25">
      <c r="T3583" s="71"/>
      <c r="U3583" s="71"/>
      <c r="V3583" s="71"/>
      <c r="W3583" s="71"/>
    </row>
    <row r="3584" spans="20:23" x14ac:dyDescent="0.25">
      <c r="T3584" s="71"/>
      <c r="U3584" s="71"/>
      <c r="V3584" s="71"/>
      <c r="W3584" s="71"/>
    </row>
    <row r="3585" spans="20:23" x14ac:dyDescent="0.25">
      <c r="T3585" s="71"/>
      <c r="U3585" s="71"/>
      <c r="V3585" s="71"/>
      <c r="W3585" s="71"/>
    </row>
    <row r="3586" spans="20:23" x14ac:dyDescent="0.25">
      <c r="T3586" s="71"/>
      <c r="U3586" s="71"/>
      <c r="V3586" s="71"/>
      <c r="W3586" s="71"/>
    </row>
    <row r="3587" spans="20:23" x14ac:dyDescent="0.25">
      <c r="T3587" s="71"/>
      <c r="U3587" s="71"/>
      <c r="V3587" s="71"/>
      <c r="W3587" s="71"/>
    </row>
    <row r="3588" spans="20:23" x14ac:dyDescent="0.25">
      <c r="T3588" s="71"/>
      <c r="U3588" s="71"/>
      <c r="V3588" s="71"/>
      <c r="W3588" s="71"/>
    </row>
    <row r="3589" spans="20:23" x14ac:dyDescent="0.25">
      <c r="T3589" s="71"/>
      <c r="U3589" s="71"/>
      <c r="V3589" s="71"/>
      <c r="W3589" s="71"/>
    </row>
    <row r="3590" spans="20:23" x14ac:dyDescent="0.25">
      <c r="T3590" s="71"/>
      <c r="U3590" s="71"/>
      <c r="V3590" s="71"/>
      <c r="W3590" s="71"/>
    </row>
    <row r="3591" spans="20:23" x14ac:dyDescent="0.25">
      <c r="T3591" s="71"/>
      <c r="U3591" s="71"/>
      <c r="V3591" s="71"/>
      <c r="W3591" s="71"/>
    </row>
    <row r="3592" spans="20:23" x14ac:dyDescent="0.25">
      <c r="T3592" s="71"/>
      <c r="U3592" s="71"/>
      <c r="V3592" s="71"/>
      <c r="W3592" s="71"/>
    </row>
    <row r="3593" spans="20:23" x14ac:dyDescent="0.25">
      <c r="T3593" s="71"/>
      <c r="U3593" s="71"/>
      <c r="V3593" s="71"/>
      <c r="W3593" s="71"/>
    </row>
    <row r="3594" spans="20:23" x14ac:dyDescent="0.25">
      <c r="T3594" s="71"/>
      <c r="U3594" s="71"/>
      <c r="V3594" s="71"/>
      <c r="W3594" s="71"/>
    </row>
    <row r="3595" spans="20:23" x14ac:dyDescent="0.25">
      <c r="T3595" s="71"/>
      <c r="U3595" s="71"/>
      <c r="V3595" s="71"/>
      <c r="W3595" s="71"/>
    </row>
    <row r="3596" spans="20:23" x14ac:dyDescent="0.25">
      <c r="T3596" s="71"/>
      <c r="U3596" s="71"/>
      <c r="V3596" s="71"/>
      <c r="W3596" s="71"/>
    </row>
    <row r="3597" spans="20:23" x14ac:dyDescent="0.25">
      <c r="T3597" s="71"/>
      <c r="U3597" s="71"/>
      <c r="V3597" s="71"/>
      <c r="W3597" s="71"/>
    </row>
    <row r="3598" spans="20:23" x14ac:dyDescent="0.25">
      <c r="T3598" s="71"/>
      <c r="U3598" s="71"/>
      <c r="V3598" s="71"/>
      <c r="W3598" s="71"/>
    </row>
    <row r="3599" spans="20:23" x14ac:dyDescent="0.25">
      <c r="T3599" s="71"/>
      <c r="U3599" s="71"/>
      <c r="V3599" s="71"/>
      <c r="W3599" s="71"/>
    </row>
    <row r="3600" spans="20:23" x14ac:dyDescent="0.25">
      <c r="T3600" s="71"/>
      <c r="U3600" s="71"/>
      <c r="V3600" s="71"/>
      <c r="W3600" s="71"/>
    </row>
    <row r="3601" spans="20:23" x14ac:dyDescent="0.25">
      <c r="T3601" s="71"/>
      <c r="U3601" s="71"/>
      <c r="V3601" s="71"/>
      <c r="W3601" s="71"/>
    </row>
    <row r="3602" spans="20:23" x14ac:dyDescent="0.25">
      <c r="T3602" s="71"/>
      <c r="U3602" s="71"/>
      <c r="V3602" s="71"/>
      <c r="W3602" s="71"/>
    </row>
    <row r="3603" spans="20:23" x14ac:dyDescent="0.25">
      <c r="T3603" s="71"/>
      <c r="U3603" s="71"/>
      <c r="V3603" s="71"/>
      <c r="W3603" s="71"/>
    </row>
    <row r="3604" spans="20:23" x14ac:dyDescent="0.25">
      <c r="T3604" s="71"/>
      <c r="U3604" s="71"/>
      <c r="V3604" s="71"/>
      <c r="W3604" s="71"/>
    </row>
    <row r="3605" spans="20:23" x14ac:dyDescent="0.25">
      <c r="T3605" s="71"/>
      <c r="U3605" s="71"/>
      <c r="V3605" s="71"/>
      <c r="W3605" s="71"/>
    </row>
    <row r="3606" spans="20:23" x14ac:dyDescent="0.25">
      <c r="T3606" s="71"/>
      <c r="U3606" s="71"/>
      <c r="V3606" s="71"/>
      <c r="W3606" s="71"/>
    </row>
    <row r="3607" spans="20:23" x14ac:dyDescent="0.25">
      <c r="T3607" s="71"/>
      <c r="U3607" s="71"/>
      <c r="V3607" s="71"/>
      <c r="W3607" s="71"/>
    </row>
    <row r="3608" spans="20:23" x14ac:dyDescent="0.25">
      <c r="T3608" s="71"/>
      <c r="U3608" s="71"/>
      <c r="V3608" s="71"/>
      <c r="W3608" s="71"/>
    </row>
    <row r="3609" spans="20:23" x14ac:dyDescent="0.25">
      <c r="T3609" s="71"/>
      <c r="U3609" s="71"/>
      <c r="V3609" s="71"/>
      <c r="W3609" s="71"/>
    </row>
    <row r="3610" spans="20:23" x14ac:dyDescent="0.25">
      <c r="T3610" s="71"/>
      <c r="U3610" s="71"/>
      <c r="V3610" s="71"/>
      <c r="W3610" s="71"/>
    </row>
    <row r="3611" spans="20:23" x14ac:dyDescent="0.25">
      <c r="T3611" s="71"/>
      <c r="U3611" s="71"/>
      <c r="V3611" s="71"/>
      <c r="W3611" s="71"/>
    </row>
    <row r="3612" spans="20:23" x14ac:dyDescent="0.25">
      <c r="T3612" s="71"/>
      <c r="U3612" s="71"/>
      <c r="V3612" s="71"/>
      <c r="W3612" s="71"/>
    </row>
    <row r="3613" spans="20:23" x14ac:dyDescent="0.25">
      <c r="T3613" s="71"/>
      <c r="U3613" s="71"/>
      <c r="V3613" s="71"/>
      <c r="W3613" s="71"/>
    </row>
    <row r="3614" spans="20:23" x14ac:dyDescent="0.25">
      <c r="T3614" s="71"/>
      <c r="U3614" s="71"/>
      <c r="V3614" s="71"/>
      <c r="W3614" s="71"/>
    </row>
    <row r="3615" spans="20:23" x14ac:dyDescent="0.25">
      <c r="T3615" s="71"/>
      <c r="U3615" s="71"/>
      <c r="V3615" s="71"/>
      <c r="W3615" s="71"/>
    </row>
    <row r="3616" spans="20:23" x14ac:dyDescent="0.25">
      <c r="T3616" s="71"/>
      <c r="U3616" s="71"/>
      <c r="V3616" s="71"/>
      <c r="W3616" s="71"/>
    </row>
    <row r="3617" spans="20:23" x14ac:dyDescent="0.25">
      <c r="T3617" s="71"/>
      <c r="U3617" s="71"/>
      <c r="V3617" s="71"/>
      <c r="W3617" s="71"/>
    </row>
    <row r="3618" spans="20:23" x14ac:dyDescent="0.25">
      <c r="T3618" s="71"/>
      <c r="U3618" s="71"/>
      <c r="V3618" s="71"/>
      <c r="W3618" s="71"/>
    </row>
    <row r="3619" spans="20:23" x14ac:dyDescent="0.25">
      <c r="T3619" s="71"/>
      <c r="U3619" s="71"/>
      <c r="V3619" s="71"/>
      <c r="W3619" s="71"/>
    </row>
    <row r="3620" spans="20:23" x14ac:dyDescent="0.25">
      <c r="T3620" s="71"/>
      <c r="U3620" s="71"/>
      <c r="V3620" s="71"/>
      <c r="W3620" s="71"/>
    </row>
    <row r="3621" spans="20:23" x14ac:dyDescent="0.25">
      <c r="T3621" s="71"/>
      <c r="U3621" s="71"/>
      <c r="V3621" s="71"/>
      <c r="W3621" s="71"/>
    </row>
    <row r="3622" spans="20:23" x14ac:dyDescent="0.25">
      <c r="T3622" s="71"/>
      <c r="U3622" s="71"/>
      <c r="V3622" s="71"/>
      <c r="W3622" s="71"/>
    </row>
    <row r="3623" spans="20:23" x14ac:dyDescent="0.25">
      <c r="T3623" s="71"/>
      <c r="U3623" s="71"/>
      <c r="V3623" s="71"/>
      <c r="W3623" s="71"/>
    </row>
    <row r="3624" spans="20:23" x14ac:dyDescent="0.25">
      <c r="T3624" s="71"/>
      <c r="U3624" s="71"/>
      <c r="V3624" s="71"/>
      <c r="W3624" s="71"/>
    </row>
    <row r="3625" spans="20:23" x14ac:dyDescent="0.25">
      <c r="T3625" s="71"/>
      <c r="U3625" s="71"/>
      <c r="V3625" s="71"/>
      <c r="W3625" s="71"/>
    </row>
    <row r="3626" spans="20:23" x14ac:dyDescent="0.25">
      <c r="T3626" s="71"/>
      <c r="U3626" s="71"/>
      <c r="V3626" s="71"/>
      <c r="W3626" s="71"/>
    </row>
    <row r="3627" spans="20:23" x14ac:dyDescent="0.25">
      <c r="T3627" s="71"/>
      <c r="U3627" s="71"/>
      <c r="V3627" s="71"/>
      <c r="W3627" s="71"/>
    </row>
    <row r="3628" spans="20:23" x14ac:dyDescent="0.25">
      <c r="T3628" s="71"/>
      <c r="U3628" s="71"/>
      <c r="V3628" s="71"/>
      <c r="W3628" s="71"/>
    </row>
    <row r="3629" spans="20:23" x14ac:dyDescent="0.25">
      <c r="T3629" s="71"/>
      <c r="U3629" s="71"/>
      <c r="V3629" s="71"/>
      <c r="W3629" s="71"/>
    </row>
    <row r="3630" spans="20:23" x14ac:dyDescent="0.25">
      <c r="T3630" s="71"/>
      <c r="U3630" s="71"/>
      <c r="V3630" s="71"/>
      <c r="W3630" s="71"/>
    </row>
    <row r="3631" spans="20:23" x14ac:dyDescent="0.25">
      <c r="T3631" s="71"/>
      <c r="U3631" s="71"/>
      <c r="V3631" s="71"/>
      <c r="W3631" s="71"/>
    </row>
    <row r="3632" spans="20:23" x14ac:dyDescent="0.25">
      <c r="T3632" s="71"/>
      <c r="U3632" s="71"/>
      <c r="V3632" s="71"/>
      <c r="W3632" s="71"/>
    </row>
    <row r="3633" spans="20:23" x14ac:dyDescent="0.25">
      <c r="T3633" s="71"/>
      <c r="U3633" s="71"/>
      <c r="V3633" s="71"/>
      <c r="W3633" s="71"/>
    </row>
    <row r="3634" spans="20:23" x14ac:dyDescent="0.25">
      <c r="T3634" s="71"/>
      <c r="U3634" s="71"/>
      <c r="V3634" s="71"/>
      <c r="W3634" s="71"/>
    </row>
    <row r="3635" spans="20:23" x14ac:dyDescent="0.25">
      <c r="T3635" s="71"/>
      <c r="U3635" s="71"/>
      <c r="V3635" s="71"/>
      <c r="W3635" s="71"/>
    </row>
    <row r="3636" spans="20:23" x14ac:dyDescent="0.25">
      <c r="T3636" s="71"/>
      <c r="U3636" s="71"/>
      <c r="V3636" s="71"/>
      <c r="W3636" s="71"/>
    </row>
    <row r="3637" spans="20:23" x14ac:dyDescent="0.25">
      <c r="T3637" s="71"/>
      <c r="U3637" s="71"/>
      <c r="V3637" s="71"/>
      <c r="W3637" s="71"/>
    </row>
    <row r="3638" spans="20:23" x14ac:dyDescent="0.25">
      <c r="T3638" s="71"/>
      <c r="U3638" s="71"/>
      <c r="V3638" s="71"/>
      <c r="W3638" s="71"/>
    </row>
    <row r="3639" spans="20:23" x14ac:dyDescent="0.25">
      <c r="T3639" s="71"/>
      <c r="U3639" s="71"/>
      <c r="V3639" s="71"/>
      <c r="W3639" s="71"/>
    </row>
    <row r="3640" spans="20:23" x14ac:dyDescent="0.25">
      <c r="T3640" s="71"/>
      <c r="U3640" s="71"/>
      <c r="V3640" s="71"/>
      <c r="W3640" s="71"/>
    </row>
    <row r="3641" spans="20:23" x14ac:dyDescent="0.25">
      <c r="T3641" s="71"/>
      <c r="U3641" s="71"/>
      <c r="V3641" s="71"/>
      <c r="W3641" s="71"/>
    </row>
    <row r="3642" spans="20:23" x14ac:dyDescent="0.25">
      <c r="T3642" s="71"/>
      <c r="U3642" s="71"/>
      <c r="V3642" s="71"/>
      <c r="W3642" s="71"/>
    </row>
    <row r="3643" spans="20:23" x14ac:dyDescent="0.25">
      <c r="T3643" s="71"/>
      <c r="U3643" s="71"/>
      <c r="V3643" s="71"/>
      <c r="W3643" s="71"/>
    </row>
    <row r="3644" spans="20:23" x14ac:dyDescent="0.25">
      <c r="T3644" s="71"/>
      <c r="U3644" s="71"/>
      <c r="V3644" s="71"/>
      <c r="W3644" s="71"/>
    </row>
    <row r="3645" spans="20:23" x14ac:dyDescent="0.25">
      <c r="T3645" s="71"/>
      <c r="U3645" s="71"/>
      <c r="V3645" s="71"/>
      <c r="W3645" s="71"/>
    </row>
    <row r="3646" spans="20:23" x14ac:dyDescent="0.25">
      <c r="T3646" s="71"/>
      <c r="U3646" s="71"/>
      <c r="V3646" s="71"/>
      <c r="W3646" s="71"/>
    </row>
    <row r="3647" spans="20:23" x14ac:dyDescent="0.25">
      <c r="T3647" s="71"/>
      <c r="U3647" s="71"/>
      <c r="V3647" s="71"/>
      <c r="W3647" s="71"/>
    </row>
    <row r="3648" spans="20:23" x14ac:dyDescent="0.25">
      <c r="T3648" s="71"/>
      <c r="U3648" s="71"/>
      <c r="V3648" s="71"/>
      <c r="W3648" s="71"/>
    </row>
    <row r="3649" spans="20:23" x14ac:dyDescent="0.25">
      <c r="T3649" s="71"/>
      <c r="U3649" s="71"/>
      <c r="V3649" s="71"/>
      <c r="W3649" s="71"/>
    </row>
    <row r="3650" spans="20:23" x14ac:dyDescent="0.25">
      <c r="T3650" s="71"/>
      <c r="U3650" s="71"/>
      <c r="V3650" s="71"/>
      <c r="W3650" s="71"/>
    </row>
    <row r="3651" spans="20:23" x14ac:dyDescent="0.25">
      <c r="T3651" s="71"/>
      <c r="U3651" s="71"/>
      <c r="V3651" s="71"/>
      <c r="W3651" s="71"/>
    </row>
    <row r="3652" spans="20:23" x14ac:dyDescent="0.25">
      <c r="T3652" s="71"/>
      <c r="U3652" s="71"/>
      <c r="V3652" s="71"/>
      <c r="W3652" s="71"/>
    </row>
    <row r="3653" spans="20:23" x14ac:dyDescent="0.25">
      <c r="T3653" s="71"/>
      <c r="U3653" s="71"/>
      <c r="V3653" s="71"/>
      <c r="W3653" s="71"/>
    </row>
    <row r="3654" spans="20:23" x14ac:dyDescent="0.25">
      <c r="T3654" s="71"/>
      <c r="U3654" s="71"/>
      <c r="V3654" s="71"/>
      <c r="W3654" s="71"/>
    </row>
    <row r="3655" spans="20:23" x14ac:dyDescent="0.25">
      <c r="T3655" s="71"/>
      <c r="U3655" s="71"/>
      <c r="V3655" s="71"/>
      <c r="W3655" s="71"/>
    </row>
    <row r="3656" spans="20:23" x14ac:dyDescent="0.25">
      <c r="T3656" s="71"/>
      <c r="U3656" s="71"/>
      <c r="V3656" s="71"/>
      <c r="W3656" s="71"/>
    </row>
    <row r="3657" spans="20:23" x14ac:dyDescent="0.25">
      <c r="T3657" s="71"/>
      <c r="U3657" s="71"/>
      <c r="V3657" s="71"/>
      <c r="W3657" s="71"/>
    </row>
    <row r="3658" spans="20:23" x14ac:dyDescent="0.25">
      <c r="T3658" s="71"/>
      <c r="U3658" s="71"/>
      <c r="V3658" s="71"/>
      <c r="W3658" s="71"/>
    </row>
    <row r="3659" spans="20:23" x14ac:dyDescent="0.25">
      <c r="T3659" s="71"/>
      <c r="U3659" s="71"/>
      <c r="V3659" s="71"/>
      <c r="W3659" s="71"/>
    </row>
    <row r="3660" spans="20:23" x14ac:dyDescent="0.25">
      <c r="T3660" s="71"/>
      <c r="U3660" s="71"/>
      <c r="V3660" s="71"/>
      <c r="W3660" s="71"/>
    </row>
    <row r="3661" spans="20:23" x14ac:dyDescent="0.25">
      <c r="T3661" s="71"/>
      <c r="U3661" s="71"/>
      <c r="V3661" s="71"/>
      <c r="W3661" s="71"/>
    </row>
    <row r="3662" spans="20:23" x14ac:dyDescent="0.25">
      <c r="T3662" s="71"/>
      <c r="U3662" s="71"/>
      <c r="V3662" s="71"/>
      <c r="W3662" s="71"/>
    </row>
    <row r="3663" spans="20:23" x14ac:dyDescent="0.25">
      <c r="T3663" s="71"/>
      <c r="U3663" s="71"/>
      <c r="V3663" s="71"/>
      <c r="W3663" s="71"/>
    </row>
    <row r="3664" spans="20:23" x14ac:dyDescent="0.25">
      <c r="T3664" s="71"/>
      <c r="U3664" s="71"/>
      <c r="V3664" s="71"/>
      <c r="W3664" s="71"/>
    </row>
    <row r="3665" spans="20:23" x14ac:dyDescent="0.25">
      <c r="T3665" s="71"/>
      <c r="U3665" s="71"/>
      <c r="V3665" s="71"/>
      <c r="W3665" s="71"/>
    </row>
    <row r="3666" spans="20:23" x14ac:dyDescent="0.25">
      <c r="T3666" s="71"/>
      <c r="U3666" s="71"/>
      <c r="V3666" s="71"/>
      <c r="W3666" s="71"/>
    </row>
    <row r="3667" spans="20:23" x14ac:dyDescent="0.25">
      <c r="T3667" s="71"/>
      <c r="U3667" s="71"/>
      <c r="V3667" s="71"/>
      <c r="W3667" s="71"/>
    </row>
    <row r="3668" spans="20:23" x14ac:dyDescent="0.25">
      <c r="T3668" s="71"/>
      <c r="U3668" s="71"/>
      <c r="V3668" s="71"/>
      <c r="W3668" s="71"/>
    </row>
    <row r="3669" spans="20:23" x14ac:dyDescent="0.25">
      <c r="T3669" s="71"/>
      <c r="U3669" s="71"/>
      <c r="V3669" s="71"/>
      <c r="W3669" s="71"/>
    </row>
    <row r="3670" spans="20:23" x14ac:dyDescent="0.25">
      <c r="T3670" s="71"/>
      <c r="U3670" s="71"/>
      <c r="V3670" s="71"/>
      <c r="W3670" s="71"/>
    </row>
    <row r="3671" spans="20:23" x14ac:dyDescent="0.25">
      <c r="T3671" s="71"/>
      <c r="U3671" s="71"/>
      <c r="V3671" s="71"/>
      <c r="W3671" s="71"/>
    </row>
    <row r="3672" spans="20:23" x14ac:dyDescent="0.25">
      <c r="T3672" s="71"/>
      <c r="U3672" s="71"/>
      <c r="V3672" s="71"/>
      <c r="W3672" s="71"/>
    </row>
    <row r="3673" spans="20:23" x14ac:dyDescent="0.25">
      <c r="T3673" s="71"/>
      <c r="U3673" s="71"/>
      <c r="V3673" s="71"/>
      <c r="W3673" s="71"/>
    </row>
    <row r="3674" spans="20:23" x14ac:dyDescent="0.25">
      <c r="T3674" s="71"/>
      <c r="U3674" s="71"/>
      <c r="V3674" s="71"/>
      <c r="W3674" s="71"/>
    </row>
    <row r="3675" spans="20:23" x14ac:dyDescent="0.25">
      <c r="T3675" s="71"/>
      <c r="U3675" s="71"/>
      <c r="V3675" s="71"/>
      <c r="W3675" s="71"/>
    </row>
    <row r="3676" spans="20:23" x14ac:dyDescent="0.25">
      <c r="T3676" s="71"/>
      <c r="U3676" s="71"/>
      <c r="V3676" s="71"/>
      <c r="W3676" s="71"/>
    </row>
    <row r="3677" spans="20:23" x14ac:dyDescent="0.25">
      <c r="T3677" s="71"/>
      <c r="U3677" s="71"/>
      <c r="V3677" s="71"/>
      <c r="W3677" s="71"/>
    </row>
    <row r="3678" spans="20:23" x14ac:dyDescent="0.25">
      <c r="T3678" s="71"/>
      <c r="U3678" s="71"/>
      <c r="V3678" s="71"/>
      <c r="W3678" s="71"/>
    </row>
    <row r="3679" spans="20:23" x14ac:dyDescent="0.25">
      <c r="T3679" s="71"/>
      <c r="U3679" s="71"/>
      <c r="V3679" s="71"/>
      <c r="W3679" s="71"/>
    </row>
    <row r="3680" spans="20:23" x14ac:dyDescent="0.25">
      <c r="T3680" s="71"/>
      <c r="U3680" s="71"/>
      <c r="V3680" s="71"/>
      <c r="W3680" s="71"/>
    </row>
    <row r="3681" spans="20:23" x14ac:dyDescent="0.25">
      <c r="T3681" s="71"/>
      <c r="U3681" s="71"/>
      <c r="V3681" s="71"/>
      <c r="W3681" s="71"/>
    </row>
    <row r="3682" spans="20:23" x14ac:dyDescent="0.25">
      <c r="T3682" s="71"/>
      <c r="U3682" s="71"/>
      <c r="V3682" s="71"/>
      <c r="W3682" s="71"/>
    </row>
    <row r="3683" spans="20:23" x14ac:dyDescent="0.25">
      <c r="T3683" s="71"/>
      <c r="U3683" s="71"/>
      <c r="V3683" s="71"/>
      <c r="W3683" s="71"/>
    </row>
    <row r="3684" spans="20:23" x14ac:dyDescent="0.25">
      <c r="T3684" s="71"/>
      <c r="U3684" s="71"/>
      <c r="V3684" s="71"/>
      <c r="W3684" s="71"/>
    </row>
    <row r="3685" spans="20:23" x14ac:dyDescent="0.25">
      <c r="T3685" s="71"/>
      <c r="U3685" s="71"/>
      <c r="V3685" s="71"/>
      <c r="W3685" s="71"/>
    </row>
    <row r="3686" spans="20:23" x14ac:dyDescent="0.25">
      <c r="T3686" s="71"/>
      <c r="U3686" s="71"/>
      <c r="V3686" s="71"/>
      <c r="W3686" s="71"/>
    </row>
    <row r="3687" spans="20:23" x14ac:dyDescent="0.25">
      <c r="T3687" s="71"/>
      <c r="U3687" s="71"/>
      <c r="V3687" s="71"/>
      <c r="W3687" s="71"/>
    </row>
    <row r="3688" spans="20:23" x14ac:dyDescent="0.25">
      <c r="T3688" s="71"/>
      <c r="U3688" s="71"/>
      <c r="V3688" s="71"/>
      <c r="W3688" s="71"/>
    </row>
    <row r="3689" spans="20:23" x14ac:dyDescent="0.25">
      <c r="T3689" s="71"/>
      <c r="U3689" s="71"/>
      <c r="V3689" s="71"/>
      <c r="W3689" s="71"/>
    </row>
    <row r="3690" spans="20:23" x14ac:dyDescent="0.25">
      <c r="T3690" s="71"/>
      <c r="U3690" s="71"/>
      <c r="V3690" s="71"/>
      <c r="W3690" s="71"/>
    </row>
    <row r="3691" spans="20:23" x14ac:dyDescent="0.25">
      <c r="T3691" s="71"/>
      <c r="U3691" s="71"/>
      <c r="V3691" s="71"/>
      <c r="W3691" s="71"/>
    </row>
    <row r="3692" spans="20:23" x14ac:dyDescent="0.25">
      <c r="T3692" s="71"/>
      <c r="U3692" s="71"/>
      <c r="V3692" s="71"/>
      <c r="W3692" s="71"/>
    </row>
    <row r="3693" spans="20:23" x14ac:dyDescent="0.25">
      <c r="T3693" s="71"/>
      <c r="U3693" s="71"/>
      <c r="V3693" s="71"/>
      <c r="W3693" s="71"/>
    </row>
    <row r="3694" spans="20:23" x14ac:dyDescent="0.25">
      <c r="T3694" s="71"/>
      <c r="U3694" s="71"/>
      <c r="V3694" s="71"/>
      <c r="W3694" s="71"/>
    </row>
    <row r="3695" spans="20:23" x14ac:dyDescent="0.25">
      <c r="T3695" s="71"/>
      <c r="U3695" s="71"/>
      <c r="V3695" s="71"/>
      <c r="W3695" s="71"/>
    </row>
    <row r="3696" spans="20:23" x14ac:dyDescent="0.25">
      <c r="T3696" s="71"/>
      <c r="U3696" s="71"/>
      <c r="V3696" s="71"/>
      <c r="W3696" s="71"/>
    </row>
    <row r="3697" spans="20:23" x14ac:dyDescent="0.25">
      <c r="T3697" s="71"/>
      <c r="U3697" s="71"/>
      <c r="V3697" s="71"/>
      <c r="W3697" s="71"/>
    </row>
    <row r="3698" spans="20:23" x14ac:dyDescent="0.25">
      <c r="T3698" s="71"/>
      <c r="U3698" s="71"/>
      <c r="V3698" s="71"/>
      <c r="W3698" s="71"/>
    </row>
    <row r="3699" spans="20:23" x14ac:dyDescent="0.25">
      <c r="T3699" s="71"/>
      <c r="U3699" s="71"/>
      <c r="V3699" s="71"/>
      <c r="W3699" s="71"/>
    </row>
    <row r="3700" spans="20:23" x14ac:dyDescent="0.25">
      <c r="T3700" s="71"/>
      <c r="U3700" s="71"/>
      <c r="V3700" s="71"/>
      <c r="W3700" s="71"/>
    </row>
    <row r="3701" spans="20:23" x14ac:dyDescent="0.25">
      <c r="T3701" s="71"/>
      <c r="U3701" s="71"/>
      <c r="V3701" s="71"/>
      <c r="W3701" s="71"/>
    </row>
    <row r="3702" spans="20:23" x14ac:dyDescent="0.25">
      <c r="T3702" s="71"/>
      <c r="U3702" s="71"/>
      <c r="V3702" s="71"/>
      <c r="W3702" s="71"/>
    </row>
    <row r="3703" spans="20:23" x14ac:dyDescent="0.25">
      <c r="T3703" s="71"/>
      <c r="U3703" s="71"/>
      <c r="V3703" s="71"/>
      <c r="W3703" s="71"/>
    </row>
    <row r="3704" spans="20:23" x14ac:dyDescent="0.25">
      <c r="T3704" s="71"/>
      <c r="U3704" s="71"/>
      <c r="V3704" s="71"/>
      <c r="W3704" s="71"/>
    </row>
    <row r="3705" spans="20:23" x14ac:dyDescent="0.25">
      <c r="T3705" s="71"/>
      <c r="U3705" s="71"/>
      <c r="V3705" s="71"/>
      <c r="W3705" s="71"/>
    </row>
    <row r="3706" spans="20:23" x14ac:dyDescent="0.25">
      <c r="T3706" s="71"/>
      <c r="U3706" s="71"/>
      <c r="V3706" s="71"/>
      <c r="W3706" s="71"/>
    </row>
    <row r="3707" spans="20:23" x14ac:dyDescent="0.25">
      <c r="T3707" s="71"/>
      <c r="U3707" s="71"/>
      <c r="V3707" s="71"/>
      <c r="W3707" s="71"/>
    </row>
    <row r="3708" spans="20:23" x14ac:dyDescent="0.25">
      <c r="T3708" s="71"/>
      <c r="U3708" s="71"/>
      <c r="V3708" s="71"/>
      <c r="W3708" s="71"/>
    </row>
    <row r="3709" spans="20:23" x14ac:dyDescent="0.25">
      <c r="T3709" s="71"/>
      <c r="U3709" s="71"/>
      <c r="V3709" s="71"/>
      <c r="W3709" s="71"/>
    </row>
    <row r="3710" spans="20:23" x14ac:dyDescent="0.25">
      <c r="T3710" s="71"/>
      <c r="U3710" s="71"/>
      <c r="V3710" s="71"/>
      <c r="W3710" s="71"/>
    </row>
    <row r="3711" spans="20:23" x14ac:dyDescent="0.25">
      <c r="T3711" s="71"/>
      <c r="U3711" s="71"/>
      <c r="V3711" s="71"/>
      <c r="W3711" s="71"/>
    </row>
    <row r="3712" spans="20:23" x14ac:dyDescent="0.25">
      <c r="T3712" s="71"/>
      <c r="U3712" s="71"/>
      <c r="V3712" s="71"/>
      <c r="W3712" s="71"/>
    </row>
    <row r="3713" spans="20:23" x14ac:dyDescent="0.25">
      <c r="T3713" s="71"/>
      <c r="U3713" s="71"/>
      <c r="V3713" s="71"/>
      <c r="W3713" s="71"/>
    </row>
    <row r="3714" spans="20:23" x14ac:dyDescent="0.25">
      <c r="T3714" s="71"/>
      <c r="U3714" s="71"/>
      <c r="V3714" s="71"/>
      <c r="W3714" s="71"/>
    </row>
    <row r="3715" spans="20:23" x14ac:dyDescent="0.25">
      <c r="T3715" s="71"/>
      <c r="U3715" s="71"/>
      <c r="V3715" s="71"/>
      <c r="W3715" s="71"/>
    </row>
    <row r="3716" spans="20:23" x14ac:dyDescent="0.25">
      <c r="T3716" s="71"/>
      <c r="U3716" s="71"/>
      <c r="V3716" s="71"/>
      <c r="W3716" s="71"/>
    </row>
    <row r="3717" spans="20:23" x14ac:dyDescent="0.25">
      <c r="T3717" s="71"/>
      <c r="U3717" s="71"/>
      <c r="V3717" s="71"/>
      <c r="W3717" s="71"/>
    </row>
    <row r="3718" spans="20:23" x14ac:dyDescent="0.25">
      <c r="T3718" s="71"/>
      <c r="U3718" s="71"/>
      <c r="V3718" s="71"/>
      <c r="W3718" s="71"/>
    </row>
    <row r="3719" spans="20:23" x14ac:dyDescent="0.25">
      <c r="T3719" s="71"/>
      <c r="U3719" s="71"/>
      <c r="V3719" s="71"/>
      <c r="W3719" s="71"/>
    </row>
    <row r="3720" spans="20:23" x14ac:dyDescent="0.25">
      <c r="T3720" s="71"/>
      <c r="U3720" s="71"/>
      <c r="V3720" s="71"/>
      <c r="W3720" s="71"/>
    </row>
    <row r="3721" spans="20:23" x14ac:dyDescent="0.25">
      <c r="T3721" s="71"/>
      <c r="U3721" s="71"/>
      <c r="V3721" s="71"/>
      <c r="W3721" s="71"/>
    </row>
    <row r="3722" spans="20:23" x14ac:dyDescent="0.25">
      <c r="T3722" s="71"/>
      <c r="U3722" s="71"/>
      <c r="V3722" s="71"/>
      <c r="W3722" s="71"/>
    </row>
    <row r="3723" spans="20:23" x14ac:dyDescent="0.25">
      <c r="T3723" s="71"/>
      <c r="U3723" s="71"/>
      <c r="V3723" s="71"/>
      <c r="W3723" s="71"/>
    </row>
    <row r="3724" spans="20:23" x14ac:dyDescent="0.25">
      <c r="T3724" s="71"/>
      <c r="U3724" s="71"/>
      <c r="V3724" s="71"/>
      <c r="W3724" s="71"/>
    </row>
    <row r="3725" spans="20:23" x14ac:dyDescent="0.25">
      <c r="T3725" s="71"/>
      <c r="U3725" s="71"/>
      <c r="V3725" s="71"/>
      <c r="W3725" s="71"/>
    </row>
    <row r="3726" spans="20:23" x14ac:dyDescent="0.25">
      <c r="T3726" s="71"/>
      <c r="U3726" s="71"/>
      <c r="V3726" s="71"/>
      <c r="W3726" s="71"/>
    </row>
    <row r="3727" spans="20:23" x14ac:dyDescent="0.25">
      <c r="T3727" s="71"/>
      <c r="U3727" s="71"/>
      <c r="V3727" s="71"/>
      <c r="W3727" s="71"/>
    </row>
    <row r="3728" spans="20:23" x14ac:dyDescent="0.25">
      <c r="T3728" s="71"/>
      <c r="U3728" s="71"/>
      <c r="V3728" s="71"/>
      <c r="W3728" s="71"/>
    </row>
    <row r="3729" spans="20:23" x14ac:dyDescent="0.25">
      <c r="T3729" s="71"/>
      <c r="U3729" s="71"/>
      <c r="V3729" s="71"/>
      <c r="W3729" s="71"/>
    </row>
    <row r="3730" spans="20:23" x14ac:dyDescent="0.25">
      <c r="T3730" s="71"/>
      <c r="U3730" s="71"/>
      <c r="V3730" s="71"/>
      <c r="W3730" s="71"/>
    </row>
    <row r="3731" spans="20:23" x14ac:dyDescent="0.25">
      <c r="T3731" s="71"/>
      <c r="U3731" s="71"/>
      <c r="V3731" s="71"/>
      <c r="W3731" s="71"/>
    </row>
    <row r="3732" spans="20:23" x14ac:dyDescent="0.25">
      <c r="T3732" s="71"/>
      <c r="U3732" s="71"/>
      <c r="V3732" s="71"/>
      <c r="W3732" s="71"/>
    </row>
    <row r="3733" spans="20:23" x14ac:dyDescent="0.25">
      <c r="T3733" s="71"/>
      <c r="U3733" s="71"/>
      <c r="V3733" s="71"/>
      <c r="W3733" s="71"/>
    </row>
    <row r="3734" spans="20:23" x14ac:dyDescent="0.25">
      <c r="T3734" s="71"/>
      <c r="U3734" s="71"/>
      <c r="V3734" s="71"/>
      <c r="W3734" s="71"/>
    </row>
    <row r="3735" spans="20:23" x14ac:dyDescent="0.25">
      <c r="T3735" s="71"/>
      <c r="U3735" s="71"/>
      <c r="V3735" s="71"/>
      <c r="W3735" s="71"/>
    </row>
    <row r="3736" spans="20:23" x14ac:dyDescent="0.25">
      <c r="T3736" s="71"/>
      <c r="U3736" s="71"/>
      <c r="V3736" s="71"/>
      <c r="W3736" s="71"/>
    </row>
    <row r="3737" spans="20:23" x14ac:dyDescent="0.25">
      <c r="T3737" s="71"/>
      <c r="U3737" s="71"/>
      <c r="V3737" s="71"/>
      <c r="W3737" s="71"/>
    </row>
    <row r="3738" spans="20:23" x14ac:dyDescent="0.25">
      <c r="T3738" s="71"/>
      <c r="U3738" s="71"/>
      <c r="V3738" s="71"/>
      <c r="W3738" s="71"/>
    </row>
    <row r="3739" spans="20:23" x14ac:dyDescent="0.25">
      <c r="T3739" s="71"/>
      <c r="U3739" s="71"/>
      <c r="V3739" s="71"/>
      <c r="W3739" s="71"/>
    </row>
    <row r="3740" spans="20:23" x14ac:dyDescent="0.25">
      <c r="T3740" s="71"/>
      <c r="U3740" s="71"/>
      <c r="V3740" s="71"/>
      <c r="W3740" s="71"/>
    </row>
    <row r="3741" spans="20:23" x14ac:dyDescent="0.25">
      <c r="T3741" s="71"/>
      <c r="U3741" s="71"/>
      <c r="V3741" s="71"/>
      <c r="W3741" s="71"/>
    </row>
    <row r="3742" spans="20:23" x14ac:dyDescent="0.25">
      <c r="T3742" s="71"/>
      <c r="U3742" s="71"/>
      <c r="V3742" s="71"/>
      <c r="W3742" s="71"/>
    </row>
    <row r="3743" spans="20:23" x14ac:dyDescent="0.25">
      <c r="T3743" s="71"/>
      <c r="U3743" s="71"/>
      <c r="V3743" s="71"/>
      <c r="W3743" s="71"/>
    </row>
    <row r="3744" spans="20:23" x14ac:dyDescent="0.25">
      <c r="T3744" s="71"/>
      <c r="U3744" s="71"/>
      <c r="V3744" s="71"/>
      <c r="W3744" s="71"/>
    </row>
    <row r="3745" spans="20:23" x14ac:dyDescent="0.25">
      <c r="T3745" s="71"/>
      <c r="U3745" s="71"/>
      <c r="V3745" s="71"/>
      <c r="W3745" s="71"/>
    </row>
    <row r="3746" spans="20:23" x14ac:dyDescent="0.25">
      <c r="T3746" s="71"/>
      <c r="U3746" s="71"/>
      <c r="V3746" s="71"/>
      <c r="W3746" s="71"/>
    </row>
    <row r="3747" spans="20:23" x14ac:dyDescent="0.25">
      <c r="T3747" s="71"/>
      <c r="U3747" s="71"/>
      <c r="V3747" s="71"/>
      <c r="W3747" s="71"/>
    </row>
    <row r="3748" spans="20:23" x14ac:dyDescent="0.25">
      <c r="T3748" s="71"/>
      <c r="U3748" s="71"/>
      <c r="V3748" s="71"/>
      <c r="W3748" s="71"/>
    </row>
    <row r="3749" spans="20:23" x14ac:dyDescent="0.25">
      <c r="T3749" s="71"/>
      <c r="U3749" s="71"/>
      <c r="V3749" s="71"/>
      <c r="W3749" s="71"/>
    </row>
    <row r="3750" spans="20:23" x14ac:dyDescent="0.25">
      <c r="T3750" s="71"/>
      <c r="U3750" s="71"/>
      <c r="V3750" s="71"/>
      <c r="W3750" s="71"/>
    </row>
    <row r="3751" spans="20:23" x14ac:dyDescent="0.25">
      <c r="T3751" s="71"/>
      <c r="U3751" s="71"/>
      <c r="V3751" s="71"/>
      <c r="W3751" s="71"/>
    </row>
    <row r="3752" spans="20:23" x14ac:dyDescent="0.25">
      <c r="T3752" s="71"/>
      <c r="U3752" s="71"/>
      <c r="V3752" s="71"/>
      <c r="W3752" s="71"/>
    </row>
    <row r="3753" spans="20:23" x14ac:dyDescent="0.25">
      <c r="T3753" s="71"/>
      <c r="U3753" s="71"/>
      <c r="V3753" s="71"/>
      <c r="W3753" s="71"/>
    </row>
    <row r="3754" spans="20:23" x14ac:dyDescent="0.25">
      <c r="T3754" s="71"/>
      <c r="U3754" s="71"/>
      <c r="V3754" s="71"/>
      <c r="W3754" s="71"/>
    </row>
    <row r="3755" spans="20:23" x14ac:dyDescent="0.25">
      <c r="T3755" s="71"/>
      <c r="U3755" s="71"/>
      <c r="V3755" s="71"/>
      <c r="W3755" s="71"/>
    </row>
    <row r="3756" spans="20:23" x14ac:dyDescent="0.25">
      <c r="T3756" s="71"/>
      <c r="U3756" s="71"/>
      <c r="V3756" s="71"/>
      <c r="W3756" s="71"/>
    </row>
    <row r="3757" spans="20:23" x14ac:dyDescent="0.25">
      <c r="T3757" s="71"/>
      <c r="U3757" s="71"/>
      <c r="V3757" s="71"/>
      <c r="W3757" s="71"/>
    </row>
    <row r="3758" spans="20:23" x14ac:dyDescent="0.25">
      <c r="T3758" s="71"/>
      <c r="U3758" s="71"/>
      <c r="V3758" s="71"/>
      <c r="W3758" s="71"/>
    </row>
    <row r="3759" spans="20:23" x14ac:dyDescent="0.25">
      <c r="T3759" s="71"/>
      <c r="U3759" s="71"/>
      <c r="V3759" s="71"/>
      <c r="W3759" s="71"/>
    </row>
    <row r="3760" spans="20:23" x14ac:dyDescent="0.25">
      <c r="T3760" s="71"/>
      <c r="U3760" s="71"/>
      <c r="V3760" s="71"/>
      <c r="W3760" s="71"/>
    </row>
    <row r="3761" spans="20:23" x14ac:dyDescent="0.25">
      <c r="T3761" s="71"/>
      <c r="U3761" s="71"/>
      <c r="V3761" s="71"/>
      <c r="W3761" s="71"/>
    </row>
    <row r="3762" spans="20:23" x14ac:dyDescent="0.25">
      <c r="T3762" s="71"/>
      <c r="U3762" s="71"/>
      <c r="V3762" s="71"/>
      <c r="W3762" s="71"/>
    </row>
    <row r="3763" spans="20:23" x14ac:dyDescent="0.25">
      <c r="T3763" s="71"/>
      <c r="U3763" s="71"/>
      <c r="V3763" s="71"/>
      <c r="W3763" s="71"/>
    </row>
    <row r="3764" spans="20:23" x14ac:dyDescent="0.25">
      <c r="T3764" s="71"/>
      <c r="U3764" s="71"/>
      <c r="V3764" s="71"/>
      <c r="W3764" s="71"/>
    </row>
    <row r="3765" spans="20:23" x14ac:dyDescent="0.25">
      <c r="T3765" s="71"/>
      <c r="U3765" s="71"/>
      <c r="V3765" s="71"/>
      <c r="W3765" s="71"/>
    </row>
    <row r="3766" spans="20:23" x14ac:dyDescent="0.25">
      <c r="T3766" s="71"/>
      <c r="U3766" s="71"/>
      <c r="V3766" s="71"/>
      <c r="W3766" s="71"/>
    </row>
    <row r="3767" spans="20:23" x14ac:dyDescent="0.25">
      <c r="T3767" s="71"/>
      <c r="U3767" s="71"/>
      <c r="V3767" s="71"/>
      <c r="W3767" s="71"/>
    </row>
    <row r="3768" spans="20:23" x14ac:dyDescent="0.25">
      <c r="T3768" s="71"/>
      <c r="U3768" s="71"/>
      <c r="V3768" s="71"/>
      <c r="W3768" s="71"/>
    </row>
    <row r="3769" spans="20:23" x14ac:dyDescent="0.25">
      <c r="T3769" s="71"/>
      <c r="U3769" s="71"/>
      <c r="V3769" s="71"/>
      <c r="W3769" s="71"/>
    </row>
    <row r="3770" spans="20:23" x14ac:dyDescent="0.25">
      <c r="T3770" s="71"/>
      <c r="U3770" s="71"/>
      <c r="V3770" s="71"/>
      <c r="W3770" s="71"/>
    </row>
    <row r="3771" spans="20:23" x14ac:dyDescent="0.25">
      <c r="T3771" s="71"/>
      <c r="U3771" s="71"/>
      <c r="V3771" s="71"/>
      <c r="W3771" s="71"/>
    </row>
    <row r="3772" spans="20:23" x14ac:dyDescent="0.25">
      <c r="T3772" s="71"/>
      <c r="U3772" s="71"/>
      <c r="V3772" s="71"/>
      <c r="W3772" s="71"/>
    </row>
    <row r="3773" spans="20:23" x14ac:dyDescent="0.25">
      <c r="T3773" s="71"/>
      <c r="U3773" s="71"/>
      <c r="V3773" s="71"/>
      <c r="W3773" s="71"/>
    </row>
    <row r="3774" spans="20:23" x14ac:dyDescent="0.25">
      <c r="T3774" s="71"/>
      <c r="U3774" s="71"/>
      <c r="V3774" s="71"/>
      <c r="W3774" s="71"/>
    </row>
    <row r="3775" spans="20:23" x14ac:dyDescent="0.25">
      <c r="T3775" s="71"/>
      <c r="U3775" s="71"/>
      <c r="V3775" s="71"/>
      <c r="W3775" s="71"/>
    </row>
    <row r="3776" spans="20:23" x14ac:dyDescent="0.25">
      <c r="T3776" s="71"/>
      <c r="U3776" s="71"/>
      <c r="V3776" s="71"/>
      <c r="W3776" s="71"/>
    </row>
    <row r="3777" spans="20:23" x14ac:dyDescent="0.25">
      <c r="T3777" s="71"/>
      <c r="U3777" s="71"/>
      <c r="V3777" s="71"/>
      <c r="W3777" s="71"/>
    </row>
    <row r="3778" spans="20:23" x14ac:dyDescent="0.25">
      <c r="T3778" s="71"/>
      <c r="U3778" s="71"/>
      <c r="V3778" s="71"/>
      <c r="W3778" s="71"/>
    </row>
    <row r="3779" spans="20:23" x14ac:dyDescent="0.25">
      <c r="T3779" s="71"/>
      <c r="U3779" s="71"/>
      <c r="V3779" s="71"/>
      <c r="W3779" s="71"/>
    </row>
    <row r="3780" spans="20:23" x14ac:dyDescent="0.25">
      <c r="T3780" s="71"/>
      <c r="U3780" s="71"/>
      <c r="V3780" s="71"/>
      <c r="W3780" s="71"/>
    </row>
    <row r="3781" spans="20:23" x14ac:dyDescent="0.25">
      <c r="T3781" s="71"/>
      <c r="U3781" s="71"/>
      <c r="V3781" s="71"/>
      <c r="W3781" s="71"/>
    </row>
    <row r="3782" spans="20:23" x14ac:dyDescent="0.25">
      <c r="T3782" s="71"/>
      <c r="U3782" s="71"/>
      <c r="V3782" s="71"/>
      <c r="W3782" s="71"/>
    </row>
    <row r="3783" spans="20:23" x14ac:dyDescent="0.25">
      <c r="T3783" s="71"/>
      <c r="U3783" s="71"/>
      <c r="V3783" s="71"/>
      <c r="W3783" s="71"/>
    </row>
    <row r="3784" spans="20:23" x14ac:dyDescent="0.25">
      <c r="T3784" s="71"/>
      <c r="U3784" s="71"/>
      <c r="V3784" s="71"/>
      <c r="W3784" s="71"/>
    </row>
    <row r="3785" spans="20:23" x14ac:dyDescent="0.25">
      <c r="T3785" s="71"/>
      <c r="U3785" s="71"/>
      <c r="V3785" s="71"/>
      <c r="W3785" s="71"/>
    </row>
    <row r="3786" spans="20:23" x14ac:dyDescent="0.25">
      <c r="T3786" s="71"/>
      <c r="U3786" s="71"/>
      <c r="V3786" s="71"/>
      <c r="W3786" s="71"/>
    </row>
    <row r="3787" spans="20:23" x14ac:dyDescent="0.25">
      <c r="T3787" s="71"/>
      <c r="U3787" s="71"/>
      <c r="V3787" s="71"/>
      <c r="W3787" s="71"/>
    </row>
    <row r="3788" spans="20:23" x14ac:dyDescent="0.25">
      <c r="T3788" s="71"/>
      <c r="U3788" s="71"/>
      <c r="V3788" s="71"/>
      <c r="W3788" s="71"/>
    </row>
    <row r="3789" spans="20:23" x14ac:dyDescent="0.25">
      <c r="T3789" s="71"/>
      <c r="U3789" s="71"/>
      <c r="V3789" s="71"/>
      <c r="W3789" s="71"/>
    </row>
    <row r="3790" spans="20:23" x14ac:dyDescent="0.25">
      <c r="T3790" s="71"/>
      <c r="U3790" s="71"/>
      <c r="V3790" s="71"/>
      <c r="W3790" s="71"/>
    </row>
    <row r="3791" spans="20:23" x14ac:dyDescent="0.25">
      <c r="T3791" s="71"/>
      <c r="U3791" s="71"/>
      <c r="V3791" s="71"/>
      <c r="W3791" s="71"/>
    </row>
    <row r="3792" spans="20:23" x14ac:dyDescent="0.25">
      <c r="T3792" s="71"/>
      <c r="U3792" s="71"/>
      <c r="V3792" s="71"/>
      <c r="W3792" s="71"/>
    </row>
    <row r="3793" spans="20:23" x14ac:dyDescent="0.25">
      <c r="T3793" s="71"/>
      <c r="U3793" s="71"/>
      <c r="V3793" s="71"/>
      <c r="W3793" s="71"/>
    </row>
    <row r="3794" spans="20:23" x14ac:dyDescent="0.25">
      <c r="T3794" s="71"/>
      <c r="U3794" s="71"/>
      <c r="V3794" s="71"/>
      <c r="W3794" s="71"/>
    </row>
    <row r="3795" spans="20:23" x14ac:dyDescent="0.25">
      <c r="T3795" s="71"/>
      <c r="U3795" s="71"/>
      <c r="V3795" s="71"/>
      <c r="W3795" s="71"/>
    </row>
    <row r="3796" spans="20:23" x14ac:dyDescent="0.25">
      <c r="T3796" s="71"/>
      <c r="U3796" s="71"/>
      <c r="V3796" s="71"/>
      <c r="W3796" s="71"/>
    </row>
    <row r="3797" spans="20:23" x14ac:dyDescent="0.25">
      <c r="T3797" s="71"/>
      <c r="U3797" s="71"/>
      <c r="V3797" s="71"/>
      <c r="W3797" s="71"/>
    </row>
    <row r="3798" spans="20:23" x14ac:dyDescent="0.25">
      <c r="T3798" s="71"/>
      <c r="U3798" s="71"/>
      <c r="V3798" s="71"/>
      <c r="W3798" s="71"/>
    </row>
    <row r="3799" spans="20:23" x14ac:dyDescent="0.25">
      <c r="T3799" s="71"/>
      <c r="U3799" s="71"/>
      <c r="V3799" s="71"/>
      <c r="W3799" s="71"/>
    </row>
    <row r="3800" spans="20:23" x14ac:dyDescent="0.25">
      <c r="T3800" s="71"/>
      <c r="U3800" s="71"/>
      <c r="V3800" s="71"/>
      <c r="W3800" s="71"/>
    </row>
    <row r="3801" spans="20:23" x14ac:dyDescent="0.25">
      <c r="T3801" s="71"/>
      <c r="U3801" s="71"/>
      <c r="V3801" s="71"/>
      <c r="W3801" s="71"/>
    </row>
    <row r="3802" spans="20:23" x14ac:dyDescent="0.25">
      <c r="T3802" s="71"/>
      <c r="U3802" s="71"/>
      <c r="V3802" s="71"/>
      <c r="W3802" s="71"/>
    </row>
    <row r="3803" spans="20:23" x14ac:dyDescent="0.25">
      <c r="T3803" s="71"/>
      <c r="U3803" s="71"/>
      <c r="V3803" s="71"/>
      <c r="W3803" s="71"/>
    </row>
    <row r="3804" spans="20:23" x14ac:dyDescent="0.25">
      <c r="T3804" s="71"/>
      <c r="U3804" s="71"/>
      <c r="V3804" s="71"/>
      <c r="W3804" s="71"/>
    </row>
    <row r="3805" spans="20:23" x14ac:dyDescent="0.25">
      <c r="T3805" s="71"/>
      <c r="U3805" s="71"/>
      <c r="V3805" s="71"/>
      <c r="W3805" s="71"/>
    </row>
    <row r="3806" spans="20:23" x14ac:dyDescent="0.25">
      <c r="T3806" s="71"/>
      <c r="U3806" s="71"/>
      <c r="V3806" s="71"/>
      <c r="W3806" s="71"/>
    </row>
    <row r="3807" spans="20:23" x14ac:dyDescent="0.25">
      <c r="T3807" s="71"/>
      <c r="U3807" s="71"/>
      <c r="V3807" s="71"/>
      <c r="W3807" s="71"/>
    </row>
    <row r="3808" spans="20:23" x14ac:dyDescent="0.25">
      <c r="T3808" s="71"/>
      <c r="U3808" s="71"/>
      <c r="V3808" s="71"/>
      <c r="W3808" s="71"/>
    </row>
    <row r="3809" spans="20:23" x14ac:dyDescent="0.25">
      <c r="T3809" s="71"/>
      <c r="U3809" s="71"/>
      <c r="V3809" s="71"/>
      <c r="W3809" s="71"/>
    </row>
    <row r="3810" spans="20:23" x14ac:dyDescent="0.25">
      <c r="T3810" s="71"/>
      <c r="U3810" s="71"/>
      <c r="V3810" s="71"/>
      <c r="W3810" s="71"/>
    </row>
    <row r="3811" spans="20:23" x14ac:dyDescent="0.25">
      <c r="T3811" s="71"/>
      <c r="U3811" s="71"/>
      <c r="V3811" s="71"/>
      <c r="W3811" s="71"/>
    </row>
    <row r="3812" spans="20:23" x14ac:dyDescent="0.25">
      <c r="T3812" s="71"/>
      <c r="U3812" s="71"/>
      <c r="V3812" s="71"/>
      <c r="W3812" s="71"/>
    </row>
    <row r="3813" spans="20:23" x14ac:dyDescent="0.25">
      <c r="T3813" s="71"/>
      <c r="U3813" s="71"/>
      <c r="V3813" s="71"/>
      <c r="W3813" s="71"/>
    </row>
    <row r="3814" spans="20:23" x14ac:dyDescent="0.25">
      <c r="T3814" s="71"/>
      <c r="U3814" s="71"/>
      <c r="V3814" s="71"/>
      <c r="W3814" s="71"/>
    </row>
    <row r="3815" spans="20:23" x14ac:dyDescent="0.25">
      <c r="T3815" s="71"/>
      <c r="U3815" s="71"/>
      <c r="V3815" s="71"/>
      <c r="W3815" s="71"/>
    </row>
    <row r="3816" spans="20:23" x14ac:dyDescent="0.25">
      <c r="T3816" s="71"/>
      <c r="U3816" s="71"/>
      <c r="V3816" s="71"/>
      <c r="W3816" s="71"/>
    </row>
    <row r="3817" spans="20:23" x14ac:dyDescent="0.25">
      <c r="T3817" s="71"/>
      <c r="U3817" s="71"/>
      <c r="V3817" s="71"/>
      <c r="W3817" s="71"/>
    </row>
    <row r="3818" spans="20:23" x14ac:dyDescent="0.25">
      <c r="T3818" s="71"/>
      <c r="U3818" s="71"/>
      <c r="V3818" s="71"/>
      <c r="W3818" s="71"/>
    </row>
    <row r="3819" spans="20:23" x14ac:dyDescent="0.25">
      <c r="T3819" s="71"/>
      <c r="U3819" s="71"/>
      <c r="V3819" s="71"/>
      <c r="W3819" s="71"/>
    </row>
    <row r="3820" spans="20:23" x14ac:dyDescent="0.25">
      <c r="T3820" s="71"/>
      <c r="U3820" s="71"/>
      <c r="V3820" s="71"/>
      <c r="W3820" s="71"/>
    </row>
    <row r="3821" spans="20:23" x14ac:dyDescent="0.25">
      <c r="T3821" s="71"/>
      <c r="U3821" s="71"/>
      <c r="V3821" s="71"/>
      <c r="W3821" s="71"/>
    </row>
    <row r="3822" spans="20:23" x14ac:dyDescent="0.25">
      <c r="T3822" s="71"/>
      <c r="U3822" s="71"/>
      <c r="V3822" s="71"/>
      <c r="W3822" s="71"/>
    </row>
    <row r="3823" spans="20:23" x14ac:dyDescent="0.25">
      <c r="T3823" s="71"/>
      <c r="U3823" s="71"/>
      <c r="V3823" s="71"/>
      <c r="W3823" s="71"/>
    </row>
    <row r="3824" spans="20:23" x14ac:dyDescent="0.25">
      <c r="T3824" s="71"/>
      <c r="U3824" s="71"/>
      <c r="V3824" s="71"/>
      <c r="W3824" s="71"/>
    </row>
    <row r="3825" spans="20:23" x14ac:dyDescent="0.25">
      <c r="T3825" s="71"/>
      <c r="U3825" s="71"/>
      <c r="V3825" s="71"/>
      <c r="W3825" s="71"/>
    </row>
    <row r="3826" spans="20:23" x14ac:dyDescent="0.25">
      <c r="T3826" s="71"/>
      <c r="U3826" s="71"/>
      <c r="V3826" s="71"/>
      <c r="W3826" s="71"/>
    </row>
    <row r="3827" spans="20:23" x14ac:dyDescent="0.25">
      <c r="T3827" s="71"/>
      <c r="U3827" s="71"/>
      <c r="V3827" s="71"/>
      <c r="W3827" s="71"/>
    </row>
    <row r="3828" spans="20:23" x14ac:dyDescent="0.25">
      <c r="T3828" s="71"/>
      <c r="U3828" s="71"/>
      <c r="V3828" s="71"/>
      <c r="W3828" s="71"/>
    </row>
    <row r="3829" spans="20:23" x14ac:dyDescent="0.25">
      <c r="T3829" s="71"/>
      <c r="U3829" s="71"/>
      <c r="V3829" s="71"/>
      <c r="W3829" s="71"/>
    </row>
    <row r="3830" spans="20:23" x14ac:dyDescent="0.25">
      <c r="T3830" s="71"/>
      <c r="U3830" s="71"/>
      <c r="V3830" s="71"/>
      <c r="W3830" s="71"/>
    </row>
    <row r="3831" spans="20:23" x14ac:dyDescent="0.25">
      <c r="T3831" s="71"/>
      <c r="U3831" s="71"/>
      <c r="V3831" s="71"/>
      <c r="W3831" s="71"/>
    </row>
    <row r="3832" spans="20:23" x14ac:dyDescent="0.25">
      <c r="T3832" s="71"/>
      <c r="U3832" s="71"/>
      <c r="V3832" s="71"/>
      <c r="W3832" s="71"/>
    </row>
    <row r="3833" spans="20:23" x14ac:dyDescent="0.25">
      <c r="T3833" s="71"/>
      <c r="U3833" s="71"/>
      <c r="V3833" s="71"/>
      <c r="W3833" s="71"/>
    </row>
    <row r="3834" spans="20:23" x14ac:dyDescent="0.25">
      <c r="T3834" s="71"/>
      <c r="U3834" s="71"/>
      <c r="V3834" s="71"/>
      <c r="W3834" s="71"/>
    </row>
    <row r="3835" spans="20:23" x14ac:dyDescent="0.25">
      <c r="T3835" s="71"/>
      <c r="U3835" s="71"/>
      <c r="V3835" s="71"/>
      <c r="W3835" s="71"/>
    </row>
    <row r="3836" spans="20:23" x14ac:dyDescent="0.25">
      <c r="T3836" s="71"/>
      <c r="U3836" s="71"/>
      <c r="V3836" s="71"/>
      <c r="W3836" s="71"/>
    </row>
    <row r="3837" spans="20:23" x14ac:dyDescent="0.25">
      <c r="T3837" s="71"/>
      <c r="U3837" s="71"/>
      <c r="V3837" s="71"/>
      <c r="W3837" s="71"/>
    </row>
    <row r="3838" spans="20:23" x14ac:dyDescent="0.25">
      <c r="T3838" s="71"/>
      <c r="U3838" s="71"/>
      <c r="V3838" s="71"/>
      <c r="W3838" s="71"/>
    </row>
    <row r="3839" spans="20:23" x14ac:dyDescent="0.25">
      <c r="T3839" s="71"/>
      <c r="U3839" s="71"/>
      <c r="V3839" s="71"/>
      <c r="W3839" s="71"/>
    </row>
    <row r="3840" spans="20:23" x14ac:dyDescent="0.25">
      <c r="T3840" s="71"/>
      <c r="U3840" s="71"/>
      <c r="V3840" s="71"/>
      <c r="W3840" s="71"/>
    </row>
    <row r="3841" spans="20:23" x14ac:dyDescent="0.25">
      <c r="T3841" s="71"/>
      <c r="U3841" s="71"/>
      <c r="V3841" s="71"/>
      <c r="W3841" s="71"/>
    </row>
    <row r="3842" spans="20:23" x14ac:dyDescent="0.25">
      <c r="T3842" s="71"/>
      <c r="U3842" s="71"/>
      <c r="V3842" s="71"/>
      <c r="W3842" s="71"/>
    </row>
    <row r="3843" spans="20:23" x14ac:dyDescent="0.25">
      <c r="T3843" s="71"/>
      <c r="U3843" s="71"/>
      <c r="V3843" s="71"/>
      <c r="W3843" s="71"/>
    </row>
    <row r="3844" spans="20:23" x14ac:dyDescent="0.25">
      <c r="T3844" s="71"/>
      <c r="U3844" s="71"/>
      <c r="V3844" s="71"/>
      <c r="W3844" s="71"/>
    </row>
    <row r="3845" spans="20:23" x14ac:dyDescent="0.25">
      <c r="T3845" s="71"/>
      <c r="U3845" s="71"/>
      <c r="V3845" s="71"/>
      <c r="W3845" s="71"/>
    </row>
    <row r="3846" spans="20:23" x14ac:dyDescent="0.25">
      <c r="T3846" s="71"/>
      <c r="U3846" s="71"/>
      <c r="V3846" s="71"/>
      <c r="W3846" s="71"/>
    </row>
    <row r="3847" spans="20:23" x14ac:dyDescent="0.25">
      <c r="T3847" s="71"/>
      <c r="U3847" s="71"/>
      <c r="V3847" s="71"/>
      <c r="W3847" s="71"/>
    </row>
    <row r="3848" spans="20:23" x14ac:dyDescent="0.25">
      <c r="T3848" s="71"/>
      <c r="U3848" s="71"/>
      <c r="V3848" s="71"/>
      <c r="W3848" s="71"/>
    </row>
    <row r="3849" spans="20:23" x14ac:dyDescent="0.25">
      <c r="T3849" s="71"/>
      <c r="U3849" s="71"/>
      <c r="V3849" s="71"/>
      <c r="W3849" s="71"/>
    </row>
    <row r="3850" spans="20:23" x14ac:dyDescent="0.25">
      <c r="T3850" s="71"/>
      <c r="U3850" s="71"/>
      <c r="V3850" s="71"/>
      <c r="W3850" s="71"/>
    </row>
    <row r="3851" spans="20:23" x14ac:dyDescent="0.25">
      <c r="T3851" s="71"/>
      <c r="U3851" s="71"/>
      <c r="V3851" s="71"/>
      <c r="W3851" s="71"/>
    </row>
    <row r="3852" spans="20:23" x14ac:dyDescent="0.25">
      <c r="T3852" s="71"/>
      <c r="U3852" s="71"/>
      <c r="V3852" s="71"/>
      <c r="W3852" s="71"/>
    </row>
    <row r="3853" spans="20:23" x14ac:dyDescent="0.25">
      <c r="T3853" s="71"/>
      <c r="U3853" s="71"/>
      <c r="V3853" s="71"/>
      <c r="W3853" s="71"/>
    </row>
    <row r="3854" spans="20:23" x14ac:dyDescent="0.25">
      <c r="T3854" s="71"/>
      <c r="U3854" s="71"/>
      <c r="V3854" s="71"/>
      <c r="W3854" s="71"/>
    </row>
    <row r="3855" spans="20:23" x14ac:dyDescent="0.25">
      <c r="T3855" s="71"/>
      <c r="U3855" s="71"/>
      <c r="V3855" s="71"/>
      <c r="W3855" s="71"/>
    </row>
    <row r="3856" spans="20:23" x14ac:dyDescent="0.25">
      <c r="T3856" s="71"/>
      <c r="U3856" s="71"/>
      <c r="V3856" s="71"/>
      <c r="W3856" s="71"/>
    </row>
    <row r="3857" spans="20:23" x14ac:dyDescent="0.25">
      <c r="T3857" s="71"/>
      <c r="U3857" s="71"/>
      <c r="V3857" s="71"/>
      <c r="W3857" s="71"/>
    </row>
    <row r="3858" spans="20:23" x14ac:dyDescent="0.25">
      <c r="T3858" s="71"/>
      <c r="U3858" s="71"/>
      <c r="V3858" s="71"/>
      <c r="W3858" s="71"/>
    </row>
    <row r="3859" spans="20:23" x14ac:dyDescent="0.25">
      <c r="T3859" s="71"/>
      <c r="U3859" s="71"/>
      <c r="V3859" s="71"/>
      <c r="W3859" s="71"/>
    </row>
    <row r="3860" spans="20:23" x14ac:dyDescent="0.25">
      <c r="T3860" s="71"/>
      <c r="U3860" s="71"/>
      <c r="V3860" s="71"/>
      <c r="W3860" s="71"/>
    </row>
    <row r="3861" spans="20:23" x14ac:dyDescent="0.25">
      <c r="T3861" s="71"/>
      <c r="U3861" s="71"/>
      <c r="V3861" s="71"/>
      <c r="W3861" s="71"/>
    </row>
    <row r="3862" spans="20:23" x14ac:dyDescent="0.25">
      <c r="T3862" s="71"/>
      <c r="U3862" s="71"/>
      <c r="V3862" s="71"/>
      <c r="W3862" s="71"/>
    </row>
    <row r="3863" spans="20:23" x14ac:dyDescent="0.25">
      <c r="T3863" s="71"/>
      <c r="U3863" s="71"/>
      <c r="V3863" s="71"/>
      <c r="W3863" s="71"/>
    </row>
    <row r="3864" spans="20:23" x14ac:dyDescent="0.25">
      <c r="T3864" s="71"/>
      <c r="U3864" s="71"/>
      <c r="V3864" s="71"/>
      <c r="W3864" s="71"/>
    </row>
    <row r="3865" spans="20:23" x14ac:dyDescent="0.25">
      <c r="T3865" s="71"/>
      <c r="U3865" s="71"/>
      <c r="V3865" s="71"/>
      <c r="W3865" s="71"/>
    </row>
    <row r="3866" spans="20:23" x14ac:dyDescent="0.25">
      <c r="T3866" s="71"/>
      <c r="U3866" s="71"/>
      <c r="V3866" s="71"/>
      <c r="W3866" s="71"/>
    </row>
    <row r="3867" spans="20:23" x14ac:dyDescent="0.25">
      <c r="T3867" s="71"/>
      <c r="U3867" s="71"/>
      <c r="V3867" s="71"/>
      <c r="W3867" s="71"/>
    </row>
    <row r="3868" spans="20:23" x14ac:dyDescent="0.25">
      <c r="T3868" s="71"/>
      <c r="U3868" s="71"/>
      <c r="V3868" s="71"/>
      <c r="W3868" s="71"/>
    </row>
    <row r="3869" spans="20:23" x14ac:dyDescent="0.25">
      <c r="T3869" s="71"/>
      <c r="U3869" s="71"/>
      <c r="V3869" s="71"/>
      <c r="W3869" s="71"/>
    </row>
    <row r="3870" spans="20:23" x14ac:dyDescent="0.25">
      <c r="T3870" s="71"/>
      <c r="U3870" s="71"/>
      <c r="V3870" s="71"/>
      <c r="W3870" s="71"/>
    </row>
    <row r="3871" spans="20:23" x14ac:dyDescent="0.25">
      <c r="T3871" s="71"/>
      <c r="U3871" s="71"/>
      <c r="V3871" s="71"/>
      <c r="W3871" s="71"/>
    </row>
    <row r="3872" spans="20:23" x14ac:dyDescent="0.25">
      <c r="T3872" s="71"/>
      <c r="U3872" s="71"/>
      <c r="V3872" s="71"/>
      <c r="W3872" s="71"/>
    </row>
    <row r="3873" spans="20:23" x14ac:dyDescent="0.25">
      <c r="T3873" s="71"/>
      <c r="U3873" s="71"/>
      <c r="V3873" s="71"/>
      <c r="W3873" s="71"/>
    </row>
    <row r="3874" spans="20:23" x14ac:dyDescent="0.25">
      <c r="T3874" s="71"/>
      <c r="U3874" s="71"/>
      <c r="V3874" s="71"/>
      <c r="W3874" s="71"/>
    </row>
    <row r="3875" spans="20:23" x14ac:dyDescent="0.25">
      <c r="T3875" s="71"/>
      <c r="U3875" s="71"/>
      <c r="V3875" s="71"/>
      <c r="W3875" s="71"/>
    </row>
    <row r="3876" spans="20:23" x14ac:dyDescent="0.25">
      <c r="T3876" s="71"/>
      <c r="U3876" s="71"/>
      <c r="V3876" s="71"/>
      <c r="W3876" s="71"/>
    </row>
    <row r="3877" spans="20:23" x14ac:dyDescent="0.25">
      <c r="T3877" s="71"/>
      <c r="U3877" s="71"/>
      <c r="V3877" s="71"/>
      <c r="W3877" s="71"/>
    </row>
    <row r="3878" spans="20:23" x14ac:dyDescent="0.25">
      <c r="T3878" s="71"/>
      <c r="U3878" s="71"/>
      <c r="V3878" s="71"/>
      <c r="W3878" s="71"/>
    </row>
    <row r="3879" spans="20:23" x14ac:dyDescent="0.25">
      <c r="T3879" s="71"/>
      <c r="U3879" s="71"/>
      <c r="V3879" s="71"/>
      <c r="W3879" s="71"/>
    </row>
    <row r="3880" spans="20:23" x14ac:dyDescent="0.25">
      <c r="T3880" s="71"/>
      <c r="U3880" s="71"/>
      <c r="V3880" s="71"/>
      <c r="W3880" s="71"/>
    </row>
    <row r="3881" spans="20:23" x14ac:dyDescent="0.25">
      <c r="T3881" s="71"/>
      <c r="U3881" s="71"/>
      <c r="V3881" s="71"/>
      <c r="W3881" s="71"/>
    </row>
    <row r="3882" spans="20:23" x14ac:dyDescent="0.25">
      <c r="T3882" s="71"/>
      <c r="U3882" s="71"/>
      <c r="V3882" s="71"/>
      <c r="W3882" s="71"/>
    </row>
    <row r="3883" spans="20:23" x14ac:dyDescent="0.25">
      <c r="T3883" s="71"/>
      <c r="U3883" s="71"/>
      <c r="V3883" s="71"/>
      <c r="W3883" s="71"/>
    </row>
    <row r="3884" spans="20:23" x14ac:dyDescent="0.25">
      <c r="T3884" s="71"/>
      <c r="U3884" s="71"/>
      <c r="V3884" s="71"/>
      <c r="W3884" s="71"/>
    </row>
    <row r="3885" spans="20:23" x14ac:dyDescent="0.25">
      <c r="T3885" s="71"/>
      <c r="U3885" s="71"/>
      <c r="V3885" s="71"/>
      <c r="W3885" s="71"/>
    </row>
    <row r="3886" spans="20:23" x14ac:dyDescent="0.25">
      <c r="T3886" s="71"/>
      <c r="U3886" s="71"/>
      <c r="V3886" s="71"/>
      <c r="W3886" s="71"/>
    </row>
    <row r="3887" spans="20:23" x14ac:dyDescent="0.25">
      <c r="T3887" s="71"/>
      <c r="U3887" s="71"/>
      <c r="V3887" s="71"/>
      <c r="W3887" s="71"/>
    </row>
    <row r="3888" spans="20:23" x14ac:dyDescent="0.25">
      <c r="T3888" s="71"/>
      <c r="U3888" s="71"/>
      <c r="V3888" s="71"/>
      <c r="W3888" s="71"/>
    </row>
    <row r="3889" spans="20:23" x14ac:dyDescent="0.25">
      <c r="T3889" s="71"/>
      <c r="U3889" s="71"/>
      <c r="V3889" s="71"/>
      <c r="W3889" s="71"/>
    </row>
    <row r="3890" spans="20:23" x14ac:dyDescent="0.25">
      <c r="T3890" s="71"/>
      <c r="U3890" s="71"/>
      <c r="V3890" s="71"/>
      <c r="W3890" s="71"/>
    </row>
    <row r="3891" spans="20:23" x14ac:dyDescent="0.25">
      <c r="T3891" s="71"/>
      <c r="U3891" s="71"/>
      <c r="V3891" s="71"/>
      <c r="W3891" s="71"/>
    </row>
    <row r="3892" spans="20:23" x14ac:dyDescent="0.25">
      <c r="T3892" s="71"/>
      <c r="U3892" s="71"/>
      <c r="V3892" s="71"/>
      <c r="W3892" s="71"/>
    </row>
    <row r="3893" spans="20:23" x14ac:dyDescent="0.25">
      <c r="T3893" s="71"/>
      <c r="U3893" s="71"/>
      <c r="V3893" s="71"/>
      <c r="W3893" s="71"/>
    </row>
    <row r="3894" spans="20:23" x14ac:dyDescent="0.25">
      <c r="T3894" s="71"/>
      <c r="U3894" s="71"/>
      <c r="V3894" s="71"/>
      <c r="W3894" s="71"/>
    </row>
    <row r="3895" spans="20:23" x14ac:dyDescent="0.25">
      <c r="T3895" s="71"/>
      <c r="U3895" s="71"/>
      <c r="V3895" s="71"/>
      <c r="W3895" s="71"/>
    </row>
    <row r="3896" spans="20:23" x14ac:dyDescent="0.25">
      <c r="T3896" s="71"/>
      <c r="U3896" s="71"/>
      <c r="V3896" s="71"/>
      <c r="W3896" s="71"/>
    </row>
    <row r="3897" spans="20:23" x14ac:dyDescent="0.25">
      <c r="T3897" s="71"/>
      <c r="U3897" s="71"/>
      <c r="V3897" s="71"/>
      <c r="W3897" s="71"/>
    </row>
    <row r="3898" spans="20:23" x14ac:dyDescent="0.25">
      <c r="T3898" s="71"/>
      <c r="U3898" s="71"/>
      <c r="V3898" s="71"/>
      <c r="W3898" s="71"/>
    </row>
    <row r="3899" spans="20:23" x14ac:dyDescent="0.25">
      <c r="T3899" s="71"/>
      <c r="U3899" s="71"/>
      <c r="V3899" s="71"/>
      <c r="W3899" s="71"/>
    </row>
    <row r="3900" spans="20:23" x14ac:dyDescent="0.25">
      <c r="T3900" s="71"/>
      <c r="U3900" s="71"/>
      <c r="V3900" s="71"/>
      <c r="W3900" s="71"/>
    </row>
    <row r="3901" spans="20:23" x14ac:dyDescent="0.25">
      <c r="T3901" s="71"/>
      <c r="U3901" s="71"/>
      <c r="V3901" s="71"/>
      <c r="W3901" s="71"/>
    </row>
    <row r="3902" spans="20:23" x14ac:dyDescent="0.25">
      <c r="T3902" s="71"/>
      <c r="U3902" s="71"/>
      <c r="V3902" s="71"/>
      <c r="W3902" s="71"/>
    </row>
    <row r="3903" spans="20:23" x14ac:dyDescent="0.25">
      <c r="T3903" s="71"/>
      <c r="U3903" s="71"/>
      <c r="V3903" s="71"/>
      <c r="W3903" s="71"/>
    </row>
    <row r="3904" spans="20:23" x14ac:dyDescent="0.25">
      <c r="T3904" s="71"/>
      <c r="U3904" s="71"/>
      <c r="V3904" s="71"/>
      <c r="W3904" s="71"/>
    </row>
    <row r="3905" spans="20:23" x14ac:dyDescent="0.25">
      <c r="T3905" s="71"/>
      <c r="U3905" s="71"/>
      <c r="V3905" s="71"/>
      <c r="W3905" s="71"/>
    </row>
    <row r="3906" spans="20:23" x14ac:dyDescent="0.25">
      <c r="T3906" s="71"/>
      <c r="U3906" s="71"/>
      <c r="V3906" s="71"/>
      <c r="W3906" s="71"/>
    </row>
    <row r="3907" spans="20:23" x14ac:dyDescent="0.25">
      <c r="T3907" s="71"/>
      <c r="U3907" s="71"/>
      <c r="V3907" s="71"/>
      <c r="W3907" s="71"/>
    </row>
    <row r="3908" spans="20:23" x14ac:dyDescent="0.25">
      <c r="T3908" s="71"/>
      <c r="U3908" s="71"/>
      <c r="V3908" s="71"/>
      <c r="W3908" s="71"/>
    </row>
    <row r="3909" spans="20:23" x14ac:dyDescent="0.25">
      <c r="T3909" s="71"/>
      <c r="U3909" s="71"/>
      <c r="V3909" s="71"/>
      <c r="W3909" s="71"/>
    </row>
    <row r="3910" spans="20:23" x14ac:dyDescent="0.25">
      <c r="T3910" s="71"/>
      <c r="U3910" s="71"/>
      <c r="V3910" s="71"/>
      <c r="W3910" s="71"/>
    </row>
    <row r="3911" spans="20:23" x14ac:dyDescent="0.25">
      <c r="T3911" s="71"/>
      <c r="U3911" s="71"/>
      <c r="V3911" s="71"/>
      <c r="W3911" s="71"/>
    </row>
    <row r="3912" spans="20:23" x14ac:dyDescent="0.25">
      <c r="T3912" s="71"/>
      <c r="U3912" s="71"/>
      <c r="V3912" s="71"/>
      <c r="W3912" s="71"/>
    </row>
    <row r="3913" spans="20:23" x14ac:dyDescent="0.25">
      <c r="T3913" s="71"/>
      <c r="U3913" s="71"/>
      <c r="V3913" s="71"/>
      <c r="W3913" s="71"/>
    </row>
    <row r="3914" spans="20:23" x14ac:dyDescent="0.25">
      <c r="T3914" s="71"/>
      <c r="U3914" s="71"/>
      <c r="V3914" s="71"/>
      <c r="W3914" s="71"/>
    </row>
    <row r="3915" spans="20:23" x14ac:dyDescent="0.25">
      <c r="T3915" s="71"/>
      <c r="U3915" s="71"/>
      <c r="V3915" s="71"/>
      <c r="W3915" s="71"/>
    </row>
    <row r="3916" spans="20:23" x14ac:dyDescent="0.25">
      <c r="T3916" s="71"/>
      <c r="U3916" s="71"/>
      <c r="V3916" s="71"/>
      <c r="W3916" s="71"/>
    </row>
    <row r="3917" spans="20:23" x14ac:dyDescent="0.25">
      <c r="T3917" s="71"/>
      <c r="U3917" s="71"/>
      <c r="V3917" s="71"/>
      <c r="W3917" s="71"/>
    </row>
    <row r="3918" spans="20:23" x14ac:dyDescent="0.25">
      <c r="T3918" s="71"/>
      <c r="U3918" s="71"/>
      <c r="V3918" s="71"/>
      <c r="W3918" s="71"/>
    </row>
    <row r="3919" spans="20:23" x14ac:dyDescent="0.25">
      <c r="T3919" s="71"/>
      <c r="U3919" s="71"/>
      <c r="V3919" s="71"/>
      <c r="W3919" s="71"/>
    </row>
    <row r="3920" spans="20:23" x14ac:dyDescent="0.25">
      <c r="T3920" s="71"/>
      <c r="U3920" s="71"/>
      <c r="V3920" s="71"/>
      <c r="W3920" s="71"/>
    </row>
    <row r="3921" spans="20:23" x14ac:dyDescent="0.25">
      <c r="T3921" s="71"/>
      <c r="U3921" s="71"/>
      <c r="V3921" s="71"/>
      <c r="W3921" s="71"/>
    </row>
    <row r="3922" spans="20:23" x14ac:dyDescent="0.25">
      <c r="T3922" s="71"/>
      <c r="U3922" s="71"/>
      <c r="V3922" s="71"/>
      <c r="W3922" s="71"/>
    </row>
    <row r="3923" spans="20:23" x14ac:dyDescent="0.25">
      <c r="T3923" s="71"/>
      <c r="U3923" s="71"/>
      <c r="V3923" s="71"/>
      <c r="W3923" s="71"/>
    </row>
    <row r="3924" spans="20:23" x14ac:dyDescent="0.25">
      <c r="T3924" s="71"/>
      <c r="U3924" s="71"/>
      <c r="V3924" s="71"/>
      <c r="W3924" s="71"/>
    </row>
    <row r="3925" spans="20:23" x14ac:dyDescent="0.25">
      <c r="T3925" s="71"/>
      <c r="U3925" s="71"/>
      <c r="V3925" s="71"/>
      <c r="W3925" s="71"/>
    </row>
    <row r="3926" spans="20:23" x14ac:dyDescent="0.25">
      <c r="T3926" s="71"/>
      <c r="U3926" s="71"/>
      <c r="V3926" s="71"/>
      <c r="W3926" s="71"/>
    </row>
    <row r="3927" spans="20:23" x14ac:dyDescent="0.25">
      <c r="T3927" s="71"/>
      <c r="U3927" s="71"/>
      <c r="V3927" s="71"/>
      <c r="W3927" s="71"/>
    </row>
    <row r="3928" spans="20:23" x14ac:dyDescent="0.25">
      <c r="T3928" s="71"/>
      <c r="U3928" s="71"/>
      <c r="V3928" s="71"/>
      <c r="W3928" s="71"/>
    </row>
    <row r="3929" spans="20:23" x14ac:dyDescent="0.25">
      <c r="T3929" s="71"/>
      <c r="U3929" s="71"/>
      <c r="V3929" s="71"/>
      <c r="W3929" s="71"/>
    </row>
    <row r="3930" spans="20:23" x14ac:dyDescent="0.25">
      <c r="T3930" s="71"/>
      <c r="U3930" s="71"/>
      <c r="V3930" s="71"/>
      <c r="W3930" s="71"/>
    </row>
    <row r="3931" spans="20:23" x14ac:dyDescent="0.25">
      <c r="T3931" s="71"/>
      <c r="U3931" s="71"/>
      <c r="V3931" s="71"/>
      <c r="W3931" s="71"/>
    </row>
    <row r="3932" spans="20:23" x14ac:dyDescent="0.25">
      <c r="T3932" s="71"/>
      <c r="U3932" s="71"/>
      <c r="V3932" s="71"/>
      <c r="W3932" s="71"/>
    </row>
    <row r="3933" spans="20:23" x14ac:dyDescent="0.25">
      <c r="T3933" s="71"/>
      <c r="U3933" s="71"/>
      <c r="V3933" s="71"/>
      <c r="W3933" s="71"/>
    </row>
    <row r="3934" spans="20:23" x14ac:dyDescent="0.25">
      <c r="T3934" s="71"/>
      <c r="U3934" s="71"/>
      <c r="V3934" s="71"/>
      <c r="W3934" s="71"/>
    </row>
    <row r="3935" spans="20:23" x14ac:dyDescent="0.25">
      <c r="T3935" s="71"/>
      <c r="U3935" s="71"/>
      <c r="V3935" s="71"/>
      <c r="W3935" s="71"/>
    </row>
    <row r="3936" spans="20:23" x14ac:dyDescent="0.25">
      <c r="T3936" s="71"/>
      <c r="U3936" s="71"/>
      <c r="V3936" s="71"/>
      <c r="W3936" s="71"/>
    </row>
    <row r="3937" spans="20:23" x14ac:dyDescent="0.25">
      <c r="T3937" s="71"/>
      <c r="U3937" s="71"/>
      <c r="V3937" s="71"/>
      <c r="W3937" s="71"/>
    </row>
    <row r="3938" spans="20:23" x14ac:dyDescent="0.25">
      <c r="T3938" s="71"/>
      <c r="U3938" s="71"/>
      <c r="V3938" s="71"/>
      <c r="W3938" s="71"/>
    </row>
    <row r="3939" spans="20:23" x14ac:dyDescent="0.25">
      <c r="T3939" s="71"/>
      <c r="U3939" s="71"/>
      <c r="V3939" s="71"/>
      <c r="W3939" s="71"/>
    </row>
    <row r="3940" spans="20:23" x14ac:dyDescent="0.25">
      <c r="T3940" s="71"/>
      <c r="U3940" s="71"/>
      <c r="V3940" s="71"/>
      <c r="W3940" s="71"/>
    </row>
    <row r="3941" spans="20:23" x14ac:dyDescent="0.25">
      <c r="T3941" s="71"/>
      <c r="U3941" s="71"/>
      <c r="V3941" s="71"/>
      <c r="W3941" s="71"/>
    </row>
    <row r="3942" spans="20:23" x14ac:dyDescent="0.25">
      <c r="T3942" s="71"/>
      <c r="U3942" s="71"/>
      <c r="V3942" s="71"/>
      <c r="W3942" s="71"/>
    </row>
    <row r="3943" spans="20:23" x14ac:dyDescent="0.25">
      <c r="T3943" s="71"/>
      <c r="U3943" s="71"/>
      <c r="V3943" s="71"/>
      <c r="W3943" s="71"/>
    </row>
    <row r="3944" spans="20:23" x14ac:dyDescent="0.25">
      <c r="T3944" s="71"/>
      <c r="U3944" s="71"/>
      <c r="V3944" s="71"/>
      <c r="W3944" s="71"/>
    </row>
    <row r="3945" spans="20:23" x14ac:dyDescent="0.25">
      <c r="T3945" s="71"/>
      <c r="U3945" s="71"/>
      <c r="V3945" s="71"/>
      <c r="W3945" s="71"/>
    </row>
    <row r="3946" spans="20:23" x14ac:dyDescent="0.25">
      <c r="T3946" s="71"/>
      <c r="U3946" s="71"/>
      <c r="V3946" s="71"/>
      <c r="W3946" s="71"/>
    </row>
    <row r="3947" spans="20:23" x14ac:dyDescent="0.25">
      <c r="T3947" s="71"/>
      <c r="U3947" s="71"/>
      <c r="V3947" s="71"/>
      <c r="W3947" s="71"/>
    </row>
    <row r="3948" spans="20:23" x14ac:dyDescent="0.25">
      <c r="T3948" s="71"/>
      <c r="U3948" s="71"/>
      <c r="V3948" s="71"/>
      <c r="W3948" s="71"/>
    </row>
    <row r="3949" spans="20:23" x14ac:dyDescent="0.25">
      <c r="T3949" s="71"/>
      <c r="U3949" s="71"/>
      <c r="V3949" s="71"/>
      <c r="W3949" s="71"/>
    </row>
    <row r="3950" spans="20:23" x14ac:dyDescent="0.25">
      <c r="T3950" s="71"/>
      <c r="U3950" s="71"/>
      <c r="V3950" s="71"/>
      <c r="W3950" s="71"/>
    </row>
    <row r="3951" spans="20:23" x14ac:dyDescent="0.25">
      <c r="T3951" s="71"/>
      <c r="U3951" s="71"/>
      <c r="V3951" s="71"/>
      <c r="W3951" s="71"/>
    </row>
    <row r="3952" spans="20:23" x14ac:dyDescent="0.25">
      <c r="T3952" s="71"/>
      <c r="U3952" s="71"/>
      <c r="V3952" s="71"/>
      <c r="W3952" s="71"/>
    </row>
    <row r="3953" spans="20:23" x14ac:dyDescent="0.25">
      <c r="T3953" s="71"/>
      <c r="U3953" s="71"/>
      <c r="V3953" s="71"/>
      <c r="W3953" s="71"/>
    </row>
    <row r="3954" spans="20:23" x14ac:dyDescent="0.25">
      <c r="T3954" s="71"/>
      <c r="U3954" s="71"/>
      <c r="V3954" s="71"/>
      <c r="W3954" s="71"/>
    </row>
    <row r="3955" spans="20:23" x14ac:dyDescent="0.25">
      <c r="T3955" s="71"/>
      <c r="U3955" s="71"/>
      <c r="V3955" s="71"/>
      <c r="W3955" s="71"/>
    </row>
    <row r="3956" spans="20:23" x14ac:dyDescent="0.25">
      <c r="T3956" s="71"/>
      <c r="U3956" s="71"/>
      <c r="V3956" s="71"/>
      <c r="W3956" s="71"/>
    </row>
    <row r="3957" spans="20:23" x14ac:dyDescent="0.25">
      <c r="T3957" s="71"/>
      <c r="U3957" s="71"/>
      <c r="V3957" s="71"/>
      <c r="W3957" s="71"/>
    </row>
    <row r="3958" spans="20:23" x14ac:dyDescent="0.25">
      <c r="T3958" s="71"/>
      <c r="U3958" s="71"/>
      <c r="V3958" s="71"/>
      <c r="W3958" s="71"/>
    </row>
    <row r="3959" spans="20:23" x14ac:dyDescent="0.25">
      <c r="T3959" s="71"/>
      <c r="U3959" s="71"/>
      <c r="V3959" s="71"/>
      <c r="W3959" s="71"/>
    </row>
    <row r="3960" spans="20:23" x14ac:dyDescent="0.25">
      <c r="T3960" s="71"/>
      <c r="U3960" s="71"/>
      <c r="V3960" s="71"/>
      <c r="W3960" s="71"/>
    </row>
    <row r="3961" spans="20:23" x14ac:dyDescent="0.25">
      <c r="T3961" s="71"/>
      <c r="U3961" s="71"/>
      <c r="V3961" s="71"/>
      <c r="W3961" s="71"/>
    </row>
    <row r="3962" spans="20:23" x14ac:dyDescent="0.25">
      <c r="T3962" s="71"/>
      <c r="U3962" s="71"/>
      <c r="V3962" s="71"/>
      <c r="W3962" s="71"/>
    </row>
    <row r="3963" spans="20:23" x14ac:dyDescent="0.25">
      <c r="T3963" s="71"/>
      <c r="U3963" s="71"/>
      <c r="V3963" s="71"/>
      <c r="W3963" s="71"/>
    </row>
    <row r="3964" spans="20:23" x14ac:dyDescent="0.25">
      <c r="T3964" s="71"/>
      <c r="U3964" s="71"/>
      <c r="V3964" s="71"/>
      <c r="W3964" s="71"/>
    </row>
    <row r="3965" spans="20:23" x14ac:dyDescent="0.25">
      <c r="T3965" s="71"/>
      <c r="U3965" s="71"/>
      <c r="V3965" s="71"/>
      <c r="W3965" s="71"/>
    </row>
    <row r="3966" spans="20:23" x14ac:dyDescent="0.25">
      <c r="T3966" s="71"/>
      <c r="U3966" s="71"/>
      <c r="V3966" s="71"/>
      <c r="W3966" s="71"/>
    </row>
    <row r="3967" spans="20:23" x14ac:dyDescent="0.25">
      <c r="T3967" s="71"/>
      <c r="U3967" s="71"/>
      <c r="V3967" s="71"/>
      <c r="W3967" s="71"/>
    </row>
    <row r="3968" spans="20:23" x14ac:dyDescent="0.25">
      <c r="T3968" s="71"/>
      <c r="U3968" s="71"/>
      <c r="V3968" s="71"/>
      <c r="W3968" s="71"/>
    </row>
    <row r="3969" spans="20:23" x14ac:dyDescent="0.25">
      <c r="T3969" s="71"/>
      <c r="U3969" s="71"/>
      <c r="V3969" s="71"/>
      <c r="W3969" s="71"/>
    </row>
    <row r="3970" spans="20:23" x14ac:dyDescent="0.25">
      <c r="T3970" s="71"/>
      <c r="U3970" s="71"/>
      <c r="V3970" s="71"/>
      <c r="W3970" s="71"/>
    </row>
    <row r="3971" spans="20:23" x14ac:dyDescent="0.25">
      <c r="T3971" s="71"/>
      <c r="U3971" s="71"/>
      <c r="V3971" s="71"/>
      <c r="W3971" s="71"/>
    </row>
    <row r="3972" spans="20:23" x14ac:dyDescent="0.25">
      <c r="T3972" s="71"/>
      <c r="U3972" s="71"/>
      <c r="V3972" s="71"/>
      <c r="W3972" s="71"/>
    </row>
    <row r="3973" spans="20:23" x14ac:dyDescent="0.25">
      <c r="T3973" s="71"/>
      <c r="U3973" s="71"/>
      <c r="V3973" s="71"/>
      <c r="W3973" s="71"/>
    </row>
    <row r="3974" spans="20:23" x14ac:dyDescent="0.25">
      <c r="T3974" s="71"/>
      <c r="U3974" s="71"/>
      <c r="V3974" s="71"/>
      <c r="W3974" s="71"/>
    </row>
    <row r="3975" spans="20:23" x14ac:dyDescent="0.25">
      <c r="T3975" s="71"/>
      <c r="U3975" s="71"/>
      <c r="V3975" s="71"/>
      <c r="W3975" s="71"/>
    </row>
    <row r="3976" spans="20:23" x14ac:dyDescent="0.25">
      <c r="T3976" s="71"/>
      <c r="U3976" s="71"/>
      <c r="V3976" s="71"/>
      <c r="W3976" s="71"/>
    </row>
    <row r="3977" spans="20:23" x14ac:dyDescent="0.25">
      <c r="T3977" s="71"/>
      <c r="U3977" s="71"/>
      <c r="V3977" s="71"/>
      <c r="W3977" s="71"/>
    </row>
    <row r="3978" spans="20:23" x14ac:dyDescent="0.25">
      <c r="T3978" s="71"/>
      <c r="U3978" s="71"/>
      <c r="V3978" s="71"/>
      <c r="W3978" s="71"/>
    </row>
    <row r="3979" spans="20:23" x14ac:dyDescent="0.25">
      <c r="T3979" s="71"/>
      <c r="U3979" s="71"/>
      <c r="V3979" s="71"/>
      <c r="W3979" s="71"/>
    </row>
    <row r="3980" spans="20:23" x14ac:dyDescent="0.25">
      <c r="T3980" s="71"/>
      <c r="U3980" s="71"/>
      <c r="V3980" s="71"/>
      <c r="W3980" s="71"/>
    </row>
    <row r="3981" spans="20:23" x14ac:dyDescent="0.25">
      <c r="T3981" s="71"/>
      <c r="U3981" s="71"/>
      <c r="V3981" s="71"/>
      <c r="W3981" s="71"/>
    </row>
    <row r="3982" spans="20:23" x14ac:dyDescent="0.25">
      <c r="T3982" s="71"/>
      <c r="U3982" s="71"/>
      <c r="V3982" s="71"/>
      <c r="W3982" s="71"/>
    </row>
    <row r="3983" spans="20:23" x14ac:dyDescent="0.25">
      <c r="T3983" s="71"/>
      <c r="U3983" s="71"/>
      <c r="V3983" s="71"/>
      <c r="W3983" s="71"/>
    </row>
    <row r="3984" spans="20:23" x14ac:dyDescent="0.25">
      <c r="T3984" s="71"/>
      <c r="U3984" s="71"/>
      <c r="V3984" s="71"/>
      <c r="W3984" s="71"/>
    </row>
    <row r="3985" spans="20:23" x14ac:dyDescent="0.25">
      <c r="T3985" s="71"/>
      <c r="U3985" s="71"/>
      <c r="V3985" s="71"/>
      <c r="W3985" s="71"/>
    </row>
    <row r="3986" spans="20:23" x14ac:dyDescent="0.25">
      <c r="T3986" s="71"/>
      <c r="U3986" s="71"/>
      <c r="V3986" s="71"/>
      <c r="W3986" s="71"/>
    </row>
    <row r="3987" spans="20:23" x14ac:dyDescent="0.25">
      <c r="T3987" s="71"/>
      <c r="U3987" s="71"/>
      <c r="V3987" s="71"/>
      <c r="W3987" s="71"/>
    </row>
    <row r="3988" spans="20:23" x14ac:dyDescent="0.25">
      <c r="T3988" s="71"/>
      <c r="U3988" s="71"/>
      <c r="V3988" s="71"/>
      <c r="W3988" s="71"/>
    </row>
    <row r="3989" spans="20:23" x14ac:dyDescent="0.25">
      <c r="T3989" s="71"/>
      <c r="U3989" s="71"/>
      <c r="V3989" s="71"/>
      <c r="W3989" s="71"/>
    </row>
    <row r="3990" spans="20:23" x14ac:dyDescent="0.25">
      <c r="T3990" s="71"/>
      <c r="U3990" s="71"/>
      <c r="V3990" s="71"/>
      <c r="W3990" s="71"/>
    </row>
    <row r="3991" spans="20:23" x14ac:dyDescent="0.25">
      <c r="T3991" s="71"/>
      <c r="U3991" s="71"/>
      <c r="V3991" s="71"/>
      <c r="W3991" s="71"/>
    </row>
    <row r="3992" spans="20:23" x14ac:dyDescent="0.25">
      <c r="T3992" s="71"/>
      <c r="U3992" s="71"/>
      <c r="V3992" s="71"/>
      <c r="W3992" s="71"/>
    </row>
    <row r="3993" spans="20:23" x14ac:dyDescent="0.25">
      <c r="T3993" s="71"/>
      <c r="U3993" s="71"/>
      <c r="V3993" s="71"/>
      <c r="W3993" s="71"/>
    </row>
    <row r="3994" spans="20:23" x14ac:dyDescent="0.25">
      <c r="T3994" s="71"/>
      <c r="U3994" s="71"/>
      <c r="V3994" s="71"/>
      <c r="W3994" s="71"/>
    </row>
    <row r="3995" spans="20:23" x14ac:dyDescent="0.25">
      <c r="T3995" s="71"/>
      <c r="U3995" s="71"/>
      <c r="V3995" s="71"/>
      <c r="W3995" s="71"/>
    </row>
    <row r="3996" spans="20:23" x14ac:dyDescent="0.25">
      <c r="T3996" s="71"/>
      <c r="U3996" s="71"/>
      <c r="V3996" s="71"/>
      <c r="W3996" s="71"/>
    </row>
    <row r="3997" spans="20:23" x14ac:dyDescent="0.25">
      <c r="T3997" s="71"/>
      <c r="U3997" s="71"/>
      <c r="V3997" s="71"/>
      <c r="W3997" s="71"/>
    </row>
    <row r="3998" spans="20:23" x14ac:dyDescent="0.25">
      <c r="T3998" s="71"/>
      <c r="U3998" s="71"/>
      <c r="V3998" s="71"/>
      <c r="W3998" s="71"/>
    </row>
    <row r="3999" spans="20:23" x14ac:dyDescent="0.25">
      <c r="T3999" s="71"/>
      <c r="U3999" s="71"/>
      <c r="V3999" s="71"/>
      <c r="W3999" s="71"/>
    </row>
    <row r="4000" spans="20:23" x14ac:dyDescent="0.25">
      <c r="T4000" s="71"/>
      <c r="U4000" s="71"/>
      <c r="V4000" s="71"/>
      <c r="W4000" s="71"/>
    </row>
    <row r="4001" spans="20:23" x14ac:dyDescent="0.25">
      <c r="T4001" s="71"/>
      <c r="U4001" s="71"/>
      <c r="V4001" s="71"/>
      <c r="W4001" s="71"/>
    </row>
    <row r="4002" spans="20:23" x14ac:dyDescent="0.25">
      <c r="T4002" s="71"/>
      <c r="U4002" s="71"/>
      <c r="V4002" s="71"/>
      <c r="W4002" s="71"/>
    </row>
    <row r="4003" spans="20:23" x14ac:dyDescent="0.25">
      <c r="T4003" s="71"/>
      <c r="U4003" s="71"/>
      <c r="V4003" s="71"/>
      <c r="W4003" s="71"/>
    </row>
    <row r="4004" spans="20:23" x14ac:dyDescent="0.25">
      <c r="T4004" s="71"/>
      <c r="U4004" s="71"/>
      <c r="V4004" s="71"/>
      <c r="W4004" s="71"/>
    </row>
    <row r="4005" spans="20:23" x14ac:dyDescent="0.25">
      <c r="T4005" s="71"/>
      <c r="U4005" s="71"/>
      <c r="V4005" s="71"/>
      <c r="W4005" s="71"/>
    </row>
    <row r="4006" spans="20:23" x14ac:dyDescent="0.25">
      <c r="T4006" s="71"/>
      <c r="U4006" s="71"/>
      <c r="V4006" s="71"/>
      <c r="W4006" s="71"/>
    </row>
    <row r="4007" spans="20:23" x14ac:dyDescent="0.25">
      <c r="T4007" s="71"/>
      <c r="U4007" s="71"/>
      <c r="V4007" s="71"/>
      <c r="W4007" s="71"/>
    </row>
    <row r="4008" spans="20:23" x14ac:dyDescent="0.25">
      <c r="T4008" s="71"/>
      <c r="U4008" s="71"/>
      <c r="V4008" s="71"/>
      <c r="W4008" s="71"/>
    </row>
    <row r="4009" spans="20:23" x14ac:dyDescent="0.25">
      <c r="T4009" s="71"/>
      <c r="U4009" s="71"/>
      <c r="V4009" s="71"/>
      <c r="W4009" s="71"/>
    </row>
    <row r="4010" spans="20:23" x14ac:dyDescent="0.25">
      <c r="T4010" s="71"/>
      <c r="U4010" s="71"/>
      <c r="V4010" s="71"/>
      <c r="W4010" s="71"/>
    </row>
    <row r="4011" spans="20:23" x14ac:dyDescent="0.25">
      <c r="T4011" s="71"/>
      <c r="U4011" s="71"/>
      <c r="V4011" s="71"/>
      <c r="W4011" s="71"/>
    </row>
    <row r="4012" spans="20:23" x14ac:dyDescent="0.25">
      <c r="T4012" s="71"/>
      <c r="U4012" s="71"/>
      <c r="V4012" s="71"/>
      <c r="W4012" s="71"/>
    </row>
    <row r="4013" spans="20:23" x14ac:dyDescent="0.25">
      <c r="T4013" s="71"/>
      <c r="U4013" s="71"/>
      <c r="V4013" s="71"/>
      <c r="W4013" s="71"/>
    </row>
    <row r="4014" spans="20:23" x14ac:dyDescent="0.25">
      <c r="T4014" s="71"/>
      <c r="U4014" s="71"/>
      <c r="V4014" s="71"/>
      <c r="W4014" s="71"/>
    </row>
    <row r="4015" spans="20:23" x14ac:dyDescent="0.25">
      <c r="T4015" s="71"/>
      <c r="U4015" s="71"/>
      <c r="V4015" s="71"/>
      <c r="W4015" s="71"/>
    </row>
    <row r="4016" spans="20:23" x14ac:dyDescent="0.25">
      <c r="T4016" s="71"/>
      <c r="U4016" s="71"/>
      <c r="V4016" s="71"/>
      <c r="W4016" s="71"/>
    </row>
    <row r="4017" spans="20:23" x14ac:dyDescent="0.25">
      <c r="T4017" s="71"/>
      <c r="U4017" s="71"/>
      <c r="V4017" s="71"/>
      <c r="W4017" s="71"/>
    </row>
    <row r="4018" spans="20:23" x14ac:dyDescent="0.25">
      <c r="T4018" s="71"/>
      <c r="U4018" s="71"/>
      <c r="V4018" s="71"/>
      <c r="W4018" s="71"/>
    </row>
    <row r="4019" spans="20:23" x14ac:dyDescent="0.25">
      <c r="T4019" s="71"/>
      <c r="U4019" s="71"/>
      <c r="V4019" s="71"/>
      <c r="W4019" s="71"/>
    </row>
    <row r="4020" spans="20:23" x14ac:dyDescent="0.25">
      <c r="T4020" s="71"/>
      <c r="U4020" s="71"/>
      <c r="V4020" s="71"/>
      <c r="W4020" s="71"/>
    </row>
    <row r="4021" spans="20:23" x14ac:dyDescent="0.25">
      <c r="T4021" s="71"/>
      <c r="U4021" s="71"/>
      <c r="V4021" s="71"/>
      <c r="W4021" s="71"/>
    </row>
    <row r="4022" spans="20:23" x14ac:dyDescent="0.25">
      <c r="T4022" s="71"/>
      <c r="U4022" s="71"/>
      <c r="V4022" s="71"/>
      <c r="W4022" s="71"/>
    </row>
    <row r="4023" spans="20:23" x14ac:dyDescent="0.25">
      <c r="T4023" s="71"/>
      <c r="U4023" s="71"/>
      <c r="V4023" s="71"/>
      <c r="W4023" s="71"/>
    </row>
    <row r="4024" spans="20:23" x14ac:dyDescent="0.25">
      <c r="T4024" s="71"/>
      <c r="U4024" s="71"/>
      <c r="V4024" s="71"/>
      <c r="W4024" s="71"/>
    </row>
    <row r="4025" spans="20:23" x14ac:dyDescent="0.25">
      <c r="T4025" s="71"/>
      <c r="U4025" s="71"/>
      <c r="V4025" s="71"/>
      <c r="W4025" s="71"/>
    </row>
    <row r="4026" spans="20:23" x14ac:dyDescent="0.25">
      <c r="T4026" s="71"/>
      <c r="U4026" s="71"/>
      <c r="V4026" s="71"/>
      <c r="W4026" s="71"/>
    </row>
    <row r="4027" spans="20:23" x14ac:dyDescent="0.25">
      <c r="T4027" s="71"/>
      <c r="U4027" s="71"/>
      <c r="V4027" s="71"/>
      <c r="W4027" s="71"/>
    </row>
    <row r="4028" spans="20:23" x14ac:dyDescent="0.25">
      <c r="T4028" s="71"/>
      <c r="U4028" s="71"/>
      <c r="V4028" s="71"/>
      <c r="W4028" s="71"/>
    </row>
    <row r="4029" spans="20:23" x14ac:dyDescent="0.25">
      <c r="T4029" s="71"/>
      <c r="U4029" s="71"/>
      <c r="V4029" s="71"/>
      <c r="W4029" s="71"/>
    </row>
    <row r="4030" spans="20:23" x14ac:dyDescent="0.25">
      <c r="T4030" s="71"/>
      <c r="U4030" s="71"/>
      <c r="V4030" s="71"/>
      <c r="W4030" s="71"/>
    </row>
    <row r="4031" spans="20:23" x14ac:dyDescent="0.25">
      <c r="T4031" s="71"/>
      <c r="U4031" s="71"/>
      <c r="V4031" s="71"/>
      <c r="W4031" s="71"/>
    </row>
    <row r="4032" spans="20:23" x14ac:dyDescent="0.25">
      <c r="T4032" s="71"/>
      <c r="U4032" s="71"/>
      <c r="V4032" s="71"/>
      <c r="W4032" s="71"/>
    </row>
    <row r="4033" spans="20:23" x14ac:dyDescent="0.25">
      <c r="T4033" s="71"/>
      <c r="U4033" s="71"/>
      <c r="V4033" s="71"/>
      <c r="W4033" s="71"/>
    </row>
    <row r="4034" spans="20:23" x14ac:dyDescent="0.25">
      <c r="T4034" s="71"/>
      <c r="U4034" s="71"/>
      <c r="V4034" s="71"/>
      <c r="W4034" s="71"/>
    </row>
    <row r="4035" spans="20:23" x14ac:dyDescent="0.25">
      <c r="T4035" s="71"/>
      <c r="U4035" s="71"/>
      <c r="V4035" s="71"/>
      <c r="W4035" s="71"/>
    </row>
    <row r="4036" spans="20:23" x14ac:dyDescent="0.25">
      <c r="T4036" s="71"/>
      <c r="U4036" s="71"/>
      <c r="V4036" s="71"/>
      <c r="W4036" s="71"/>
    </row>
    <row r="4037" spans="20:23" x14ac:dyDescent="0.25">
      <c r="T4037" s="71"/>
      <c r="U4037" s="71"/>
      <c r="V4037" s="71"/>
      <c r="W4037" s="71"/>
    </row>
    <row r="4038" spans="20:23" x14ac:dyDescent="0.25">
      <c r="T4038" s="71"/>
      <c r="U4038" s="71"/>
      <c r="V4038" s="71"/>
      <c r="W4038" s="71"/>
    </row>
    <row r="4039" spans="20:23" x14ac:dyDescent="0.25">
      <c r="T4039" s="71"/>
      <c r="U4039" s="71"/>
      <c r="V4039" s="71"/>
      <c r="W4039" s="71"/>
    </row>
    <row r="4040" spans="20:23" x14ac:dyDescent="0.25">
      <c r="T4040" s="71"/>
      <c r="U4040" s="71"/>
      <c r="V4040" s="71"/>
      <c r="W4040" s="71"/>
    </row>
    <row r="4041" spans="20:23" x14ac:dyDescent="0.25">
      <c r="T4041" s="71"/>
      <c r="U4041" s="71"/>
      <c r="V4041" s="71"/>
      <c r="W4041" s="71"/>
    </row>
    <row r="4042" spans="20:23" x14ac:dyDescent="0.25">
      <c r="T4042" s="71"/>
      <c r="U4042" s="71"/>
      <c r="V4042" s="71"/>
      <c r="W4042" s="71"/>
    </row>
    <row r="4043" spans="20:23" x14ac:dyDescent="0.25">
      <c r="T4043" s="71"/>
      <c r="U4043" s="71"/>
      <c r="V4043" s="71"/>
      <c r="W4043" s="71"/>
    </row>
    <row r="4044" spans="20:23" x14ac:dyDescent="0.25">
      <c r="T4044" s="71"/>
      <c r="U4044" s="71"/>
      <c r="V4044" s="71"/>
      <c r="W4044" s="71"/>
    </row>
    <row r="4045" spans="20:23" x14ac:dyDescent="0.25">
      <c r="T4045" s="71"/>
      <c r="U4045" s="71"/>
      <c r="V4045" s="71"/>
      <c r="W4045" s="71"/>
    </row>
    <row r="4046" spans="20:23" x14ac:dyDescent="0.25">
      <c r="T4046" s="71"/>
      <c r="U4046" s="71"/>
      <c r="V4046" s="71"/>
      <c r="W4046" s="71"/>
    </row>
    <row r="4047" spans="20:23" x14ac:dyDescent="0.25">
      <c r="T4047" s="71"/>
      <c r="U4047" s="71"/>
      <c r="V4047" s="71"/>
      <c r="W4047" s="71"/>
    </row>
    <row r="4048" spans="20:23" x14ac:dyDescent="0.25">
      <c r="T4048" s="71"/>
      <c r="U4048" s="71"/>
      <c r="V4048" s="71"/>
      <c r="W4048" s="71"/>
    </row>
    <row r="4049" spans="20:23" x14ac:dyDescent="0.25">
      <c r="T4049" s="71"/>
      <c r="U4049" s="71"/>
      <c r="V4049" s="71"/>
      <c r="W4049" s="71"/>
    </row>
    <row r="4050" spans="20:23" x14ac:dyDescent="0.25">
      <c r="T4050" s="71"/>
      <c r="U4050" s="71"/>
      <c r="V4050" s="71"/>
      <c r="W4050" s="71"/>
    </row>
    <row r="4051" spans="20:23" x14ac:dyDescent="0.25">
      <c r="T4051" s="71"/>
      <c r="U4051" s="71"/>
      <c r="V4051" s="71"/>
      <c r="W4051" s="71"/>
    </row>
    <row r="4052" spans="20:23" x14ac:dyDescent="0.25">
      <c r="T4052" s="71"/>
      <c r="U4052" s="71"/>
      <c r="V4052" s="71"/>
      <c r="W4052" s="71"/>
    </row>
    <row r="4053" spans="20:23" x14ac:dyDescent="0.25">
      <c r="T4053" s="71"/>
      <c r="U4053" s="71"/>
      <c r="V4053" s="71"/>
      <c r="W4053" s="71"/>
    </row>
    <row r="4054" spans="20:23" x14ac:dyDescent="0.25">
      <c r="T4054" s="71"/>
      <c r="U4054" s="71"/>
      <c r="V4054" s="71"/>
      <c r="W4054" s="71"/>
    </row>
    <row r="4055" spans="20:23" x14ac:dyDescent="0.25">
      <c r="T4055" s="71"/>
      <c r="U4055" s="71"/>
      <c r="V4055" s="71"/>
      <c r="W4055" s="71"/>
    </row>
    <row r="4056" spans="20:23" x14ac:dyDescent="0.25">
      <c r="T4056" s="71"/>
      <c r="U4056" s="71"/>
      <c r="V4056" s="71"/>
      <c r="W4056" s="71"/>
    </row>
    <row r="4057" spans="20:23" x14ac:dyDescent="0.25">
      <c r="T4057" s="71"/>
      <c r="U4057" s="71"/>
      <c r="V4057" s="71"/>
      <c r="W4057" s="71"/>
    </row>
    <row r="4058" spans="20:23" x14ac:dyDescent="0.25">
      <c r="T4058" s="71"/>
      <c r="U4058" s="71"/>
      <c r="V4058" s="71"/>
      <c r="W4058" s="71"/>
    </row>
    <row r="4059" spans="20:23" x14ac:dyDescent="0.25">
      <c r="T4059" s="71"/>
      <c r="U4059" s="71"/>
      <c r="V4059" s="71"/>
      <c r="W4059" s="71"/>
    </row>
    <row r="4060" spans="20:23" x14ac:dyDescent="0.25">
      <c r="T4060" s="71"/>
      <c r="U4060" s="71"/>
      <c r="V4060" s="71"/>
      <c r="W4060" s="71"/>
    </row>
    <row r="4061" spans="20:23" x14ac:dyDescent="0.25">
      <c r="T4061" s="71"/>
      <c r="U4061" s="71"/>
      <c r="V4061" s="71"/>
      <c r="W4061" s="71"/>
    </row>
    <row r="4062" spans="20:23" x14ac:dyDescent="0.25">
      <c r="T4062" s="71"/>
      <c r="U4062" s="71"/>
      <c r="V4062" s="71"/>
      <c r="W4062" s="71"/>
    </row>
    <row r="4063" spans="20:23" x14ac:dyDescent="0.25">
      <c r="T4063" s="71"/>
      <c r="U4063" s="71"/>
      <c r="V4063" s="71"/>
      <c r="W4063" s="71"/>
    </row>
    <row r="4064" spans="20:23" x14ac:dyDescent="0.25">
      <c r="T4064" s="71"/>
      <c r="U4064" s="71"/>
      <c r="V4064" s="71"/>
      <c r="W4064" s="71"/>
    </row>
    <row r="4065" spans="20:23" x14ac:dyDescent="0.25">
      <c r="T4065" s="71"/>
      <c r="U4065" s="71"/>
      <c r="V4065" s="71"/>
      <c r="W4065" s="71"/>
    </row>
    <row r="4066" spans="20:23" x14ac:dyDescent="0.25">
      <c r="T4066" s="71"/>
      <c r="U4066" s="71"/>
      <c r="V4066" s="71"/>
      <c r="W4066" s="71"/>
    </row>
    <row r="4067" spans="20:23" x14ac:dyDescent="0.25">
      <c r="T4067" s="71"/>
      <c r="U4067" s="71"/>
      <c r="V4067" s="71"/>
      <c r="W4067" s="71"/>
    </row>
    <row r="4068" spans="20:23" x14ac:dyDescent="0.25">
      <c r="T4068" s="71"/>
      <c r="U4068" s="71"/>
      <c r="V4068" s="71"/>
      <c r="W4068" s="71"/>
    </row>
    <row r="4069" spans="20:23" x14ac:dyDescent="0.25">
      <c r="T4069" s="71"/>
      <c r="U4069" s="71"/>
      <c r="V4069" s="71"/>
      <c r="W4069" s="71"/>
    </row>
    <row r="4070" spans="20:23" x14ac:dyDescent="0.25">
      <c r="T4070" s="71"/>
      <c r="U4070" s="71"/>
      <c r="V4070" s="71"/>
      <c r="W4070" s="71"/>
    </row>
    <row r="4071" spans="20:23" x14ac:dyDescent="0.25">
      <c r="T4071" s="71"/>
      <c r="U4071" s="71"/>
      <c r="V4071" s="71"/>
      <c r="W4071" s="71"/>
    </row>
    <row r="4072" spans="20:23" x14ac:dyDescent="0.25">
      <c r="T4072" s="71"/>
      <c r="U4072" s="71"/>
      <c r="V4072" s="71"/>
      <c r="W4072" s="71"/>
    </row>
    <row r="4073" spans="20:23" x14ac:dyDescent="0.25">
      <c r="T4073" s="71"/>
      <c r="U4073" s="71"/>
      <c r="V4073" s="71"/>
      <c r="W4073" s="71"/>
    </row>
    <row r="4074" spans="20:23" x14ac:dyDescent="0.25">
      <c r="T4074" s="71"/>
      <c r="U4074" s="71"/>
      <c r="V4074" s="71"/>
      <c r="W4074" s="71"/>
    </row>
    <row r="4075" spans="20:23" x14ac:dyDescent="0.25">
      <c r="T4075" s="71"/>
      <c r="U4075" s="71"/>
      <c r="V4075" s="71"/>
      <c r="W4075" s="71"/>
    </row>
    <row r="4076" spans="20:23" x14ac:dyDescent="0.25">
      <c r="T4076" s="71"/>
      <c r="U4076" s="71"/>
      <c r="V4076" s="71"/>
      <c r="W4076" s="71"/>
    </row>
    <row r="4077" spans="20:23" x14ac:dyDescent="0.25">
      <c r="T4077" s="71"/>
      <c r="U4077" s="71"/>
      <c r="V4077" s="71"/>
      <c r="W4077" s="71"/>
    </row>
    <row r="4078" spans="20:23" x14ac:dyDescent="0.25">
      <c r="T4078" s="71"/>
      <c r="U4078" s="71"/>
      <c r="V4078" s="71"/>
      <c r="W4078" s="71"/>
    </row>
    <row r="4079" spans="20:23" x14ac:dyDescent="0.25">
      <c r="T4079" s="71"/>
      <c r="U4079" s="71"/>
      <c r="V4079" s="71"/>
      <c r="W4079" s="71"/>
    </row>
    <row r="4080" spans="20:23" x14ac:dyDescent="0.25">
      <c r="T4080" s="71"/>
      <c r="U4080" s="71"/>
      <c r="V4080" s="71"/>
      <c r="W4080" s="71"/>
    </row>
    <row r="4081" spans="20:23" x14ac:dyDescent="0.25">
      <c r="T4081" s="71"/>
      <c r="U4081" s="71"/>
      <c r="V4081" s="71"/>
      <c r="W4081" s="71"/>
    </row>
    <row r="4082" spans="20:23" x14ac:dyDescent="0.25">
      <c r="T4082" s="71"/>
      <c r="U4082" s="71"/>
      <c r="V4082" s="71"/>
      <c r="W4082" s="71"/>
    </row>
    <row r="4083" spans="20:23" x14ac:dyDescent="0.25">
      <c r="T4083" s="71"/>
      <c r="U4083" s="71"/>
      <c r="V4083" s="71"/>
      <c r="W4083" s="71"/>
    </row>
    <row r="4084" spans="20:23" x14ac:dyDescent="0.25">
      <c r="T4084" s="71"/>
      <c r="U4084" s="71"/>
      <c r="V4084" s="71"/>
      <c r="W4084" s="71"/>
    </row>
    <row r="4085" spans="20:23" x14ac:dyDescent="0.25">
      <c r="T4085" s="71"/>
      <c r="U4085" s="71"/>
      <c r="V4085" s="71"/>
      <c r="W4085" s="71"/>
    </row>
    <row r="4086" spans="20:23" x14ac:dyDescent="0.25">
      <c r="T4086" s="71"/>
      <c r="U4086" s="71"/>
      <c r="V4086" s="71"/>
      <c r="W4086" s="71"/>
    </row>
    <row r="4087" spans="20:23" x14ac:dyDescent="0.25">
      <c r="T4087" s="71"/>
      <c r="U4087" s="71"/>
      <c r="V4087" s="71"/>
      <c r="W4087" s="71"/>
    </row>
    <row r="4088" spans="20:23" x14ac:dyDescent="0.25">
      <c r="T4088" s="71"/>
      <c r="U4088" s="71"/>
      <c r="V4088" s="71"/>
      <c r="W4088" s="71"/>
    </row>
    <row r="4089" spans="20:23" x14ac:dyDescent="0.25">
      <c r="T4089" s="71"/>
      <c r="U4089" s="71"/>
      <c r="V4089" s="71"/>
      <c r="W4089" s="71"/>
    </row>
    <row r="4090" spans="20:23" x14ac:dyDescent="0.25">
      <c r="T4090" s="71"/>
      <c r="U4090" s="71"/>
      <c r="V4090" s="71"/>
      <c r="W4090" s="71"/>
    </row>
    <row r="4091" spans="20:23" x14ac:dyDescent="0.25">
      <c r="T4091" s="71"/>
      <c r="U4091" s="71"/>
      <c r="V4091" s="71"/>
      <c r="W4091" s="71"/>
    </row>
    <row r="4092" spans="20:23" x14ac:dyDescent="0.25">
      <c r="T4092" s="71"/>
      <c r="U4092" s="71"/>
      <c r="V4092" s="71"/>
      <c r="W4092" s="71"/>
    </row>
    <row r="4093" spans="20:23" x14ac:dyDescent="0.25">
      <c r="T4093" s="71"/>
      <c r="U4093" s="71"/>
      <c r="V4093" s="71"/>
      <c r="W4093" s="71"/>
    </row>
    <row r="4094" spans="20:23" x14ac:dyDescent="0.25">
      <c r="T4094" s="71"/>
      <c r="U4094" s="71"/>
      <c r="V4094" s="71"/>
      <c r="W4094" s="71"/>
    </row>
    <row r="4095" spans="20:23" x14ac:dyDescent="0.25">
      <c r="T4095" s="71"/>
      <c r="U4095" s="71"/>
      <c r="V4095" s="71"/>
      <c r="W4095" s="71"/>
    </row>
    <row r="4096" spans="20:23" x14ac:dyDescent="0.25">
      <c r="T4096" s="71"/>
      <c r="U4096" s="71"/>
      <c r="V4096" s="71"/>
      <c r="W4096" s="71"/>
    </row>
    <row r="4097" spans="20:23" x14ac:dyDescent="0.25">
      <c r="T4097" s="71"/>
      <c r="U4097" s="71"/>
      <c r="V4097" s="71"/>
      <c r="W4097" s="71"/>
    </row>
    <row r="4098" spans="20:23" x14ac:dyDescent="0.25">
      <c r="T4098" s="71"/>
      <c r="U4098" s="71"/>
      <c r="V4098" s="71"/>
      <c r="W4098" s="71"/>
    </row>
    <row r="4099" spans="20:23" x14ac:dyDescent="0.25">
      <c r="T4099" s="71"/>
      <c r="U4099" s="71"/>
      <c r="V4099" s="71"/>
      <c r="W4099" s="71"/>
    </row>
    <row r="4100" spans="20:23" x14ac:dyDescent="0.25">
      <c r="T4100" s="71"/>
      <c r="U4100" s="71"/>
      <c r="V4100" s="71"/>
      <c r="W4100" s="71"/>
    </row>
    <row r="4101" spans="20:23" x14ac:dyDescent="0.25">
      <c r="T4101" s="71"/>
      <c r="U4101" s="71"/>
      <c r="V4101" s="71"/>
      <c r="W4101" s="71"/>
    </row>
    <row r="4102" spans="20:23" x14ac:dyDescent="0.25">
      <c r="T4102" s="71"/>
      <c r="U4102" s="71"/>
      <c r="V4102" s="71"/>
      <c r="W4102" s="71"/>
    </row>
    <row r="4103" spans="20:23" x14ac:dyDescent="0.25">
      <c r="T4103" s="71"/>
      <c r="U4103" s="71"/>
      <c r="V4103" s="71"/>
      <c r="W4103" s="71"/>
    </row>
    <row r="4104" spans="20:23" x14ac:dyDescent="0.25">
      <c r="T4104" s="71"/>
      <c r="U4104" s="71"/>
      <c r="V4104" s="71"/>
      <c r="W4104" s="71"/>
    </row>
    <row r="4105" spans="20:23" x14ac:dyDescent="0.25">
      <c r="T4105" s="71"/>
      <c r="U4105" s="71"/>
      <c r="V4105" s="71"/>
      <c r="W4105" s="71"/>
    </row>
    <row r="4106" spans="20:23" x14ac:dyDescent="0.25">
      <c r="T4106" s="71"/>
      <c r="U4106" s="71"/>
      <c r="V4106" s="71"/>
      <c r="W4106" s="71"/>
    </row>
    <row r="4107" spans="20:23" x14ac:dyDescent="0.25">
      <c r="T4107" s="71"/>
      <c r="U4107" s="71"/>
      <c r="V4107" s="71"/>
      <c r="W4107" s="71"/>
    </row>
    <row r="4108" spans="20:23" x14ac:dyDescent="0.25">
      <c r="T4108" s="71"/>
      <c r="U4108" s="71"/>
      <c r="V4108" s="71"/>
      <c r="W4108" s="71"/>
    </row>
    <row r="4109" spans="20:23" x14ac:dyDescent="0.25">
      <c r="T4109" s="71"/>
      <c r="U4109" s="71"/>
      <c r="V4109" s="71"/>
      <c r="W4109" s="71"/>
    </row>
    <row r="4110" spans="20:23" x14ac:dyDescent="0.25">
      <c r="T4110" s="71"/>
      <c r="U4110" s="71"/>
      <c r="V4110" s="71"/>
      <c r="W4110" s="71"/>
    </row>
    <row r="4111" spans="20:23" x14ac:dyDescent="0.25">
      <c r="T4111" s="71"/>
      <c r="U4111" s="71"/>
      <c r="V4111" s="71"/>
      <c r="W4111" s="71"/>
    </row>
    <row r="4112" spans="20:23" x14ac:dyDescent="0.25">
      <c r="T4112" s="71"/>
      <c r="U4112" s="71"/>
      <c r="V4112" s="71"/>
      <c r="W4112" s="71"/>
    </row>
    <row r="4113" spans="20:23" x14ac:dyDescent="0.25">
      <c r="T4113" s="71"/>
      <c r="U4113" s="71"/>
      <c r="V4113" s="71"/>
      <c r="W4113" s="71"/>
    </row>
    <row r="4114" spans="20:23" x14ac:dyDescent="0.25">
      <c r="T4114" s="71"/>
      <c r="U4114" s="71"/>
      <c r="V4114" s="71"/>
      <c r="W4114" s="71"/>
    </row>
    <row r="4115" spans="20:23" x14ac:dyDescent="0.25">
      <c r="T4115" s="71"/>
      <c r="U4115" s="71"/>
      <c r="V4115" s="71"/>
      <c r="W4115" s="71"/>
    </row>
    <row r="4116" spans="20:23" x14ac:dyDescent="0.25">
      <c r="T4116" s="71"/>
      <c r="U4116" s="71"/>
      <c r="V4116" s="71"/>
      <c r="W4116" s="71"/>
    </row>
    <row r="4117" spans="20:23" x14ac:dyDescent="0.25">
      <c r="T4117" s="71"/>
      <c r="U4117" s="71"/>
      <c r="V4117" s="71"/>
      <c r="W4117" s="71"/>
    </row>
    <row r="4118" spans="20:23" x14ac:dyDescent="0.25">
      <c r="T4118" s="71"/>
      <c r="U4118" s="71"/>
      <c r="V4118" s="71"/>
      <c r="W4118" s="71"/>
    </row>
    <row r="4119" spans="20:23" x14ac:dyDescent="0.25">
      <c r="T4119" s="71"/>
      <c r="U4119" s="71"/>
      <c r="V4119" s="71"/>
      <c r="W4119" s="71"/>
    </row>
    <row r="4120" spans="20:23" x14ac:dyDescent="0.25">
      <c r="T4120" s="71"/>
      <c r="U4120" s="71"/>
      <c r="V4120" s="71"/>
      <c r="W4120" s="71"/>
    </row>
    <row r="4121" spans="20:23" x14ac:dyDescent="0.25">
      <c r="T4121" s="71"/>
      <c r="U4121" s="71"/>
      <c r="V4121" s="71"/>
      <c r="W4121" s="71"/>
    </row>
    <row r="4122" spans="20:23" x14ac:dyDescent="0.25">
      <c r="T4122" s="71"/>
      <c r="U4122" s="71"/>
      <c r="V4122" s="71"/>
      <c r="W4122" s="71"/>
    </row>
    <row r="4123" spans="20:23" x14ac:dyDescent="0.25">
      <c r="T4123" s="71"/>
      <c r="U4123" s="71"/>
      <c r="V4123" s="71"/>
      <c r="W4123" s="71"/>
    </row>
    <row r="4124" spans="20:23" x14ac:dyDescent="0.25">
      <c r="T4124" s="71"/>
      <c r="U4124" s="71"/>
      <c r="V4124" s="71"/>
      <c r="W4124" s="71"/>
    </row>
    <row r="4125" spans="20:23" x14ac:dyDescent="0.25">
      <c r="T4125" s="71"/>
      <c r="U4125" s="71"/>
      <c r="V4125" s="71"/>
      <c r="W4125" s="71"/>
    </row>
    <row r="4126" spans="20:23" x14ac:dyDescent="0.25">
      <c r="T4126" s="71"/>
      <c r="U4126" s="71"/>
      <c r="V4126" s="71"/>
      <c r="W4126" s="71"/>
    </row>
    <row r="4127" spans="20:23" x14ac:dyDescent="0.25">
      <c r="T4127" s="71"/>
      <c r="U4127" s="71"/>
      <c r="V4127" s="71"/>
      <c r="W4127" s="71"/>
    </row>
    <row r="4128" spans="20:23" x14ac:dyDescent="0.25">
      <c r="T4128" s="71"/>
      <c r="U4128" s="71"/>
      <c r="V4128" s="71"/>
      <c r="W4128" s="71"/>
    </row>
    <row r="4129" spans="20:23" x14ac:dyDescent="0.25">
      <c r="T4129" s="71"/>
      <c r="U4129" s="71"/>
      <c r="V4129" s="71"/>
      <c r="W4129" s="71"/>
    </row>
    <row r="4130" spans="20:23" x14ac:dyDescent="0.25">
      <c r="T4130" s="71"/>
      <c r="U4130" s="71"/>
      <c r="V4130" s="71"/>
      <c r="W4130" s="71"/>
    </row>
    <row r="4131" spans="20:23" x14ac:dyDescent="0.25">
      <c r="T4131" s="71"/>
      <c r="U4131" s="71"/>
      <c r="V4131" s="71"/>
      <c r="W4131" s="71"/>
    </row>
    <row r="4132" spans="20:23" x14ac:dyDescent="0.25">
      <c r="T4132" s="71"/>
      <c r="U4132" s="71"/>
      <c r="V4132" s="71"/>
      <c r="W4132" s="71"/>
    </row>
    <row r="4133" spans="20:23" x14ac:dyDescent="0.25">
      <c r="T4133" s="71"/>
      <c r="U4133" s="71"/>
      <c r="V4133" s="71"/>
      <c r="W4133" s="71"/>
    </row>
    <row r="4134" spans="20:23" x14ac:dyDescent="0.25">
      <c r="T4134" s="71"/>
      <c r="U4134" s="71"/>
      <c r="V4134" s="71"/>
      <c r="W4134" s="71"/>
    </row>
    <row r="4135" spans="20:23" x14ac:dyDescent="0.25">
      <c r="T4135" s="71"/>
      <c r="U4135" s="71"/>
      <c r="V4135" s="71"/>
      <c r="W4135" s="71"/>
    </row>
    <row r="4136" spans="20:23" x14ac:dyDescent="0.25">
      <c r="T4136" s="71"/>
      <c r="U4136" s="71"/>
      <c r="V4136" s="71"/>
      <c r="W4136" s="71"/>
    </row>
    <row r="4137" spans="20:23" x14ac:dyDescent="0.25">
      <c r="T4137" s="71"/>
      <c r="U4137" s="71"/>
      <c r="V4137" s="71"/>
      <c r="W4137" s="71"/>
    </row>
    <row r="4138" spans="20:23" x14ac:dyDescent="0.25">
      <c r="T4138" s="71"/>
      <c r="U4138" s="71"/>
      <c r="V4138" s="71"/>
      <c r="W4138" s="71"/>
    </row>
    <row r="4139" spans="20:23" x14ac:dyDescent="0.25">
      <c r="T4139" s="71"/>
      <c r="U4139" s="71"/>
      <c r="V4139" s="71"/>
      <c r="W4139" s="71"/>
    </row>
    <row r="4140" spans="20:23" x14ac:dyDescent="0.25">
      <c r="T4140" s="71"/>
      <c r="U4140" s="71"/>
      <c r="V4140" s="71"/>
      <c r="W4140" s="71"/>
    </row>
    <row r="4141" spans="20:23" x14ac:dyDescent="0.25">
      <c r="T4141" s="71"/>
      <c r="U4141" s="71"/>
      <c r="V4141" s="71"/>
      <c r="W4141" s="71"/>
    </row>
    <row r="4142" spans="20:23" x14ac:dyDescent="0.25">
      <c r="T4142" s="71"/>
      <c r="U4142" s="71"/>
      <c r="V4142" s="71"/>
      <c r="W4142" s="71"/>
    </row>
    <row r="4143" spans="20:23" x14ac:dyDescent="0.25">
      <c r="T4143" s="71"/>
      <c r="U4143" s="71"/>
      <c r="V4143" s="71"/>
      <c r="W4143" s="71"/>
    </row>
    <row r="4144" spans="20:23" x14ac:dyDescent="0.25">
      <c r="T4144" s="71"/>
      <c r="U4144" s="71"/>
      <c r="V4144" s="71"/>
      <c r="W4144" s="71"/>
    </row>
    <row r="4145" spans="20:23" x14ac:dyDescent="0.25">
      <c r="T4145" s="71"/>
      <c r="U4145" s="71"/>
      <c r="V4145" s="71"/>
      <c r="W4145" s="71"/>
    </row>
    <row r="4146" spans="20:23" x14ac:dyDescent="0.25">
      <c r="T4146" s="71"/>
      <c r="U4146" s="71"/>
      <c r="V4146" s="71"/>
      <c r="W4146" s="71"/>
    </row>
    <row r="4147" spans="20:23" x14ac:dyDescent="0.25">
      <c r="T4147" s="71"/>
      <c r="U4147" s="71"/>
      <c r="V4147" s="71"/>
      <c r="W4147" s="71"/>
    </row>
    <row r="4148" spans="20:23" x14ac:dyDescent="0.25">
      <c r="T4148" s="71"/>
      <c r="U4148" s="71"/>
      <c r="V4148" s="71"/>
      <c r="W4148" s="71"/>
    </row>
    <row r="4149" spans="20:23" x14ac:dyDescent="0.25">
      <c r="T4149" s="71"/>
      <c r="U4149" s="71"/>
      <c r="V4149" s="71"/>
      <c r="W4149" s="71"/>
    </row>
    <row r="4150" spans="20:23" x14ac:dyDescent="0.25">
      <c r="T4150" s="71"/>
      <c r="U4150" s="71"/>
      <c r="V4150" s="71"/>
      <c r="W4150" s="71"/>
    </row>
    <row r="4151" spans="20:23" x14ac:dyDescent="0.25">
      <c r="T4151" s="71"/>
      <c r="U4151" s="71"/>
      <c r="V4151" s="71"/>
      <c r="W4151" s="71"/>
    </row>
    <row r="4152" spans="20:23" x14ac:dyDescent="0.25">
      <c r="T4152" s="71"/>
      <c r="U4152" s="71"/>
      <c r="V4152" s="71"/>
      <c r="W4152" s="71"/>
    </row>
    <row r="4153" spans="20:23" x14ac:dyDescent="0.25">
      <c r="T4153" s="71"/>
      <c r="U4153" s="71"/>
      <c r="V4153" s="71"/>
      <c r="W4153" s="71"/>
    </row>
    <row r="4154" spans="20:23" x14ac:dyDescent="0.25">
      <c r="T4154" s="71"/>
      <c r="U4154" s="71"/>
      <c r="V4154" s="71"/>
      <c r="W4154" s="71"/>
    </row>
    <row r="4155" spans="20:23" x14ac:dyDescent="0.25">
      <c r="T4155" s="71"/>
      <c r="U4155" s="71"/>
      <c r="V4155" s="71"/>
      <c r="W4155" s="71"/>
    </row>
    <row r="4156" spans="20:23" x14ac:dyDescent="0.25">
      <c r="T4156" s="71"/>
      <c r="U4156" s="71"/>
      <c r="V4156" s="71"/>
      <c r="W4156" s="71"/>
    </row>
    <row r="4157" spans="20:23" x14ac:dyDescent="0.25">
      <c r="T4157" s="71"/>
      <c r="U4157" s="71"/>
      <c r="V4157" s="71"/>
      <c r="W4157" s="71"/>
    </row>
    <row r="4158" spans="20:23" x14ac:dyDescent="0.25">
      <c r="T4158" s="71"/>
      <c r="U4158" s="71"/>
      <c r="V4158" s="71"/>
      <c r="W4158" s="71"/>
    </row>
    <row r="4159" spans="20:23" x14ac:dyDescent="0.25">
      <c r="T4159" s="71"/>
      <c r="U4159" s="71"/>
      <c r="V4159" s="71"/>
      <c r="W4159" s="71"/>
    </row>
    <row r="4160" spans="20:23" x14ac:dyDescent="0.25">
      <c r="T4160" s="71"/>
      <c r="U4160" s="71"/>
      <c r="V4160" s="71"/>
      <c r="W4160" s="71"/>
    </row>
    <row r="4161" spans="20:23" x14ac:dyDescent="0.25">
      <c r="T4161" s="71"/>
      <c r="U4161" s="71"/>
      <c r="V4161" s="71"/>
      <c r="W4161" s="71"/>
    </row>
    <row r="4162" spans="20:23" x14ac:dyDescent="0.25">
      <c r="T4162" s="71"/>
      <c r="U4162" s="71"/>
      <c r="V4162" s="71"/>
      <c r="W4162" s="71"/>
    </row>
    <row r="4163" spans="20:23" x14ac:dyDescent="0.25">
      <c r="T4163" s="71"/>
      <c r="U4163" s="71"/>
      <c r="V4163" s="71"/>
      <c r="W4163" s="71"/>
    </row>
    <row r="4164" spans="20:23" x14ac:dyDescent="0.25">
      <c r="T4164" s="71"/>
      <c r="U4164" s="71"/>
      <c r="V4164" s="71"/>
      <c r="W4164" s="71"/>
    </row>
    <row r="4165" spans="20:23" x14ac:dyDescent="0.25">
      <c r="T4165" s="71"/>
      <c r="U4165" s="71"/>
      <c r="V4165" s="71"/>
      <c r="W4165" s="71"/>
    </row>
    <row r="4166" spans="20:23" x14ac:dyDescent="0.25">
      <c r="T4166" s="71"/>
      <c r="U4166" s="71"/>
      <c r="V4166" s="71"/>
      <c r="W4166" s="71"/>
    </row>
    <row r="4167" spans="20:23" x14ac:dyDescent="0.25">
      <c r="T4167" s="71"/>
      <c r="U4167" s="71"/>
      <c r="V4167" s="71"/>
      <c r="W4167" s="71"/>
    </row>
    <row r="4168" spans="20:23" x14ac:dyDescent="0.25">
      <c r="T4168" s="71"/>
      <c r="U4168" s="71"/>
      <c r="V4168" s="71"/>
      <c r="W4168" s="71"/>
    </row>
    <row r="4169" spans="20:23" x14ac:dyDescent="0.25">
      <c r="T4169" s="71"/>
      <c r="U4169" s="71"/>
      <c r="V4169" s="71"/>
      <c r="W4169" s="71"/>
    </row>
    <row r="4170" spans="20:23" x14ac:dyDescent="0.25">
      <c r="T4170" s="71"/>
      <c r="U4170" s="71"/>
      <c r="V4170" s="71"/>
      <c r="W4170" s="71"/>
    </row>
    <row r="4171" spans="20:23" x14ac:dyDescent="0.25">
      <c r="T4171" s="71"/>
      <c r="U4171" s="71"/>
      <c r="V4171" s="71"/>
      <c r="W4171" s="71"/>
    </row>
    <row r="4172" spans="20:23" x14ac:dyDescent="0.25">
      <c r="T4172" s="71"/>
      <c r="U4172" s="71"/>
      <c r="V4172" s="71"/>
      <c r="W4172" s="71"/>
    </row>
    <row r="4173" spans="20:23" x14ac:dyDescent="0.25">
      <c r="T4173" s="71"/>
      <c r="U4173" s="71"/>
      <c r="V4173" s="71"/>
      <c r="W4173" s="71"/>
    </row>
    <row r="4174" spans="20:23" x14ac:dyDescent="0.25">
      <c r="T4174" s="71"/>
      <c r="U4174" s="71"/>
      <c r="V4174" s="71"/>
      <c r="W4174" s="71"/>
    </row>
    <row r="4175" spans="20:23" x14ac:dyDescent="0.25">
      <c r="T4175" s="71"/>
      <c r="U4175" s="71"/>
      <c r="V4175" s="71"/>
      <c r="W4175" s="71"/>
    </row>
    <row r="4176" spans="20:23" x14ac:dyDescent="0.25">
      <c r="T4176" s="71"/>
      <c r="U4176" s="71"/>
      <c r="V4176" s="71"/>
      <c r="W4176" s="71"/>
    </row>
    <row r="4177" spans="20:23" x14ac:dyDescent="0.25">
      <c r="T4177" s="71"/>
      <c r="U4177" s="71"/>
      <c r="V4177" s="71"/>
      <c r="W4177" s="71"/>
    </row>
    <row r="4178" spans="20:23" x14ac:dyDescent="0.25">
      <c r="T4178" s="71"/>
      <c r="U4178" s="71"/>
      <c r="V4178" s="71"/>
      <c r="W4178" s="71"/>
    </row>
    <row r="4179" spans="20:23" x14ac:dyDescent="0.25">
      <c r="T4179" s="71"/>
      <c r="U4179" s="71"/>
      <c r="V4179" s="71"/>
      <c r="W4179" s="71"/>
    </row>
    <row r="4180" spans="20:23" x14ac:dyDescent="0.25">
      <c r="T4180" s="71"/>
      <c r="U4180" s="71"/>
      <c r="V4180" s="71"/>
      <c r="W4180" s="71"/>
    </row>
    <row r="4181" spans="20:23" x14ac:dyDescent="0.25">
      <c r="T4181" s="71"/>
      <c r="U4181" s="71"/>
      <c r="V4181" s="71"/>
      <c r="W4181" s="71"/>
    </row>
    <row r="4182" spans="20:23" x14ac:dyDescent="0.25">
      <c r="T4182" s="71"/>
      <c r="U4182" s="71"/>
      <c r="V4182" s="71"/>
      <c r="W4182" s="71"/>
    </row>
    <row r="4183" spans="20:23" x14ac:dyDescent="0.25">
      <c r="T4183" s="71"/>
      <c r="U4183" s="71"/>
      <c r="V4183" s="71"/>
      <c r="W4183" s="71"/>
    </row>
    <row r="4184" spans="20:23" x14ac:dyDescent="0.25">
      <c r="T4184" s="71"/>
      <c r="U4184" s="71"/>
      <c r="V4184" s="71"/>
      <c r="W4184" s="71"/>
    </row>
    <row r="4185" spans="20:23" x14ac:dyDescent="0.25">
      <c r="T4185" s="71"/>
      <c r="U4185" s="71"/>
      <c r="V4185" s="71"/>
      <c r="W4185" s="71"/>
    </row>
    <row r="4186" spans="20:23" x14ac:dyDescent="0.25">
      <c r="T4186" s="71"/>
      <c r="U4186" s="71"/>
      <c r="V4186" s="71"/>
      <c r="W4186" s="71"/>
    </row>
    <row r="4187" spans="20:23" x14ac:dyDescent="0.25">
      <c r="T4187" s="71"/>
      <c r="U4187" s="71"/>
      <c r="V4187" s="71"/>
      <c r="W4187" s="71"/>
    </row>
    <row r="4188" spans="20:23" x14ac:dyDescent="0.25">
      <c r="T4188" s="71"/>
      <c r="U4188" s="71"/>
      <c r="V4188" s="71"/>
      <c r="W4188" s="71"/>
    </row>
    <row r="4189" spans="20:23" x14ac:dyDescent="0.25">
      <c r="T4189" s="71"/>
      <c r="U4189" s="71"/>
      <c r="V4189" s="71"/>
      <c r="W4189" s="71"/>
    </row>
    <row r="4190" spans="20:23" x14ac:dyDescent="0.25">
      <c r="T4190" s="71"/>
      <c r="U4190" s="71"/>
      <c r="V4190" s="71"/>
      <c r="W4190" s="71"/>
    </row>
    <row r="4191" spans="20:23" x14ac:dyDescent="0.25">
      <c r="T4191" s="71"/>
      <c r="U4191" s="71"/>
      <c r="V4191" s="71"/>
      <c r="W4191" s="71"/>
    </row>
    <row r="4192" spans="20:23" x14ac:dyDescent="0.25">
      <c r="T4192" s="71"/>
      <c r="U4192" s="71"/>
      <c r="V4192" s="71"/>
      <c r="W4192" s="71"/>
    </row>
    <row r="4193" spans="20:23" x14ac:dyDescent="0.25">
      <c r="T4193" s="71"/>
      <c r="U4193" s="71"/>
      <c r="V4193" s="71"/>
      <c r="W4193" s="71"/>
    </row>
    <row r="4194" spans="20:23" x14ac:dyDescent="0.25">
      <c r="T4194" s="71"/>
      <c r="U4194" s="71"/>
      <c r="V4194" s="71"/>
      <c r="W4194" s="71"/>
    </row>
    <row r="4195" spans="20:23" x14ac:dyDescent="0.25">
      <c r="T4195" s="71"/>
      <c r="U4195" s="71"/>
      <c r="V4195" s="71"/>
      <c r="W4195" s="71"/>
    </row>
    <row r="4196" spans="20:23" x14ac:dyDescent="0.25">
      <c r="T4196" s="71"/>
      <c r="U4196" s="71"/>
      <c r="V4196" s="71"/>
      <c r="W4196" s="71"/>
    </row>
    <row r="4197" spans="20:23" x14ac:dyDescent="0.25">
      <c r="T4197" s="71"/>
      <c r="U4197" s="71"/>
      <c r="V4197" s="71"/>
      <c r="W4197" s="71"/>
    </row>
    <row r="4198" spans="20:23" x14ac:dyDescent="0.25">
      <c r="T4198" s="71"/>
      <c r="U4198" s="71"/>
      <c r="V4198" s="71"/>
      <c r="W4198" s="71"/>
    </row>
    <row r="4199" spans="20:23" x14ac:dyDescent="0.25">
      <c r="T4199" s="71"/>
      <c r="U4199" s="71"/>
      <c r="V4199" s="71"/>
      <c r="W4199" s="71"/>
    </row>
    <row r="4200" spans="20:23" x14ac:dyDescent="0.25">
      <c r="T4200" s="71"/>
      <c r="U4200" s="71"/>
      <c r="V4200" s="71"/>
      <c r="W4200" s="71"/>
    </row>
    <row r="4201" spans="20:23" x14ac:dyDescent="0.25">
      <c r="T4201" s="71"/>
      <c r="U4201" s="71"/>
      <c r="V4201" s="71"/>
      <c r="W4201" s="71"/>
    </row>
    <row r="4202" spans="20:23" x14ac:dyDescent="0.25">
      <c r="T4202" s="71"/>
      <c r="U4202" s="71"/>
      <c r="V4202" s="71"/>
      <c r="W4202" s="71"/>
    </row>
    <row r="4203" spans="20:23" x14ac:dyDescent="0.25">
      <c r="T4203" s="71"/>
      <c r="U4203" s="71"/>
      <c r="V4203" s="71"/>
      <c r="W4203" s="71"/>
    </row>
    <row r="4204" spans="20:23" x14ac:dyDescent="0.25">
      <c r="T4204" s="71"/>
      <c r="U4204" s="71"/>
      <c r="V4204" s="71"/>
      <c r="W4204" s="71"/>
    </row>
    <row r="4205" spans="20:23" x14ac:dyDescent="0.25">
      <c r="T4205" s="71"/>
      <c r="U4205" s="71"/>
      <c r="V4205" s="71"/>
      <c r="W4205" s="71"/>
    </row>
    <row r="4206" spans="20:23" x14ac:dyDescent="0.25">
      <c r="T4206" s="71"/>
      <c r="U4206" s="71"/>
      <c r="V4206" s="71"/>
      <c r="W4206" s="71"/>
    </row>
    <row r="4207" spans="20:23" x14ac:dyDescent="0.25">
      <c r="T4207" s="71"/>
      <c r="U4207" s="71"/>
      <c r="V4207" s="71"/>
      <c r="W4207" s="71"/>
    </row>
    <row r="4208" spans="20:23" x14ac:dyDescent="0.25">
      <c r="T4208" s="71"/>
      <c r="U4208" s="71"/>
      <c r="V4208" s="71"/>
      <c r="W4208" s="71"/>
    </row>
    <row r="4209" spans="20:23" x14ac:dyDescent="0.25">
      <c r="T4209" s="71"/>
      <c r="U4209" s="71"/>
      <c r="V4209" s="71"/>
      <c r="W4209" s="71"/>
    </row>
    <row r="4210" spans="20:23" x14ac:dyDescent="0.25">
      <c r="T4210" s="71"/>
      <c r="U4210" s="71"/>
      <c r="V4210" s="71"/>
      <c r="W4210" s="71"/>
    </row>
    <row r="4211" spans="20:23" x14ac:dyDescent="0.25">
      <c r="T4211" s="71"/>
      <c r="U4211" s="71"/>
      <c r="V4211" s="71"/>
      <c r="W4211" s="71"/>
    </row>
    <row r="4212" spans="20:23" x14ac:dyDescent="0.25">
      <c r="T4212" s="71"/>
      <c r="U4212" s="71"/>
      <c r="V4212" s="71"/>
      <c r="W4212" s="71"/>
    </row>
    <row r="4213" spans="20:23" x14ac:dyDescent="0.25">
      <c r="T4213" s="71"/>
      <c r="U4213" s="71"/>
      <c r="V4213" s="71"/>
      <c r="W4213" s="71"/>
    </row>
    <row r="4214" spans="20:23" x14ac:dyDescent="0.25">
      <c r="T4214" s="71"/>
      <c r="U4214" s="71"/>
      <c r="V4214" s="71"/>
      <c r="W4214" s="71"/>
    </row>
    <row r="4215" spans="20:23" x14ac:dyDescent="0.25">
      <c r="T4215" s="71"/>
      <c r="U4215" s="71"/>
      <c r="V4215" s="71"/>
      <c r="W4215" s="71"/>
    </row>
    <row r="4216" spans="20:23" x14ac:dyDescent="0.25">
      <c r="T4216" s="71"/>
      <c r="U4216" s="71"/>
      <c r="V4216" s="71"/>
      <c r="W4216" s="71"/>
    </row>
    <row r="4217" spans="20:23" x14ac:dyDescent="0.25">
      <c r="T4217" s="71"/>
      <c r="U4217" s="71"/>
      <c r="V4217" s="71"/>
      <c r="W4217" s="71"/>
    </row>
    <row r="4218" spans="20:23" x14ac:dyDescent="0.25">
      <c r="T4218" s="71"/>
      <c r="U4218" s="71"/>
      <c r="V4218" s="71"/>
      <c r="W4218" s="71"/>
    </row>
    <row r="4219" spans="20:23" x14ac:dyDescent="0.25">
      <c r="T4219" s="71"/>
      <c r="U4219" s="71"/>
      <c r="V4219" s="71"/>
      <c r="W4219" s="71"/>
    </row>
    <row r="4220" spans="20:23" x14ac:dyDescent="0.25">
      <c r="T4220" s="71"/>
      <c r="U4220" s="71"/>
      <c r="V4220" s="71"/>
      <c r="W4220" s="71"/>
    </row>
    <row r="4221" spans="20:23" x14ac:dyDescent="0.25">
      <c r="T4221" s="71"/>
      <c r="U4221" s="71"/>
      <c r="V4221" s="71"/>
      <c r="W4221" s="71"/>
    </row>
    <row r="4222" spans="20:23" x14ac:dyDescent="0.25">
      <c r="T4222" s="71"/>
      <c r="U4222" s="71"/>
      <c r="V4222" s="71"/>
      <c r="W4222" s="71"/>
    </row>
    <row r="4223" spans="20:23" x14ac:dyDescent="0.25">
      <c r="T4223" s="71"/>
      <c r="U4223" s="71"/>
      <c r="V4223" s="71"/>
      <c r="W4223" s="71"/>
    </row>
    <row r="4224" spans="20:23" x14ac:dyDescent="0.25">
      <c r="T4224" s="71"/>
      <c r="U4224" s="71"/>
      <c r="V4224" s="71"/>
      <c r="W4224" s="71"/>
    </row>
    <row r="4225" spans="20:23" x14ac:dyDescent="0.25">
      <c r="T4225" s="71"/>
      <c r="U4225" s="71"/>
      <c r="V4225" s="71"/>
      <c r="W4225" s="71"/>
    </row>
    <row r="4226" spans="20:23" x14ac:dyDescent="0.25">
      <c r="T4226" s="71"/>
      <c r="U4226" s="71"/>
      <c r="V4226" s="71"/>
      <c r="W4226" s="71"/>
    </row>
    <row r="4227" spans="20:23" x14ac:dyDescent="0.25">
      <c r="T4227" s="71"/>
      <c r="U4227" s="71"/>
      <c r="V4227" s="71"/>
      <c r="W4227" s="71"/>
    </row>
    <row r="4228" spans="20:23" x14ac:dyDescent="0.25">
      <c r="T4228" s="71"/>
      <c r="U4228" s="71"/>
      <c r="V4228" s="71"/>
      <c r="W4228" s="71"/>
    </row>
    <row r="4229" spans="20:23" x14ac:dyDescent="0.25">
      <c r="T4229" s="71"/>
      <c r="U4229" s="71"/>
      <c r="V4229" s="71"/>
      <c r="W4229" s="71"/>
    </row>
    <row r="4230" spans="20:23" x14ac:dyDescent="0.25">
      <c r="T4230" s="71"/>
      <c r="U4230" s="71"/>
      <c r="V4230" s="71"/>
      <c r="W4230" s="71"/>
    </row>
    <row r="4231" spans="20:23" x14ac:dyDescent="0.25">
      <c r="T4231" s="71"/>
      <c r="U4231" s="71"/>
      <c r="V4231" s="71"/>
      <c r="W4231" s="71"/>
    </row>
    <row r="4232" spans="20:23" x14ac:dyDescent="0.25">
      <c r="T4232" s="71"/>
      <c r="U4232" s="71"/>
      <c r="V4232" s="71"/>
      <c r="W4232" s="71"/>
    </row>
    <row r="4233" spans="20:23" x14ac:dyDescent="0.25">
      <c r="T4233" s="71"/>
      <c r="U4233" s="71"/>
      <c r="V4233" s="71"/>
      <c r="W4233" s="71"/>
    </row>
    <row r="4234" spans="20:23" x14ac:dyDescent="0.25">
      <c r="T4234" s="71"/>
      <c r="U4234" s="71"/>
      <c r="V4234" s="71"/>
      <c r="W4234" s="71"/>
    </row>
    <row r="4235" spans="20:23" x14ac:dyDescent="0.25">
      <c r="T4235" s="71"/>
      <c r="U4235" s="71"/>
      <c r="V4235" s="71"/>
      <c r="W4235" s="71"/>
    </row>
    <row r="4236" spans="20:23" x14ac:dyDescent="0.25">
      <c r="T4236" s="71"/>
      <c r="U4236" s="71"/>
      <c r="V4236" s="71"/>
      <c r="W4236" s="71"/>
    </row>
    <row r="4237" spans="20:23" x14ac:dyDescent="0.25">
      <c r="T4237" s="71"/>
      <c r="U4237" s="71"/>
      <c r="V4237" s="71"/>
      <c r="W4237" s="71"/>
    </row>
    <row r="4238" spans="20:23" x14ac:dyDescent="0.25">
      <c r="T4238" s="71"/>
      <c r="U4238" s="71"/>
      <c r="V4238" s="71"/>
      <c r="W4238" s="71"/>
    </row>
  </sheetData>
  <mergeCells count="6">
    <mergeCell ref="I76:J76"/>
    <mergeCell ref="I75:J75"/>
    <mergeCell ref="I55:K55"/>
    <mergeCell ref="I56:K56"/>
    <mergeCell ref="I57:K57"/>
    <mergeCell ref="I58:K58"/>
  </mergeCells>
  <pageMargins left="0.7" right="0.7" top="0.75" bottom="0.75" header="0.3" footer="0.3"/>
  <pageSetup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6" tint="0.39997558519241921"/>
  </sheetPr>
  <dimension ref="A2:O264"/>
  <sheetViews>
    <sheetView zoomScale="75" zoomScaleNormal="75" workbookViewId="0">
      <pane ySplit="11" topLeftCell="A27" activePane="bottomLeft" state="frozen"/>
      <selection activeCell="I56" sqref="I56"/>
      <selection pane="bottomLeft" activeCell="K27" sqref="K27"/>
    </sheetView>
  </sheetViews>
  <sheetFormatPr defaultRowHeight="15" x14ac:dyDescent="0.25"/>
  <cols>
    <col min="1" max="1" width="7" customWidth="1"/>
    <col min="2" max="2" width="21.42578125" customWidth="1"/>
    <col min="3" max="4" width="21.5703125" customWidth="1"/>
    <col min="5" max="5" width="21.42578125" customWidth="1"/>
    <col min="6" max="7" width="21.5703125" customWidth="1"/>
    <col min="8" max="8" width="2" customWidth="1"/>
    <col min="10" max="10" width="7.85546875" style="124" customWidth="1"/>
    <col min="11" max="11" width="20.5703125" style="125" bestFit="1" customWidth="1"/>
    <col min="12" max="12" width="11.7109375" bestFit="1" customWidth="1"/>
  </cols>
  <sheetData>
    <row r="2" spans="1:9" ht="15.75" thickBot="1" x14ac:dyDescent="0.3">
      <c r="A2" s="5"/>
      <c r="B2" s="4"/>
      <c r="C2" s="4"/>
      <c r="D2" s="8"/>
      <c r="E2" s="8"/>
      <c r="F2" s="8"/>
      <c r="G2" s="8"/>
      <c r="H2" s="10"/>
    </row>
    <row r="3" spans="1:9" x14ac:dyDescent="0.25">
      <c r="A3" s="5"/>
      <c r="B3" s="4"/>
      <c r="C3" s="45"/>
      <c r="D3" s="74" t="s">
        <v>8</v>
      </c>
      <c r="E3" s="75" t="s">
        <v>6</v>
      </c>
      <c r="F3" s="76" t="s">
        <v>7</v>
      </c>
      <c r="G3" s="76" t="s">
        <v>2942</v>
      </c>
      <c r="H3" s="10"/>
    </row>
    <row r="4" spans="1:9" x14ac:dyDescent="0.25">
      <c r="A4" s="131" t="s">
        <v>517</v>
      </c>
      <c r="B4" s="132"/>
      <c r="C4" s="1" t="s">
        <v>502</v>
      </c>
      <c r="D4" s="72">
        <v>30000</v>
      </c>
      <c r="E4" s="40">
        <v>25000</v>
      </c>
      <c r="F4" s="68">
        <v>23333</v>
      </c>
      <c r="G4" s="68">
        <v>17000</v>
      </c>
      <c r="H4" s="91"/>
      <c r="I4" s="133" t="s">
        <v>2699</v>
      </c>
    </row>
    <row r="5" spans="1:9" ht="15.75" thickBot="1" x14ac:dyDescent="0.3">
      <c r="C5" s="1" t="s">
        <v>503</v>
      </c>
      <c r="D5" s="73">
        <f>D4/24</f>
        <v>1250</v>
      </c>
      <c r="E5" s="69">
        <f>E4/24</f>
        <v>1041.6666666666667</v>
      </c>
      <c r="F5" s="70">
        <f>F4/24</f>
        <v>972.20833333333337</v>
      </c>
      <c r="G5" s="70">
        <f>G4/24</f>
        <v>708.33333333333337</v>
      </c>
      <c r="H5" s="10"/>
    </row>
    <row r="6" spans="1:9" ht="6.75" customHeight="1" thickBot="1" x14ac:dyDescent="0.3">
      <c r="A6" s="5"/>
      <c r="B6" s="1"/>
      <c r="C6" s="1"/>
      <c r="D6" s="7"/>
      <c r="E6" s="7"/>
      <c r="F6" s="7"/>
      <c r="G6" s="7"/>
      <c r="H6" s="10"/>
    </row>
    <row r="7" spans="1:9" ht="15.75" thickBot="1" x14ac:dyDescent="0.3">
      <c r="A7" s="5"/>
      <c r="B7" s="1"/>
      <c r="C7" s="83" t="s">
        <v>499</v>
      </c>
      <c r="D7" s="80" t="s">
        <v>8</v>
      </c>
      <c r="E7" s="56" t="s">
        <v>6</v>
      </c>
      <c r="F7" s="56" t="s">
        <v>7</v>
      </c>
      <c r="G7" s="56" t="s">
        <v>2942</v>
      </c>
      <c r="H7" s="10"/>
    </row>
    <row r="8" spans="1:9" ht="15.75" thickBot="1" x14ac:dyDescent="0.3">
      <c r="A8" s="5"/>
      <c r="B8" s="57" t="s">
        <v>505</v>
      </c>
      <c r="C8" s="84">
        <f>COUNT('EDL Data'!G:G)</f>
        <v>355</v>
      </c>
      <c r="D8" s="81">
        <f>COUNTIF('EDL Data'!E:E,"Hopper")</f>
        <v>105</v>
      </c>
      <c r="E8" s="58">
        <f>COUNTIF('EDL Data'!E:E,"Hydraulic")</f>
        <v>143</v>
      </c>
      <c r="F8" s="58">
        <f>COUNTIF('EDL Data'!E:E,"Mechanical")</f>
        <v>95</v>
      </c>
      <c r="G8" s="58">
        <f>COUNTIF('EDL Data'!E:E,"R&amp;L")</f>
        <v>12</v>
      </c>
      <c r="H8" s="10"/>
    </row>
    <row r="9" spans="1:9" x14ac:dyDescent="0.25">
      <c r="A9" s="5"/>
      <c r="B9" s="42" t="s">
        <v>500</v>
      </c>
      <c r="C9" s="85">
        <f>SUM('EDL Data'!G:G)</f>
        <v>30231.767777777</v>
      </c>
      <c r="D9" s="82">
        <f>SUMIF('EDL Data'!E:E,"Hopper",'EDL Data'!G:G)</f>
        <v>9260.4191666665847</v>
      </c>
      <c r="E9" s="82">
        <f>SUMIF('EDL Data'!E:E,"Hydraulic",'EDL Data'!G:G)</f>
        <v>12631.618055554951</v>
      </c>
      <c r="F9" s="82">
        <f>SUMIF('EDL Data'!E:E,"Mechanical",'EDL Data'!G:G)</f>
        <v>7834.9169444443942</v>
      </c>
      <c r="G9" s="82">
        <f>SUMIF('EDL Data'!E:E,"R&amp;L",'EDL Data'!G:G)</f>
        <v>504.81361111106816</v>
      </c>
      <c r="H9" s="10"/>
    </row>
    <row r="10" spans="1:9" x14ac:dyDescent="0.25">
      <c r="A10" s="5"/>
      <c r="B10" s="47" t="s">
        <v>501</v>
      </c>
      <c r="C10" s="94">
        <f>C9/24</f>
        <v>1259.6569907407084</v>
      </c>
      <c r="D10" s="95">
        <f>D9/24</f>
        <v>385.85079861110768</v>
      </c>
      <c r="E10" s="96">
        <f>E9/24</f>
        <v>526.31741898145629</v>
      </c>
      <c r="F10" s="96">
        <f>F9/24</f>
        <v>326.45487268518309</v>
      </c>
      <c r="G10" s="96">
        <f>G9/24</f>
        <v>21.033900462961174</v>
      </c>
      <c r="H10" s="10"/>
    </row>
    <row r="11" spans="1:9" ht="15.75" thickBot="1" x14ac:dyDescent="0.3">
      <c r="A11" s="5"/>
      <c r="B11" s="43" t="s">
        <v>504</v>
      </c>
      <c r="C11" s="67">
        <f>SUM(D11:G11)</f>
        <v>32708207.285103351</v>
      </c>
      <c r="D11" s="79">
        <f>D10*D4</f>
        <v>11575523.95833323</v>
      </c>
      <c r="E11" s="54">
        <f>E10*E4</f>
        <v>13157935.474536408</v>
      </c>
      <c r="F11" s="54">
        <f>F10*F4</f>
        <v>7617171.5443633767</v>
      </c>
      <c r="G11" s="54">
        <f>G10*G4</f>
        <v>357576.30787033995</v>
      </c>
      <c r="H11" s="10"/>
    </row>
    <row r="12" spans="1:9" ht="9.75" customHeight="1" x14ac:dyDescent="0.25">
      <c r="A12" s="5"/>
      <c r="B12" s="77"/>
      <c r="C12" s="92"/>
      <c r="D12" s="78"/>
      <c r="E12" s="78"/>
      <c r="F12" s="78"/>
      <c r="G12" s="78"/>
      <c r="H12" s="10"/>
    </row>
    <row r="13" spans="1:9" ht="4.5" customHeight="1" thickBot="1" x14ac:dyDescent="0.3">
      <c r="A13" s="59"/>
      <c r="B13" s="50"/>
      <c r="C13" s="65"/>
      <c r="D13" s="86"/>
      <c r="E13" s="49"/>
      <c r="F13" s="49"/>
      <c r="G13" s="49"/>
      <c r="H13" s="10"/>
    </row>
    <row r="14" spans="1:9" x14ac:dyDescent="0.25">
      <c r="A14" s="276">
        <v>2017</v>
      </c>
      <c r="B14" s="44" t="s">
        <v>506</v>
      </c>
      <c r="C14" s="61">
        <f>SUM(D14:G14)</f>
        <v>44</v>
      </c>
      <c r="D14" s="87">
        <f>COUNTIFS('EDL Data'!E:E,"Hopper", 'EDL Data'!B:B, "2017")</f>
        <v>15</v>
      </c>
      <c r="E14" s="41">
        <f>COUNTIFS('EDL Data'!E:E,"Hydraulic", 'EDL Data'!B:B, "2017")</f>
        <v>19</v>
      </c>
      <c r="F14" s="41">
        <f>COUNTIFS('EDL Data'!E:E,"Mechanical", 'EDL Data'!B:B, "2017")</f>
        <v>10</v>
      </c>
      <c r="G14" s="41">
        <f>COUNTIFS('EDL Data'!E:E,"R&amp;L", 'EDL Data'!B:B, "2017")</f>
        <v>0</v>
      </c>
      <c r="H14" s="10"/>
    </row>
    <row r="15" spans="1:9" x14ac:dyDescent="0.25">
      <c r="A15" s="277"/>
      <c r="B15" s="45" t="s">
        <v>500</v>
      </c>
      <c r="C15" s="63">
        <f>SUM(D15:G15)</f>
        <v>3678.14</v>
      </c>
      <c r="D15" s="88">
        <f>SUMIFS('EDL Data'!G:G,'EDL Data'!E:E,"Hopper", 'EDL Data'!B:B, "2017")</f>
        <v>896.97</v>
      </c>
      <c r="E15" s="55">
        <f>SUMIFS('EDL Data'!G:G,'EDL Data'!E:E,"Hydraulic", 'EDL Data'!B:B, "2017")</f>
        <v>2253.5700000000002</v>
      </c>
      <c r="F15" s="55">
        <f>SUMIFS('EDL Data'!G:G,'EDL Data'!E:E,"Mechanical", 'EDL Data'!B:B, "2017")</f>
        <v>527.59999999999991</v>
      </c>
      <c r="G15" s="55">
        <f>SUMIFS('EDL Data'!G:G,'EDL Data'!E:E,"R&amp;L", 'EDL Data'!B:B, "2017")</f>
        <v>0</v>
      </c>
      <c r="H15" s="10"/>
    </row>
    <row r="16" spans="1:9" ht="15.75" thickBot="1" x14ac:dyDescent="0.3">
      <c r="A16" s="278"/>
      <c r="B16" s="46" t="s">
        <v>504</v>
      </c>
      <c r="C16" s="66">
        <f>SUM(D16:G16)</f>
        <v>3981618.3666666672</v>
      </c>
      <c r="D16" s="89">
        <f>D15*D5</f>
        <v>1121212.5</v>
      </c>
      <c r="E16" s="53">
        <f>E15*E5</f>
        <v>2347468.7500000005</v>
      </c>
      <c r="F16" s="53">
        <f>F15*F5</f>
        <v>512937.11666666658</v>
      </c>
      <c r="G16" s="53">
        <f>G15*G5</f>
        <v>0</v>
      </c>
      <c r="H16" s="10"/>
    </row>
    <row r="17" spans="1:8" ht="4.5" customHeight="1" thickBot="1" x14ac:dyDescent="0.3">
      <c r="A17" s="93"/>
      <c r="B17" s="51"/>
      <c r="C17" s="60"/>
      <c r="D17" s="90"/>
      <c r="E17" s="52"/>
      <c r="F17" s="52"/>
      <c r="G17" s="52"/>
      <c r="H17" s="10"/>
    </row>
    <row r="18" spans="1:8" x14ac:dyDescent="0.25">
      <c r="A18" s="276">
        <v>2018</v>
      </c>
      <c r="B18" s="44" t="s">
        <v>506</v>
      </c>
      <c r="C18" s="62">
        <f>SUM(D18:G18)</f>
        <v>67</v>
      </c>
      <c r="D18" s="87">
        <f>COUNTIFS('EDL Data'!E:E,"Hopper", 'EDL Data'!B:B, "2018")</f>
        <v>31</v>
      </c>
      <c r="E18" s="41">
        <f>COUNTIFS('EDL Data'!E:E,"Hydraulic", 'EDL Data'!B:B, "2018")</f>
        <v>30</v>
      </c>
      <c r="F18" s="41">
        <f>COUNTIFS('EDL Data'!E:E,"Mechanical", 'EDL Data'!B:B, "2018")</f>
        <v>6</v>
      </c>
      <c r="G18" s="41">
        <f>COUNTIFS('EDL Data'!E:E,"R&amp;L", 'EDL Data'!B:B, "2018")</f>
        <v>0</v>
      </c>
      <c r="H18" s="10"/>
    </row>
    <row r="19" spans="1:8" x14ac:dyDescent="0.25">
      <c r="A19" s="277"/>
      <c r="B19" s="45" t="s">
        <v>500</v>
      </c>
      <c r="C19" s="64">
        <f>SUM(D19:G19)</f>
        <v>7171.7299999999987</v>
      </c>
      <c r="D19" s="88">
        <f>SUMIFS('EDL Data'!G:G,'EDL Data'!E:E,"Hopper", 'EDL Data'!B:B, "2018")</f>
        <v>3448.1799999999994</v>
      </c>
      <c r="E19" s="55">
        <f>SUMIFS('EDL Data'!G:G,'EDL Data'!E:E,"Hydraulic", 'EDL Data'!B:B, "2018")</f>
        <v>3031.02</v>
      </c>
      <c r="F19" s="55">
        <f>SUMIFS('EDL Data'!G:G,'EDL Data'!E:E,"Mechanical", 'EDL Data'!B:B, "2018")</f>
        <v>692.53</v>
      </c>
      <c r="G19" s="55">
        <f>SUMIFS('EDL Data'!G:G,'EDL Data'!E:E,"R&amp;L", 'EDL Data'!B:B, "2018")</f>
        <v>0</v>
      </c>
      <c r="H19" s="10"/>
    </row>
    <row r="20" spans="1:8" ht="15.75" thickBot="1" x14ac:dyDescent="0.3">
      <c r="A20" s="278"/>
      <c r="B20" s="46" t="s">
        <v>504</v>
      </c>
      <c r="C20" s="66">
        <f>SUM(D20:G20)</f>
        <v>8140820.9370833328</v>
      </c>
      <c r="D20" s="89">
        <f>D19*D5</f>
        <v>4310224.9999999991</v>
      </c>
      <c r="E20" s="53">
        <f>E19*E5</f>
        <v>3157312.5</v>
      </c>
      <c r="F20" s="53">
        <f>F19*F5</f>
        <v>673283.43708333338</v>
      </c>
      <c r="G20" s="53">
        <f>G19*G5</f>
        <v>0</v>
      </c>
      <c r="H20" s="10"/>
    </row>
    <row r="21" spans="1:8" ht="4.5" customHeight="1" thickBot="1" x14ac:dyDescent="0.3">
      <c r="A21" s="93"/>
      <c r="B21" s="51"/>
      <c r="C21" s="60"/>
      <c r="D21" s="90"/>
      <c r="E21" s="52"/>
      <c r="F21" s="52"/>
      <c r="G21" s="52"/>
      <c r="H21" s="10"/>
    </row>
    <row r="22" spans="1:8" x14ac:dyDescent="0.25">
      <c r="A22" s="276">
        <v>2019</v>
      </c>
      <c r="B22" s="44" t="s">
        <v>506</v>
      </c>
      <c r="C22" s="62">
        <f>SUM(D22:G22)</f>
        <v>65</v>
      </c>
      <c r="D22" s="87">
        <f>COUNTIFS('EDL Data'!E:E,"Hopper", 'EDL Data'!B:B, "2019")</f>
        <v>23</v>
      </c>
      <c r="E22" s="41">
        <f>COUNTIFS('EDL Data'!E:E,"Hydraulic", 'EDL Data'!B:B, "2019")</f>
        <v>23</v>
      </c>
      <c r="F22" s="41">
        <f>COUNTIFS('EDL Data'!E:E,"Mechanical", 'EDL Data'!B:B, "2019")</f>
        <v>19</v>
      </c>
      <c r="G22" s="41">
        <f>COUNTIFS('EDL Data'!E:E,"R&amp;L", 'EDL Data'!B:B, "2019")</f>
        <v>0</v>
      </c>
      <c r="H22" s="10"/>
    </row>
    <row r="23" spans="1:8" x14ac:dyDescent="0.25">
      <c r="A23" s="277"/>
      <c r="B23" s="45" t="s">
        <v>500</v>
      </c>
      <c r="C23" s="64">
        <f>SUM(D23:G23)</f>
        <v>6985.9</v>
      </c>
      <c r="D23" s="88">
        <f>SUMIFS('EDL Data'!G:G,'EDL Data'!E:E,"Hopper", 'EDL Data'!B:B, "2019")</f>
        <v>2377</v>
      </c>
      <c r="E23" s="55">
        <f>SUMIFS('EDL Data'!G:G,'EDL Data'!E:E,"Hydraulic", 'EDL Data'!B:B, "2019")</f>
        <v>2174.2099999999996</v>
      </c>
      <c r="F23" s="55">
        <f>SUMIFS('EDL Data'!G:G,'EDL Data'!E:E,"Mechanical", 'EDL Data'!B:B, "2019")</f>
        <v>2434.69</v>
      </c>
      <c r="G23" s="55">
        <f>SUMIFS('EDL Data'!G:G,'EDL Data'!E:E,"R&amp;L", 'EDL Data'!B:B, "2019")</f>
        <v>0</v>
      </c>
      <c r="H23" s="10"/>
    </row>
    <row r="24" spans="1:8" ht="15.75" thickBot="1" x14ac:dyDescent="0.3">
      <c r="A24" s="278"/>
      <c r="B24" s="46" t="s">
        <v>507</v>
      </c>
      <c r="C24" s="66">
        <f>SUM(D24:G24)</f>
        <v>7603077.9904166665</v>
      </c>
      <c r="D24" s="89">
        <f>D23*D5</f>
        <v>2971250</v>
      </c>
      <c r="E24" s="53">
        <f>E23*E5</f>
        <v>2264802.083333333</v>
      </c>
      <c r="F24" s="53">
        <f>F23*F5</f>
        <v>2367025.9070833335</v>
      </c>
      <c r="G24" s="53">
        <f>G23*G5</f>
        <v>0</v>
      </c>
      <c r="H24" s="13"/>
    </row>
    <row r="25" spans="1:8" ht="4.5" customHeight="1" thickBot="1" x14ac:dyDescent="0.3">
      <c r="A25" s="93"/>
      <c r="B25" s="51"/>
      <c r="C25" s="60"/>
      <c r="D25" s="90"/>
      <c r="E25" s="52"/>
      <c r="F25" s="52"/>
      <c r="G25" s="52"/>
      <c r="H25" s="13"/>
    </row>
    <row r="26" spans="1:8" x14ac:dyDescent="0.25">
      <c r="A26" s="276">
        <v>2020</v>
      </c>
      <c r="B26" s="44" t="s">
        <v>506</v>
      </c>
      <c r="C26" s="62">
        <f>SUM(D26:G26)</f>
        <v>48</v>
      </c>
      <c r="D26" s="87">
        <f>COUNTIFS('EDL Data'!E:E,"Hopper", 'EDL Data'!B:B, "2020")</f>
        <v>12</v>
      </c>
      <c r="E26" s="41">
        <f>COUNTIFS('EDL Data'!E:E,"Hydraulic", 'EDL Data'!B:B, "2020")</f>
        <v>26</v>
      </c>
      <c r="F26" s="41">
        <f>COUNTIFS('EDL Data'!E:E,"Mechanical", 'EDL Data'!B:B, "2020")</f>
        <v>10</v>
      </c>
      <c r="G26" s="41">
        <f>COUNTIFS('EDL Data'!E:E,"R&amp;L", 'EDL Data'!B:B, "2020")</f>
        <v>0</v>
      </c>
      <c r="H26" s="13"/>
    </row>
    <row r="27" spans="1:8" x14ac:dyDescent="0.25">
      <c r="A27" s="277"/>
      <c r="B27" s="45" t="s">
        <v>500</v>
      </c>
      <c r="C27" s="64">
        <f>SUM(D27:G27)</f>
        <v>3294.0561111109887</v>
      </c>
      <c r="D27" s="88">
        <f>SUMIFS('EDL Data'!G:G,'EDL Data'!E:E,"Hopper", 'EDL Data'!B:B, "2020")</f>
        <v>865.72249999994642</v>
      </c>
      <c r="E27" s="55">
        <f>SUMIFS('EDL Data'!G:G,'EDL Data'!E:E,"Hydraulic", 'EDL Data'!B:B, "2020")</f>
        <v>1964.9999999998392</v>
      </c>
      <c r="F27" s="55">
        <f>SUMIFS('EDL Data'!G:G,'EDL Data'!E:E,"Mechanical", 'EDL Data'!B:B, "2020")</f>
        <v>463.3336111112032</v>
      </c>
      <c r="G27" s="55">
        <f>SUMIFS('EDL Data'!G:G,'EDL Data'!E:E,"R&amp;L", 'EDL Data'!B:B, "2020")</f>
        <v>0</v>
      </c>
      <c r="H27" s="13"/>
    </row>
    <row r="28" spans="1:8" ht="15.75" thickBot="1" x14ac:dyDescent="0.3">
      <c r="A28" s="278"/>
      <c r="B28" s="48" t="s">
        <v>504</v>
      </c>
      <c r="C28" s="67">
        <f>SUM(D28:G28)</f>
        <v>3579484.9228355028</v>
      </c>
      <c r="D28" s="89">
        <f>D27*D5</f>
        <v>1082153.1249999329</v>
      </c>
      <c r="E28" s="53">
        <f>E27*E5</f>
        <v>2046874.9999998326</v>
      </c>
      <c r="F28" s="53">
        <f>F27*F5</f>
        <v>450456.7978357377</v>
      </c>
      <c r="G28" s="53">
        <f>G27*G5</f>
        <v>0</v>
      </c>
      <c r="H28" s="13"/>
    </row>
    <row r="29" spans="1:8" ht="4.5" customHeight="1" thickBot="1" x14ac:dyDescent="0.3">
      <c r="A29" s="59"/>
      <c r="B29" s="50"/>
      <c r="C29" s="65"/>
      <c r="D29" s="86"/>
      <c r="E29" s="49"/>
      <c r="F29" s="49"/>
      <c r="G29" s="49"/>
      <c r="H29" s="10"/>
    </row>
    <row r="30" spans="1:8" x14ac:dyDescent="0.25">
      <c r="A30" s="276">
        <v>2021</v>
      </c>
      <c r="B30" s="44" t="s">
        <v>506</v>
      </c>
      <c r="C30" s="61">
        <f>SUM(D30:G30)</f>
        <v>82</v>
      </c>
      <c r="D30" s="87">
        <f>COUNTIFS('EDL Data'!E:E,"Hopper", 'EDL Data'!B:B, "2021")</f>
        <v>16</v>
      </c>
      <c r="E30" s="41">
        <f>COUNTIFS('EDL Data'!E:E,"Hydraulic", 'EDL Data'!B:B, "2021")</f>
        <v>28</v>
      </c>
      <c r="F30" s="41">
        <f>COUNTIFS('EDL Data'!E:E,"Mechanical", 'EDL Data'!B:B, "2021")</f>
        <v>30</v>
      </c>
      <c r="G30" s="41">
        <f>COUNTIFS('EDL Data'!E:E,"R&amp;L", 'EDL Data'!B:B, "2021")</f>
        <v>8</v>
      </c>
      <c r="H30" s="10"/>
    </row>
    <row r="31" spans="1:8" x14ac:dyDescent="0.25">
      <c r="A31" s="277"/>
      <c r="B31" s="45" t="s">
        <v>500</v>
      </c>
      <c r="C31" s="63">
        <f>SUM(D31:G31)</f>
        <v>5435.4919444439483</v>
      </c>
      <c r="D31" s="88">
        <f>SUMIFS('EDL Data'!G:G,'EDL Data'!E:E,"Hopper", 'EDL Data'!B:B, "2021")</f>
        <v>1049.7230555554875</v>
      </c>
      <c r="E31" s="55">
        <f>SUMIFS('EDL Data'!G:G,'EDL Data'!E:E,"Hydraulic", 'EDL Data'!B:B, "2021")</f>
        <v>1711.3974999996717</v>
      </c>
      <c r="F31" s="55">
        <f>SUMIFS('EDL Data'!G:G,'EDL Data'!E:E,"Mechanical", 'EDL Data'!B:B, "2021")</f>
        <v>2384.4741666666814</v>
      </c>
      <c r="G31" s="55">
        <f>SUMIFS('EDL Data'!G:G,'EDL Data'!E:E,"R&amp;L", 'EDL Data'!B:B, "2021")</f>
        <v>289.89722222210838</v>
      </c>
      <c r="H31" s="10"/>
    </row>
    <row r="32" spans="1:8" ht="15.75" thickBot="1" x14ac:dyDescent="0.3">
      <c r="A32" s="278"/>
      <c r="B32" s="46" t="s">
        <v>504</v>
      </c>
      <c r="C32" s="66">
        <f>SUM(D32:G32)</f>
        <v>5618409.069802748</v>
      </c>
      <c r="D32" s="89">
        <f>D31*D5</f>
        <v>1312153.8194443593</v>
      </c>
      <c r="E32" s="53">
        <f>E31*E5</f>
        <v>1782705.7291663247</v>
      </c>
      <c r="F32" s="53">
        <f>F31*F5</f>
        <v>2318205.6554514035</v>
      </c>
      <c r="G32" s="53">
        <f>G31*G5</f>
        <v>205343.86574066011</v>
      </c>
      <c r="H32" s="10"/>
    </row>
    <row r="33" spans="1:12" ht="4.5" customHeight="1" thickBot="1" x14ac:dyDescent="0.3">
      <c r="A33" s="93"/>
      <c r="B33" s="51"/>
      <c r="C33" s="60"/>
      <c r="D33" s="90"/>
      <c r="E33" s="52"/>
      <c r="F33" s="52"/>
      <c r="G33" s="52"/>
      <c r="H33" s="10"/>
    </row>
    <row r="34" spans="1:12" x14ac:dyDescent="0.25">
      <c r="A34" s="276">
        <v>2022</v>
      </c>
      <c r="B34" s="44" t="s">
        <v>506</v>
      </c>
      <c r="C34" s="62">
        <f>SUM(D34:G34)</f>
        <v>49</v>
      </c>
      <c r="D34" s="87">
        <f>COUNTIFS('EDL Data'!E:E,"Hopper", 'EDL Data'!B:B, "2022")</f>
        <v>8</v>
      </c>
      <c r="E34" s="41">
        <f>COUNTIFS('EDL Data'!E:E,"Hydraulic", 'EDL Data'!B:B, "2022")</f>
        <v>17</v>
      </c>
      <c r="F34" s="41">
        <f>COUNTIFS('EDL Data'!E:E,"Mechanical", 'EDL Data'!B:B, "2022")</f>
        <v>20</v>
      </c>
      <c r="G34" s="41">
        <f>COUNTIFS('EDL Data'!E:E,"R&amp;L", 'EDL Data'!B:B, "2022")</f>
        <v>4</v>
      </c>
      <c r="H34" s="10"/>
    </row>
    <row r="35" spans="1:12" x14ac:dyDescent="0.25">
      <c r="A35" s="277"/>
      <c r="B35" s="45" t="s">
        <v>500</v>
      </c>
      <c r="C35" s="64">
        <f>SUM(D35:G35)</f>
        <v>3666.4497222220525</v>
      </c>
      <c r="D35" s="88">
        <f>SUMIFS('EDL Data'!G:G,'EDL Data'!E:E,"Hopper", 'EDL Data'!B:B, "2022")</f>
        <v>622.82361111114733</v>
      </c>
      <c r="E35" s="55">
        <f>SUMIFS('EDL Data'!G:G,'EDL Data'!E:E,"Hydraulic", 'EDL Data'!B:B, "2022")</f>
        <v>1496.4205555554363</v>
      </c>
      <c r="F35" s="55">
        <f>SUMIFS('EDL Data'!G:G,'EDL Data'!E:E,"Mechanical", 'EDL Data'!B:B, "2022")</f>
        <v>1332.2891666665091</v>
      </c>
      <c r="G35" s="55">
        <f>SUMIFS('EDL Data'!G:G,'EDL Data'!E:E,"R&amp;L", 'EDL Data'!B:B, "2022")</f>
        <v>214.91638888895977</v>
      </c>
      <c r="H35" s="10"/>
    </row>
    <row r="36" spans="1:12" ht="15.75" thickBot="1" x14ac:dyDescent="0.3">
      <c r="A36" s="278"/>
      <c r="B36" s="46" t="s">
        <v>504</v>
      </c>
      <c r="C36" s="66">
        <f>SUM(D36:G36)</f>
        <v>3784795.9982984294</v>
      </c>
      <c r="D36" s="89">
        <f>D35*D5</f>
        <v>778529.51388893416</v>
      </c>
      <c r="E36" s="53">
        <f>E35*E5</f>
        <v>1558771.412036913</v>
      </c>
      <c r="F36" s="53">
        <f>F35*F5</f>
        <v>1295262.6302429023</v>
      </c>
      <c r="G36" s="53">
        <f>G35*G5</f>
        <v>152232.44212967984</v>
      </c>
      <c r="H36" s="10"/>
    </row>
    <row r="37" spans="1:12" ht="4.5" customHeight="1" thickBot="1" x14ac:dyDescent="0.3">
      <c r="A37" s="93"/>
      <c r="B37" s="51"/>
      <c r="C37" s="60"/>
      <c r="D37" s="90"/>
      <c r="E37" s="52"/>
      <c r="F37" s="52"/>
      <c r="G37" s="52"/>
      <c r="H37" s="10"/>
    </row>
    <row r="38" spans="1:12" x14ac:dyDescent="0.25">
      <c r="A38" s="276">
        <v>2023</v>
      </c>
      <c r="B38" s="44" t="s">
        <v>506</v>
      </c>
      <c r="C38" s="62">
        <f>SUM(D38:G38)</f>
        <v>0</v>
      </c>
      <c r="D38" s="87">
        <f>COUNTIFS('EDL Data'!E:E,"Hopper", 'EDL Data'!B:B, "2023")</f>
        <v>0</v>
      </c>
      <c r="E38" s="41">
        <f>COUNTIFS('EDL Data'!E:E,"Hydraulic", 'EDL Data'!B:B, "2023")</f>
        <v>0</v>
      </c>
      <c r="F38" s="41">
        <f>COUNTIFS('EDL Data'!E:E,"Mechanical", 'EDL Data'!B:B, "2023")</f>
        <v>0</v>
      </c>
      <c r="G38" s="41">
        <f>COUNTIFS('EDL Data'!E:E,"R&amp;L", 'EDL Data'!B:B, "2023")</f>
        <v>0</v>
      </c>
      <c r="H38" s="10"/>
    </row>
    <row r="39" spans="1:12" x14ac:dyDescent="0.25">
      <c r="A39" s="277"/>
      <c r="B39" s="45" t="s">
        <v>500</v>
      </c>
      <c r="C39" s="64">
        <f>SUM(D39:G39)</f>
        <v>0</v>
      </c>
      <c r="D39" s="88">
        <f>SUMIFS('EDL Data'!G:G,'EDL Data'!E:E,"Hopper", 'EDL Data'!B:B, "2023")</f>
        <v>0</v>
      </c>
      <c r="E39" s="55">
        <f>SUMIFS('EDL Data'!G:G,'EDL Data'!E:E,"Hydraulic", 'EDL Data'!B:B, "2023")</f>
        <v>0</v>
      </c>
      <c r="F39" s="55">
        <f>SUMIFS('EDL Data'!G:G,'EDL Data'!E:E,"Mechanical", 'EDL Data'!B:B, "2023")</f>
        <v>0</v>
      </c>
      <c r="G39" s="55">
        <f>SUMIFS('EDL Data'!G:G,'EDL Data'!E:E,"R&amp;L", 'EDL Data'!B:B, "2023")</f>
        <v>0</v>
      </c>
      <c r="H39" s="10"/>
    </row>
    <row r="40" spans="1:12" ht="15.75" thickBot="1" x14ac:dyDescent="0.3">
      <c r="A40" s="278"/>
      <c r="B40" s="46" t="s">
        <v>507</v>
      </c>
      <c r="C40" s="66">
        <f>SUM(D40:G40)</f>
        <v>0</v>
      </c>
      <c r="D40" s="89">
        <f>D39*D5</f>
        <v>0</v>
      </c>
      <c r="E40" s="53">
        <f>E39*E5</f>
        <v>0</v>
      </c>
      <c r="F40" s="53">
        <f>F39*F5</f>
        <v>0</v>
      </c>
      <c r="G40" s="53">
        <f>G39*G5</f>
        <v>0</v>
      </c>
      <c r="H40" s="13"/>
      <c r="J40" s="275" t="s">
        <v>2667</v>
      </c>
      <c r="K40" s="275"/>
      <c r="L40" s="275"/>
    </row>
    <row r="41" spans="1:12" ht="4.5" customHeight="1" thickBot="1" x14ac:dyDescent="0.3">
      <c r="A41" s="93"/>
      <c r="B41" s="51"/>
      <c r="C41" s="60"/>
      <c r="D41" s="90"/>
      <c r="E41" s="52"/>
      <c r="F41" s="52"/>
      <c r="G41" s="52"/>
      <c r="H41" s="13"/>
    </row>
    <row r="42" spans="1:12" x14ac:dyDescent="0.25">
      <c r="A42" s="276">
        <v>2024</v>
      </c>
      <c r="B42" s="44" t="s">
        <v>506</v>
      </c>
      <c r="C42" s="62">
        <f>SUM(D42:G42)</f>
        <v>0</v>
      </c>
      <c r="D42" s="87">
        <f>COUNTIFS('EDL Data'!E:E,"Hopper", 'EDL Data'!B:B, "2024")</f>
        <v>0</v>
      </c>
      <c r="E42" s="41">
        <f>COUNTIFS('EDL Data'!E:E,"Hydraulic", 'EDL Data'!B:B, "2024")</f>
        <v>0</v>
      </c>
      <c r="F42" s="41">
        <f>COUNTIFS('EDL Data'!E:E,"Mechanical", 'EDL Data'!B:B, "2024")</f>
        <v>0</v>
      </c>
      <c r="G42" s="41">
        <f>COUNTIFS('EDL Data'!E:E,"R&amp;L", 'EDL Data'!B:B, "2024")</f>
        <v>0</v>
      </c>
      <c r="H42" s="13"/>
      <c r="J42" s="128" t="s">
        <v>2666</v>
      </c>
      <c r="K42" s="129" t="s">
        <v>0</v>
      </c>
      <c r="L42" s="129" t="s">
        <v>5</v>
      </c>
    </row>
    <row r="43" spans="1:12" x14ac:dyDescent="0.25">
      <c r="A43" s="277"/>
      <c r="B43" s="45" t="s">
        <v>500</v>
      </c>
      <c r="C43" s="64">
        <f>SUM(D43:G43)</f>
        <v>0</v>
      </c>
      <c r="D43" s="88">
        <f>SUMIFS('EDL Data'!G:G,'EDL Data'!E:E,"Hopper", 'EDL Data'!B:B, "2024")</f>
        <v>0</v>
      </c>
      <c r="E43" s="55">
        <f>SUMIFS('EDL Data'!G:G,'EDL Data'!E:E,"Hydraulic", 'EDL Data'!B:B, "2024")</f>
        <v>0</v>
      </c>
      <c r="F43" s="55">
        <f>SUMIFS('EDL Data'!G:G,'EDL Data'!E:E,"Mechanical", 'EDL Data'!B:B, "2024")</f>
        <v>0</v>
      </c>
      <c r="G43" s="55">
        <f>SUMIFS('EDL Data'!G:G,'EDL Data'!E:E,"R&amp;L", 'EDL Data'!B:B, "2024")</f>
        <v>0</v>
      </c>
      <c r="H43" s="13"/>
      <c r="J43" s="123" t="s">
        <v>1677</v>
      </c>
      <c r="K43" s="125" t="s">
        <v>2</v>
      </c>
      <c r="L43" t="s">
        <v>6</v>
      </c>
    </row>
    <row r="44" spans="1:12" ht="15.75" thickBot="1" x14ac:dyDescent="0.3">
      <c r="A44" s="278"/>
      <c r="B44" s="48" t="s">
        <v>504</v>
      </c>
      <c r="C44" s="67">
        <f>SUM(D44:G44)</f>
        <v>0</v>
      </c>
      <c r="D44" s="89">
        <f>D43*D5</f>
        <v>0</v>
      </c>
      <c r="E44" s="53">
        <f>E43*E5</f>
        <v>0</v>
      </c>
      <c r="F44" s="53">
        <f>F43*F5</f>
        <v>0</v>
      </c>
      <c r="G44" s="53">
        <f>G43*G5</f>
        <v>0</v>
      </c>
      <c r="H44" s="13"/>
      <c r="J44" s="123" t="s">
        <v>1563</v>
      </c>
      <c r="K44" s="125" t="s">
        <v>10</v>
      </c>
      <c r="L44" t="s">
        <v>6</v>
      </c>
    </row>
    <row r="45" spans="1:12" x14ac:dyDescent="0.25">
      <c r="J45" s="123" t="s">
        <v>1614</v>
      </c>
      <c r="K45" s="125" t="s">
        <v>4</v>
      </c>
      <c r="L45" t="s">
        <v>6</v>
      </c>
    </row>
    <row r="46" spans="1:12" x14ac:dyDescent="0.25">
      <c r="J46" s="123" t="s">
        <v>1723</v>
      </c>
      <c r="K46" s="125" t="s">
        <v>9</v>
      </c>
      <c r="L46" t="s">
        <v>6</v>
      </c>
    </row>
    <row r="47" spans="1:12" x14ac:dyDescent="0.25">
      <c r="J47" s="123" t="s">
        <v>1584</v>
      </c>
      <c r="K47" s="125" t="s">
        <v>3</v>
      </c>
      <c r="L47" t="s">
        <v>6</v>
      </c>
    </row>
    <row r="48" spans="1:12" x14ac:dyDescent="0.25">
      <c r="J48" s="123" t="s">
        <v>1895</v>
      </c>
      <c r="K48" s="125" t="s">
        <v>626</v>
      </c>
      <c r="L48" t="s">
        <v>7</v>
      </c>
    </row>
    <row r="49" spans="10:12" x14ac:dyDescent="0.25">
      <c r="J49" s="123" t="s">
        <v>1541</v>
      </c>
      <c r="K49" s="125" t="s">
        <v>2283</v>
      </c>
      <c r="L49" t="s">
        <v>7</v>
      </c>
    </row>
    <row r="50" spans="10:12" x14ac:dyDescent="0.25">
      <c r="J50" s="123" t="s">
        <v>1541</v>
      </c>
      <c r="K50" s="125">
        <v>55</v>
      </c>
      <c r="L50" t="s">
        <v>7</v>
      </c>
    </row>
    <row r="51" spans="10:12" x14ac:dyDescent="0.25">
      <c r="J51" s="123" t="s">
        <v>1769</v>
      </c>
      <c r="K51" s="125" t="s">
        <v>2384</v>
      </c>
      <c r="L51" t="s">
        <v>7</v>
      </c>
    </row>
    <row r="52" spans="10:12" x14ac:dyDescent="0.25">
      <c r="J52" s="123" t="s">
        <v>1769</v>
      </c>
      <c r="K52" s="125">
        <v>53</v>
      </c>
      <c r="L52" t="s">
        <v>7</v>
      </c>
    </row>
    <row r="53" spans="10:12" x14ac:dyDescent="0.25">
      <c r="J53" s="123" t="s">
        <v>1711</v>
      </c>
      <c r="K53" s="125" t="s">
        <v>2385</v>
      </c>
      <c r="L53" t="s">
        <v>7</v>
      </c>
    </row>
    <row r="54" spans="10:12" x14ac:dyDescent="0.25">
      <c r="J54" s="123" t="s">
        <v>1711</v>
      </c>
      <c r="K54" s="125">
        <v>54</v>
      </c>
      <c r="L54" t="s">
        <v>7</v>
      </c>
    </row>
    <row r="55" spans="10:12" x14ac:dyDescent="0.25">
      <c r="J55" s="123" t="s">
        <v>2286</v>
      </c>
      <c r="K55" s="125" t="s">
        <v>2386</v>
      </c>
      <c r="L55" t="s">
        <v>7</v>
      </c>
    </row>
    <row r="56" spans="10:12" x14ac:dyDescent="0.25">
      <c r="J56" s="123" t="s">
        <v>2286</v>
      </c>
      <c r="K56" s="125">
        <v>58</v>
      </c>
      <c r="L56" t="s">
        <v>7</v>
      </c>
    </row>
    <row r="57" spans="10:12" x14ac:dyDescent="0.25">
      <c r="J57" s="123" t="s">
        <v>2039</v>
      </c>
      <c r="K57" s="125" t="s">
        <v>21</v>
      </c>
      <c r="L57" t="s">
        <v>8</v>
      </c>
    </row>
    <row r="58" spans="10:12" x14ac:dyDescent="0.25">
      <c r="J58" s="123" t="s">
        <v>2287</v>
      </c>
      <c r="K58" s="125" t="s">
        <v>17</v>
      </c>
      <c r="L58" t="s">
        <v>8</v>
      </c>
    </row>
    <row r="59" spans="10:12" x14ac:dyDescent="0.25">
      <c r="J59" s="123" t="s">
        <v>1774</v>
      </c>
      <c r="K59" s="125" t="s">
        <v>20</v>
      </c>
      <c r="L59" t="s">
        <v>8</v>
      </c>
    </row>
    <row r="60" spans="10:12" x14ac:dyDescent="0.25">
      <c r="J60" s="123" t="s">
        <v>1618</v>
      </c>
      <c r="K60" s="125" t="s">
        <v>19</v>
      </c>
      <c r="L60" t="s">
        <v>8</v>
      </c>
    </row>
    <row r="61" spans="10:12" x14ac:dyDescent="0.25">
      <c r="J61" s="123" t="s">
        <v>1992</v>
      </c>
      <c r="K61" s="125" t="s">
        <v>22</v>
      </c>
      <c r="L61" t="s">
        <v>8</v>
      </c>
    </row>
    <row r="62" spans="10:12" x14ac:dyDescent="0.25">
      <c r="J62" s="123" t="s">
        <v>2288</v>
      </c>
      <c r="K62" s="125" t="s">
        <v>18</v>
      </c>
      <c r="L62" t="s">
        <v>8</v>
      </c>
    </row>
    <row r="63" spans="10:12" x14ac:dyDescent="0.25">
      <c r="J63" s="123" t="s">
        <v>2289</v>
      </c>
      <c r="K63" s="125" t="s">
        <v>2387</v>
      </c>
      <c r="L63" t="s">
        <v>8</v>
      </c>
    </row>
    <row r="64" spans="10:12" x14ac:dyDescent="0.25">
      <c r="J64" s="123" t="s">
        <v>2290</v>
      </c>
      <c r="K64" s="125" t="s">
        <v>2388</v>
      </c>
    </row>
    <row r="65" spans="10:12" x14ac:dyDescent="0.25">
      <c r="J65" s="123" t="s">
        <v>1555</v>
      </c>
      <c r="K65" s="125" t="s">
        <v>2284</v>
      </c>
    </row>
    <row r="66" spans="10:12" x14ac:dyDescent="0.25">
      <c r="J66" s="123" t="s">
        <v>1468</v>
      </c>
      <c r="K66" s="125" t="s">
        <v>2389</v>
      </c>
      <c r="L66" t="s">
        <v>1309</v>
      </c>
    </row>
    <row r="67" spans="10:12" x14ac:dyDescent="0.25">
      <c r="J67" s="123" t="s">
        <v>2291</v>
      </c>
      <c r="K67" s="125" t="s">
        <v>2390</v>
      </c>
      <c r="L67" t="s">
        <v>1309</v>
      </c>
    </row>
    <row r="68" spans="10:12" x14ac:dyDescent="0.25">
      <c r="J68" s="123" t="s">
        <v>1696</v>
      </c>
      <c r="K68" s="125" t="s">
        <v>2391</v>
      </c>
      <c r="L68" t="s">
        <v>1309</v>
      </c>
    </row>
    <row r="69" spans="10:12" x14ac:dyDescent="0.25">
      <c r="J69" s="123" t="s">
        <v>2292</v>
      </c>
      <c r="K69" s="125" t="s">
        <v>2392</v>
      </c>
      <c r="L69" t="s">
        <v>1309</v>
      </c>
    </row>
    <row r="70" spans="10:12" x14ac:dyDescent="0.25">
      <c r="J70" s="123" t="s">
        <v>2293</v>
      </c>
      <c r="K70" s="125" t="s">
        <v>2393</v>
      </c>
      <c r="L70" t="s">
        <v>1309</v>
      </c>
    </row>
    <row r="71" spans="10:12" x14ac:dyDescent="0.25">
      <c r="J71" s="123" t="s">
        <v>2294</v>
      </c>
      <c r="K71" s="125" t="s">
        <v>2394</v>
      </c>
      <c r="L71" t="s">
        <v>1309</v>
      </c>
    </row>
    <row r="72" spans="10:12" x14ac:dyDescent="0.25">
      <c r="J72" s="123" t="s">
        <v>2295</v>
      </c>
      <c r="K72" s="125" t="s">
        <v>2395</v>
      </c>
      <c r="L72" t="s">
        <v>1309</v>
      </c>
    </row>
    <row r="73" spans="10:12" x14ac:dyDescent="0.25">
      <c r="J73" s="123" t="s">
        <v>1818</v>
      </c>
      <c r="K73" s="125" t="s">
        <v>2275</v>
      </c>
      <c r="L73" t="s">
        <v>1309</v>
      </c>
    </row>
    <row r="74" spans="10:12" x14ac:dyDescent="0.25">
      <c r="J74" s="123" t="s">
        <v>1872</v>
      </c>
      <c r="K74" s="125" t="s">
        <v>2276</v>
      </c>
    </row>
    <row r="75" spans="10:12" x14ac:dyDescent="0.25">
      <c r="J75" s="123" t="s">
        <v>2296</v>
      </c>
      <c r="K75" s="125" t="s">
        <v>2396</v>
      </c>
    </row>
    <row r="76" spans="10:12" x14ac:dyDescent="0.25">
      <c r="J76" s="123" t="s">
        <v>2297</v>
      </c>
      <c r="K76" s="125" t="s">
        <v>2397</v>
      </c>
    </row>
    <row r="77" spans="10:12" x14ac:dyDescent="0.25">
      <c r="J77" s="123" t="s">
        <v>2298</v>
      </c>
      <c r="K77" s="125" t="s">
        <v>2398</v>
      </c>
    </row>
    <row r="78" spans="10:12" x14ac:dyDescent="0.25">
      <c r="J78" s="123" t="s">
        <v>1569</v>
      </c>
      <c r="K78" s="125" t="s">
        <v>2399</v>
      </c>
    </row>
    <row r="79" spans="10:12" x14ac:dyDescent="0.25">
      <c r="J79" s="123" t="s">
        <v>1882</v>
      </c>
      <c r="K79" s="125" t="s">
        <v>2400</v>
      </c>
    </row>
    <row r="80" spans="10:12" x14ac:dyDescent="0.25">
      <c r="J80" s="123" t="s">
        <v>2299</v>
      </c>
      <c r="K80" s="125" t="s">
        <v>2401</v>
      </c>
    </row>
    <row r="81" spans="10:11" x14ac:dyDescent="0.25">
      <c r="J81" s="123" t="s">
        <v>2300</v>
      </c>
      <c r="K81" s="125" t="s">
        <v>2402</v>
      </c>
    </row>
    <row r="82" spans="10:11" x14ac:dyDescent="0.25">
      <c r="J82" s="123" t="s">
        <v>2301</v>
      </c>
      <c r="K82" s="125" t="s">
        <v>2403</v>
      </c>
    </row>
    <row r="83" spans="10:11" x14ac:dyDescent="0.25">
      <c r="J83" s="123" t="s">
        <v>2302</v>
      </c>
      <c r="K83" s="125" t="s">
        <v>2404</v>
      </c>
    </row>
    <row r="84" spans="10:11" x14ac:dyDescent="0.25">
      <c r="J84" s="123" t="s">
        <v>2303</v>
      </c>
      <c r="K84" s="125" t="s">
        <v>2405</v>
      </c>
    </row>
    <row r="85" spans="10:11" x14ac:dyDescent="0.25">
      <c r="J85" s="123" t="s">
        <v>2304</v>
      </c>
      <c r="K85" s="125" t="s">
        <v>2406</v>
      </c>
    </row>
    <row r="86" spans="10:11" x14ac:dyDescent="0.25">
      <c r="J86" s="123" t="s">
        <v>1813</v>
      </c>
      <c r="K86" s="125" t="s">
        <v>2278</v>
      </c>
    </row>
    <row r="87" spans="10:11" x14ac:dyDescent="0.25">
      <c r="J87" s="123" t="s">
        <v>2305</v>
      </c>
      <c r="K87" s="125" t="s">
        <v>2407</v>
      </c>
    </row>
    <row r="88" spans="10:11" x14ac:dyDescent="0.25">
      <c r="J88" s="123" t="s">
        <v>2306</v>
      </c>
      <c r="K88" s="125" t="s">
        <v>2408</v>
      </c>
    </row>
    <row r="89" spans="10:11" x14ac:dyDescent="0.25">
      <c r="J89" s="123" t="s">
        <v>2307</v>
      </c>
      <c r="K89" s="125" t="s">
        <v>2409</v>
      </c>
    </row>
    <row r="90" spans="10:11" x14ac:dyDescent="0.25">
      <c r="J90" s="123" t="s">
        <v>2308</v>
      </c>
      <c r="K90" s="125" t="s">
        <v>2410</v>
      </c>
    </row>
    <row r="91" spans="10:11" x14ac:dyDescent="0.25">
      <c r="J91" s="123" t="s">
        <v>2309</v>
      </c>
      <c r="K91" s="125" t="s">
        <v>2411</v>
      </c>
    </row>
    <row r="92" spans="10:11" x14ac:dyDescent="0.25">
      <c r="J92" s="123" t="s">
        <v>2310</v>
      </c>
      <c r="K92" s="125" t="s">
        <v>2412</v>
      </c>
    </row>
    <row r="93" spans="10:11" x14ac:dyDescent="0.25">
      <c r="J93" s="123" t="s">
        <v>2311</v>
      </c>
      <c r="K93" s="125" t="s">
        <v>2413</v>
      </c>
    </row>
    <row r="94" spans="10:11" x14ac:dyDescent="0.25">
      <c r="J94" s="123" t="s">
        <v>2312</v>
      </c>
      <c r="K94" s="125" t="s">
        <v>2414</v>
      </c>
    </row>
    <row r="95" spans="10:11" x14ac:dyDescent="0.25">
      <c r="J95" s="123" t="s">
        <v>2313</v>
      </c>
      <c r="K95" s="125" t="s">
        <v>2415</v>
      </c>
    </row>
    <row r="96" spans="10:11" x14ac:dyDescent="0.25">
      <c r="J96" s="123" t="s">
        <v>2314</v>
      </c>
      <c r="K96" s="125" t="s">
        <v>2416</v>
      </c>
    </row>
    <row r="97" spans="10:11" x14ac:dyDescent="0.25">
      <c r="J97" s="123" t="s">
        <v>2315</v>
      </c>
      <c r="K97" s="125" t="s">
        <v>2417</v>
      </c>
    </row>
    <row r="98" spans="10:11" x14ac:dyDescent="0.25">
      <c r="J98" s="123" t="s">
        <v>2316</v>
      </c>
      <c r="K98" s="125" t="s">
        <v>2418</v>
      </c>
    </row>
    <row r="99" spans="10:11" x14ac:dyDescent="0.25">
      <c r="J99" s="123" t="s">
        <v>2317</v>
      </c>
      <c r="K99" s="125" t="s">
        <v>2419</v>
      </c>
    </row>
    <row r="100" spans="10:11" x14ac:dyDescent="0.25">
      <c r="J100" s="123" t="s">
        <v>2318</v>
      </c>
      <c r="K100" s="125" t="s">
        <v>2420</v>
      </c>
    </row>
    <row r="101" spans="10:11" x14ac:dyDescent="0.25">
      <c r="J101" s="123" t="s">
        <v>2319</v>
      </c>
      <c r="K101" s="125" t="s">
        <v>2421</v>
      </c>
    </row>
    <row r="102" spans="10:11" x14ac:dyDescent="0.25">
      <c r="J102" s="123" t="s">
        <v>2320</v>
      </c>
      <c r="K102" s="125" t="s">
        <v>2422</v>
      </c>
    </row>
    <row r="103" spans="10:11" x14ac:dyDescent="0.25">
      <c r="J103" s="123" t="s">
        <v>2321</v>
      </c>
      <c r="K103" s="125" t="s">
        <v>2423</v>
      </c>
    </row>
    <row r="104" spans="10:11" x14ac:dyDescent="0.25">
      <c r="J104" s="123" t="s">
        <v>2322</v>
      </c>
      <c r="K104" s="125" t="s">
        <v>2424</v>
      </c>
    </row>
    <row r="105" spans="10:11" x14ac:dyDescent="0.25">
      <c r="J105" s="123" t="s">
        <v>2323</v>
      </c>
      <c r="K105" s="125" t="s">
        <v>2425</v>
      </c>
    </row>
    <row r="106" spans="10:11" x14ac:dyDescent="0.25">
      <c r="J106" s="123" t="s">
        <v>2324</v>
      </c>
      <c r="K106" s="125" t="s">
        <v>2426</v>
      </c>
    </row>
    <row r="107" spans="10:11" x14ac:dyDescent="0.25">
      <c r="J107" s="123" t="s">
        <v>1997</v>
      </c>
      <c r="K107" s="125" t="s">
        <v>2274</v>
      </c>
    </row>
    <row r="108" spans="10:11" x14ac:dyDescent="0.25">
      <c r="J108" s="123" t="s">
        <v>1930</v>
      </c>
      <c r="K108" s="125" t="s">
        <v>2277</v>
      </c>
    </row>
    <row r="109" spans="10:11" x14ac:dyDescent="0.25">
      <c r="J109" s="123" t="s">
        <v>2325</v>
      </c>
      <c r="K109" s="125" t="s">
        <v>2427</v>
      </c>
    </row>
    <row r="110" spans="10:11" x14ac:dyDescent="0.25">
      <c r="J110" s="123" t="s">
        <v>1731</v>
      </c>
      <c r="K110" s="125" t="s">
        <v>2282</v>
      </c>
    </row>
    <row r="111" spans="10:11" x14ac:dyDescent="0.25">
      <c r="J111" s="123" t="s">
        <v>2326</v>
      </c>
      <c r="K111" s="125" t="s">
        <v>2428</v>
      </c>
    </row>
    <row r="112" spans="10:11" x14ac:dyDescent="0.25">
      <c r="J112" s="123" t="s">
        <v>2327</v>
      </c>
      <c r="K112" s="125" t="s">
        <v>2429</v>
      </c>
    </row>
    <row r="113" spans="10:15" x14ac:dyDescent="0.25">
      <c r="J113" s="123" t="s">
        <v>2328</v>
      </c>
      <c r="K113" s="125" t="s">
        <v>2430</v>
      </c>
    </row>
    <row r="114" spans="10:15" x14ac:dyDescent="0.25">
      <c r="J114" s="123" t="s">
        <v>2329</v>
      </c>
      <c r="K114" s="125" t="s">
        <v>2431</v>
      </c>
    </row>
    <row r="115" spans="10:15" x14ac:dyDescent="0.25">
      <c r="J115" s="123" t="s">
        <v>2330</v>
      </c>
      <c r="K115" s="125" t="s">
        <v>2432</v>
      </c>
    </row>
    <row r="116" spans="10:15" x14ac:dyDescent="0.25">
      <c r="J116" s="123" t="s">
        <v>2331</v>
      </c>
      <c r="K116" s="125" t="s">
        <v>2433</v>
      </c>
    </row>
    <row r="117" spans="10:15" x14ac:dyDescent="0.25">
      <c r="J117" s="123" t="s">
        <v>2332</v>
      </c>
      <c r="K117" s="125" t="s">
        <v>2434</v>
      </c>
    </row>
    <row r="118" spans="10:15" x14ac:dyDescent="0.25">
      <c r="J118" s="123" t="s">
        <v>2333</v>
      </c>
      <c r="K118" s="125" t="s">
        <v>2435</v>
      </c>
    </row>
    <row r="119" spans="10:15" x14ac:dyDescent="0.25">
      <c r="J119" s="123" t="s">
        <v>2334</v>
      </c>
      <c r="K119" s="125" t="s">
        <v>2436</v>
      </c>
    </row>
    <row r="120" spans="10:15" x14ac:dyDescent="0.25">
      <c r="J120" s="123" t="s">
        <v>2335</v>
      </c>
      <c r="K120" s="125" t="s">
        <v>2437</v>
      </c>
    </row>
    <row r="121" spans="10:15" x14ac:dyDescent="0.25">
      <c r="J121" s="123" t="s">
        <v>2336</v>
      </c>
      <c r="K121" s="125" t="s">
        <v>2438</v>
      </c>
    </row>
    <row r="122" spans="10:15" x14ac:dyDescent="0.25">
      <c r="J122" s="123" t="s">
        <v>2337</v>
      </c>
      <c r="K122" s="125" t="s">
        <v>2439</v>
      </c>
    </row>
    <row r="123" spans="10:15" x14ac:dyDescent="0.25">
      <c r="J123" s="123" t="s">
        <v>2093</v>
      </c>
      <c r="K123" s="125" t="s">
        <v>2440</v>
      </c>
    </row>
    <row r="124" spans="10:15" x14ac:dyDescent="0.25">
      <c r="J124" s="123" t="s">
        <v>2338</v>
      </c>
      <c r="K124" s="125" t="s">
        <v>2441</v>
      </c>
    </row>
    <row r="125" spans="10:15" x14ac:dyDescent="0.25">
      <c r="J125" s="123" t="s">
        <v>2339</v>
      </c>
      <c r="K125" s="125" t="s">
        <v>2442</v>
      </c>
      <c r="O125" s="122"/>
    </row>
    <row r="126" spans="10:15" x14ac:dyDescent="0.25">
      <c r="J126" s="123" t="s">
        <v>2340</v>
      </c>
      <c r="K126" s="125" t="s">
        <v>2443</v>
      </c>
      <c r="O126" s="122"/>
    </row>
    <row r="127" spans="10:15" x14ac:dyDescent="0.25">
      <c r="J127" s="123" t="s">
        <v>1579</v>
      </c>
      <c r="K127" s="125" t="s">
        <v>2444</v>
      </c>
      <c r="O127" s="122"/>
    </row>
    <row r="128" spans="10:15" x14ac:dyDescent="0.25">
      <c r="J128" s="123" t="s">
        <v>1655</v>
      </c>
      <c r="K128" s="125" t="s">
        <v>2446</v>
      </c>
      <c r="O128" s="122"/>
    </row>
    <row r="129" spans="10:15" x14ac:dyDescent="0.25">
      <c r="J129" s="123" t="s">
        <v>2111</v>
      </c>
      <c r="K129" s="125" t="s">
        <v>2445</v>
      </c>
      <c r="O129" s="122"/>
    </row>
    <row r="130" spans="10:15" x14ac:dyDescent="0.25">
      <c r="J130" s="123" t="s">
        <v>2341</v>
      </c>
      <c r="K130" s="125" t="s">
        <v>2447</v>
      </c>
      <c r="O130" s="122"/>
    </row>
    <row r="131" spans="10:15" x14ac:dyDescent="0.25">
      <c r="J131" s="123" t="s">
        <v>2342</v>
      </c>
      <c r="K131" s="125" t="s">
        <v>2448</v>
      </c>
      <c r="O131" s="122"/>
    </row>
    <row r="132" spans="10:15" x14ac:dyDescent="0.25">
      <c r="J132" s="123" t="s">
        <v>2343</v>
      </c>
      <c r="K132" s="125" t="s">
        <v>2449</v>
      </c>
      <c r="O132" s="122"/>
    </row>
    <row r="133" spans="10:15" x14ac:dyDescent="0.25">
      <c r="J133" s="123" t="s">
        <v>2344</v>
      </c>
      <c r="K133" s="125" t="s">
        <v>2450</v>
      </c>
      <c r="O133" s="122"/>
    </row>
    <row r="134" spans="10:15" x14ac:dyDescent="0.25">
      <c r="J134" s="123" t="s">
        <v>2345</v>
      </c>
      <c r="K134" s="125" t="s">
        <v>2451</v>
      </c>
      <c r="O134" s="122"/>
    </row>
    <row r="135" spans="10:15" x14ac:dyDescent="0.25">
      <c r="J135" s="123" t="s">
        <v>2346</v>
      </c>
      <c r="K135" s="125" t="s">
        <v>2452</v>
      </c>
      <c r="O135" s="122"/>
    </row>
    <row r="136" spans="10:15" x14ac:dyDescent="0.25">
      <c r="J136" s="123" t="s">
        <v>2347</v>
      </c>
      <c r="K136" s="125" t="s">
        <v>2453</v>
      </c>
      <c r="O136" s="122"/>
    </row>
    <row r="137" spans="10:15" x14ac:dyDescent="0.25">
      <c r="J137" s="123" t="s">
        <v>2348</v>
      </c>
      <c r="K137" s="125" t="s">
        <v>2454</v>
      </c>
      <c r="O137" s="122"/>
    </row>
    <row r="138" spans="10:15" x14ac:dyDescent="0.25">
      <c r="J138" s="123" t="s">
        <v>2349</v>
      </c>
      <c r="K138" s="125" t="s">
        <v>2455</v>
      </c>
      <c r="O138" s="122"/>
    </row>
    <row r="139" spans="10:15" x14ac:dyDescent="0.25">
      <c r="J139" s="123" t="s">
        <v>2350</v>
      </c>
      <c r="K139" s="125" t="s">
        <v>2456</v>
      </c>
      <c r="O139" s="122"/>
    </row>
    <row r="140" spans="10:15" x14ac:dyDescent="0.25">
      <c r="J140" s="123" t="s">
        <v>2352</v>
      </c>
      <c r="K140" s="125" t="s">
        <v>2457</v>
      </c>
      <c r="O140" s="122"/>
    </row>
    <row r="141" spans="10:15" x14ac:dyDescent="0.25">
      <c r="J141" s="123" t="s">
        <v>2351</v>
      </c>
      <c r="K141" s="125" t="s">
        <v>2458</v>
      </c>
      <c r="O141" s="122"/>
    </row>
    <row r="142" spans="10:15" x14ac:dyDescent="0.25">
      <c r="J142" s="123" t="s">
        <v>2353</v>
      </c>
      <c r="K142" s="125" t="s">
        <v>2459</v>
      </c>
      <c r="O142" s="122"/>
    </row>
    <row r="143" spans="10:15" x14ac:dyDescent="0.25">
      <c r="J143" s="123" t="s">
        <v>2354</v>
      </c>
      <c r="K143" s="125" t="s">
        <v>2460</v>
      </c>
      <c r="O143" s="122"/>
    </row>
    <row r="144" spans="10:15" x14ac:dyDescent="0.25">
      <c r="J144" s="123" t="s">
        <v>2355</v>
      </c>
      <c r="K144" s="125" t="s">
        <v>2461</v>
      </c>
      <c r="O144" s="122"/>
    </row>
    <row r="145" spans="10:15" x14ac:dyDescent="0.25">
      <c r="J145" s="123" t="s">
        <v>2356</v>
      </c>
      <c r="K145" s="125" t="s">
        <v>2462</v>
      </c>
      <c r="O145" s="122"/>
    </row>
    <row r="146" spans="10:15" x14ac:dyDescent="0.25">
      <c r="J146" s="123" t="s">
        <v>2357</v>
      </c>
      <c r="K146" s="125" t="s">
        <v>2463</v>
      </c>
      <c r="O146" s="122"/>
    </row>
    <row r="147" spans="10:15" x14ac:dyDescent="0.25">
      <c r="J147" s="123" t="s">
        <v>2358</v>
      </c>
      <c r="K147" s="125" t="s">
        <v>2464</v>
      </c>
      <c r="O147" s="122"/>
    </row>
    <row r="148" spans="10:15" x14ac:dyDescent="0.25">
      <c r="J148" s="123" t="s">
        <v>2359</v>
      </c>
      <c r="K148" s="125" t="s">
        <v>2465</v>
      </c>
      <c r="O148" s="122"/>
    </row>
    <row r="149" spans="10:15" x14ac:dyDescent="0.25">
      <c r="J149" s="123" t="s">
        <v>2360</v>
      </c>
      <c r="K149" s="125" t="s">
        <v>2466</v>
      </c>
      <c r="O149" s="122"/>
    </row>
    <row r="150" spans="10:15" x14ac:dyDescent="0.25">
      <c r="J150" s="123" t="s">
        <v>2361</v>
      </c>
      <c r="K150" s="125" t="s">
        <v>2467</v>
      </c>
      <c r="O150" s="122"/>
    </row>
    <row r="151" spans="10:15" x14ac:dyDescent="0.25">
      <c r="J151" s="123" t="s">
        <v>2362</v>
      </c>
      <c r="K151" s="125" t="s">
        <v>2468</v>
      </c>
      <c r="O151" s="122"/>
    </row>
    <row r="152" spans="10:15" x14ac:dyDescent="0.25">
      <c r="J152" s="123" t="s">
        <v>2363</v>
      </c>
      <c r="K152" s="125" t="s">
        <v>2469</v>
      </c>
      <c r="O152" s="122"/>
    </row>
    <row r="153" spans="10:15" x14ac:dyDescent="0.25">
      <c r="J153" s="123" t="s">
        <v>2364</v>
      </c>
      <c r="K153" s="125" t="s">
        <v>2470</v>
      </c>
      <c r="O153" s="122"/>
    </row>
    <row r="154" spans="10:15" x14ac:dyDescent="0.25">
      <c r="J154" s="123" t="s">
        <v>2365</v>
      </c>
      <c r="K154" s="125" t="s">
        <v>2471</v>
      </c>
      <c r="O154" s="122"/>
    </row>
    <row r="155" spans="10:15" x14ac:dyDescent="0.25">
      <c r="J155" s="123" t="s">
        <v>2366</v>
      </c>
      <c r="K155" s="125" t="s">
        <v>2472</v>
      </c>
      <c r="O155" s="122"/>
    </row>
    <row r="156" spans="10:15" x14ac:dyDescent="0.25">
      <c r="J156" s="123" t="s">
        <v>2367</v>
      </c>
      <c r="K156" s="125" t="s">
        <v>2473</v>
      </c>
      <c r="O156" s="122"/>
    </row>
    <row r="157" spans="10:15" x14ac:dyDescent="0.25">
      <c r="J157" s="123" t="s">
        <v>2368</v>
      </c>
      <c r="K157" s="125" t="s">
        <v>2474</v>
      </c>
      <c r="O157" s="122"/>
    </row>
    <row r="158" spans="10:15" x14ac:dyDescent="0.25">
      <c r="J158" s="124" t="s">
        <v>2369</v>
      </c>
      <c r="K158" s="125" t="s">
        <v>2475</v>
      </c>
      <c r="O158" s="122"/>
    </row>
    <row r="159" spans="10:15" x14ac:dyDescent="0.25">
      <c r="J159" s="124" t="s">
        <v>2370</v>
      </c>
      <c r="K159" s="125" t="s">
        <v>2476</v>
      </c>
      <c r="O159" s="122"/>
    </row>
    <row r="160" spans="10:15" x14ac:dyDescent="0.25">
      <c r="J160" s="124" t="s">
        <v>2371</v>
      </c>
      <c r="K160" s="125" t="s">
        <v>2477</v>
      </c>
      <c r="O160" s="122"/>
    </row>
    <row r="161" spans="10:15" x14ac:dyDescent="0.25">
      <c r="J161" s="124" t="s">
        <v>1673</v>
      </c>
      <c r="K161" s="125" t="s">
        <v>2478</v>
      </c>
      <c r="O161" s="122"/>
    </row>
    <row r="162" spans="10:15" x14ac:dyDescent="0.25">
      <c r="J162" s="124" t="s">
        <v>2372</v>
      </c>
      <c r="K162" s="125" t="s">
        <v>2479</v>
      </c>
      <c r="O162" s="122"/>
    </row>
    <row r="163" spans="10:15" x14ac:dyDescent="0.25">
      <c r="J163" s="124" t="s">
        <v>2373</v>
      </c>
      <c r="K163" s="125" t="s">
        <v>2480</v>
      </c>
      <c r="O163" s="122"/>
    </row>
    <row r="164" spans="10:15" x14ac:dyDescent="0.25">
      <c r="J164" s="124" t="s">
        <v>2374</v>
      </c>
      <c r="K164" s="125" t="s">
        <v>2481</v>
      </c>
      <c r="O164" s="122"/>
    </row>
    <row r="165" spans="10:15" x14ac:dyDescent="0.25">
      <c r="J165" s="124" t="s">
        <v>2375</v>
      </c>
      <c r="K165" s="125" t="s">
        <v>2482</v>
      </c>
      <c r="O165" s="122"/>
    </row>
    <row r="166" spans="10:15" x14ac:dyDescent="0.25">
      <c r="J166" s="124" t="s">
        <v>2376</v>
      </c>
      <c r="K166" s="125" t="s">
        <v>2483</v>
      </c>
      <c r="O166" s="122"/>
    </row>
    <row r="167" spans="10:15" x14ac:dyDescent="0.25">
      <c r="J167" s="124" t="s">
        <v>2377</v>
      </c>
      <c r="K167" s="125" t="s">
        <v>2484</v>
      </c>
      <c r="O167" s="122"/>
    </row>
    <row r="168" spans="10:15" x14ac:dyDescent="0.25">
      <c r="J168" s="124" t="s">
        <v>2378</v>
      </c>
      <c r="K168" s="125" t="s">
        <v>2485</v>
      </c>
      <c r="O168" s="122"/>
    </row>
    <row r="169" spans="10:15" x14ac:dyDescent="0.25">
      <c r="J169" s="124" t="s">
        <v>2379</v>
      </c>
      <c r="K169" s="125" t="s">
        <v>2486</v>
      </c>
      <c r="O169" s="122"/>
    </row>
    <row r="170" spans="10:15" x14ac:dyDescent="0.25">
      <c r="J170" s="124" t="s">
        <v>2380</v>
      </c>
      <c r="K170" s="125" t="s">
        <v>2487</v>
      </c>
      <c r="O170" s="122"/>
    </row>
    <row r="171" spans="10:15" x14ac:dyDescent="0.25">
      <c r="J171" s="124" t="s">
        <v>2381</v>
      </c>
      <c r="K171" s="125" t="s">
        <v>2488</v>
      </c>
      <c r="O171" s="122"/>
    </row>
    <row r="172" spans="10:15" x14ac:dyDescent="0.25">
      <c r="J172" s="124" t="s">
        <v>2382</v>
      </c>
      <c r="K172" s="125" t="s">
        <v>2489</v>
      </c>
      <c r="O172" s="122"/>
    </row>
    <row r="173" spans="10:15" x14ac:dyDescent="0.25">
      <c r="J173" s="124" t="s">
        <v>2383</v>
      </c>
      <c r="K173" s="125" t="s">
        <v>2279</v>
      </c>
      <c r="O173" s="122"/>
    </row>
    <row r="174" spans="10:15" x14ac:dyDescent="0.25">
      <c r="J174" s="124" t="s">
        <v>2490</v>
      </c>
      <c r="K174" s="125" t="s">
        <v>2512</v>
      </c>
      <c r="O174" s="122"/>
    </row>
    <row r="175" spans="10:15" x14ac:dyDescent="0.25">
      <c r="J175" s="124" t="s">
        <v>2491</v>
      </c>
      <c r="K175" s="125" t="s">
        <v>2513</v>
      </c>
      <c r="O175" s="122"/>
    </row>
    <row r="176" spans="10:15" x14ac:dyDescent="0.25">
      <c r="J176" s="124" t="s">
        <v>2492</v>
      </c>
      <c r="K176" s="125" t="s">
        <v>2514</v>
      </c>
      <c r="O176" s="122"/>
    </row>
    <row r="177" spans="10:15" x14ac:dyDescent="0.25">
      <c r="J177" s="124" t="s">
        <v>2493</v>
      </c>
      <c r="K177" s="125" t="s">
        <v>2515</v>
      </c>
      <c r="O177" s="122"/>
    </row>
    <row r="178" spans="10:15" x14ac:dyDescent="0.25">
      <c r="J178" s="124" t="s">
        <v>2494</v>
      </c>
      <c r="K178" s="125" t="s">
        <v>2516</v>
      </c>
      <c r="O178" s="122"/>
    </row>
    <row r="179" spans="10:15" x14ac:dyDescent="0.25">
      <c r="J179" s="124" t="s">
        <v>1798</v>
      </c>
      <c r="K179" s="125" t="s">
        <v>2517</v>
      </c>
      <c r="O179" s="122"/>
    </row>
    <row r="180" spans="10:15" x14ac:dyDescent="0.25">
      <c r="J180" s="124" t="s">
        <v>2025</v>
      </c>
      <c r="K180" s="125" t="s">
        <v>2518</v>
      </c>
      <c r="O180" s="122"/>
    </row>
    <row r="181" spans="10:15" x14ac:dyDescent="0.25">
      <c r="J181" s="124" t="s">
        <v>2495</v>
      </c>
      <c r="K181" s="125" t="s">
        <v>2519</v>
      </c>
      <c r="O181" s="122"/>
    </row>
    <row r="182" spans="10:15" x14ac:dyDescent="0.25">
      <c r="J182" s="124" t="s">
        <v>2496</v>
      </c>
      <c r="K182" s="125" t="s">
        <v>2520</v>
      </c>
      <c r="O182" s="122"/>
    </row>
    <row r="183" spans="10:15" x14ac:dyDescent="0.25">
      <c r="J183" s="124" t="s">
        <v>2497</v>
      </c>
      <c r="K183" s="125" t="s">
        <v>2521</v>
      </c>
      <c r="O183" s="122"/>
    </row>
    <row r="184" spans="10:15" x14ac:dyDescent="0.25">
      <c r="J184" s="124" t="s">
        <v>2498</v>
      </c>
      <c r="K184" s="125" t="s">
        <v>2522</v>
      </c>
      <c r="O184" s="122"/>
    </row>
    <row r="185" spans="10:15" x14ac:dyDescent="0.25">
      <c r="J185" s="124" t="s">
        <v>2499</v>
      </c>
      <c r="K185" s="125" t="s">
        <v>2281</v>
      </c>
      <c r="O185" s="122"/>
    </row>
    <row r="186" spans="10:15" x14ac:dyDescent="0.25">
      <c r="J186" s="124" t="s">
        <v>2500</v>
      </c>
      <c r="K186" s="125" t="s">
        <v>2523</v>
      </c>
      <c r="O186" s="122"/>
    </row>
    <row r="187" spans="10:15" x14ac:dyDescent="0.25">
      <c r="J187" s="124" t="s">
        <v>2501</v>
      </c>
      <c r="K187" s="125" t="s">
        <v>2524</v>
      </c>
      <c r="O187" s="122"/>
    </row>
    <row r="188" spans="10:15" x14ac:dyDescent="0.25">
      <c r="J188" s="124" t="s">
        <v>2502</v>
      </c>
      <c r="K188" s="125" t="s">
        <v>2525</v>
      </c>
      <c r="O188" s="122"/>
    </row>
    <row r="189" spans="10:15" x14ac:dyDescent="0.25">
      <c r="J189" s="124" t="s">
        <v>2503</v>
      </c>
      <c r="K189" s="125" t="s">
        <v>2526</v>
      </c>
      <c r="O189" s="122"/>
    </row>
    <row r="190" spans="10:15" x14ac:dyDescent="0.25">
      <c r="J190" s="124" t="s">
        <v>2504</v>
      </c>
      <c r="K190" s="125" t="s">
        <v>2527</v>
      </c>
      <c r="O190" s="122"/>
    </row>
    <row r="191" spans="10:15" x14ac:dyDescent="0.25">
      <c r="J191" s="124" t="s">
        <v>2505</v>
      </c>
      <c r="K191" s="125" t="s">
        <v>2528</v>
      </c>
      <c r="O191" s="122"/>
    </row>
    <row r="192" spans="10:15" x14ac:dyDescent="0.25">
      <c r="J192" s="124" t="s">
        <v>2506</v>
      </c>
      <c r="K192" s="125" t="s">
        <v>2529</v>
      </c>
      <c r="O192" s="122"/>
    </row>
    <row r="193" spans="10:15" x14ac:dyDescent="0.25">
      <c r="J193" s="124" t="s">
        <v>2507</v>
      </c>
      <c r="K193" s="125" t="s">
        <v>2530</v>
      </c>
      <c r="O193" s="122"/>
    </row>
    <row r="194" spans="10:15" x14ac:dyDescent="0.25">
      <c r="J194" s="124" t="s">
        <v>2508</v>
      </c>
      <c r="K194" s="125" t="s">
        <v>2531</v>
      </c>
      <c r="O194" s="122"/>
    </row>
    <row r="195" spans="10:15" x14ac:dyDescent="0.25">
      <c r="J195" s="124" t="s">
        <v>2509</v>
      </c>
      <c r="K195" s="125" t="s">
        <v>2532</v>
      </c>
      <c r="O195" s="122"/>
    </row>
    <row r="196" spans="10:15" x14ac:dyDescent="0.25">
      <c r="J196" s="124" t="s">
        <v>2510</v>
      </c>
      <c r="K196" s="125" t="s">
        <v>2533</v>
      </c>
      <c r="O196" s="122"/>
    </row>
    <row r="197" spans="10:15" x14ac:dyDescent="0.25">
      <c r="J197" s="124" t="s">
        <v>2511</v>
      </c>
      <c r="K197" s="125" t="s">
        <v>2534</v>
      </c>
      <c r="O197" s="122"/>
    </row>
    <row r="198" spans="10:15" x14ac:dyDescent="0.25">
      <c r="J198" s="124" t="s">
        <v>2535</v>
      </c>
      <c r="K198" s="125" t="s">
        <v>2559</v>
      </c>
      <c r="O198" s="122"/>
    </row>
    <row r="199" spans="10:15" x14ac:dyDescent="0.25">
      <c r="J199" s="124" t="s">
        <v>2536</v>
      </c>
      <c r="K199" s="125" t="s">
        <v>2560</v>
      </c>
      <c r="O199" s="122"/>
    </row>
    <row r="200" spans="10:15" x14ac:dyDescent="0.25">
      <c r="J200" s="124" t="s">
        <v>2537</v>
      </c>
      <c r="K200" s="125" t="s">
        <v>2561</v>
      </c>
      <c r="O200" s="122"/>
    </row>
    <row r="201" spans="10:15" x14ac:dyDescent="0.25">
      <c r="J201" s="124" t="s">
        <v>2538</v>
      </c>
      <c r="K201" s="125" t="s">
        <v>2562</v>
      </c>
      <c r="O201" s="122"/>
    </row>
    <row r="202" spans="10:15" x14ac:dyDescent="0.25">
      <c r="J202" s="124" t="s">
        <v>2539</v>
      </c>
      <c r="K202" s="125" t="s">
        <v>2563</v>
      </c>
      <c r="O202" s="122"/>
    </row>
    <row r="203" spans="10:15" x14ac:dyDescent="0.25">
      <c r="J203" s="124" t="s">
        <v>2540</v>
      </c>
      <c r="K203" s="125" t="s">
        <v>2565</v>
      </c>
      <c r="O203" s="122"/>
    </row>
    <row r="204" spans="10:15" x14ac:dyDescent="0.25">
      <c r="J204" s="124" t="s">
        <v>2541</v>
      </c>
      <c r="K204" s="125" t="s">
        <v>2564</v>
      </c>
      <c r="O204" s="122"/>
    </row>
    <row r="205" spans="10:15" x14ac:dyDescent="0.25">
      <c r="J205" s="124" t="s">
        <v>2542</v>
      </c>
      <c r="K205" s="125" t="s">
        <v>2566</v>
      </c>
      <c r="O205" s="122"/>
    </row>
    <row r="206" spans="10:15" x14ac:dyDescent="0.25">
      <c r="J206" s="124" t="s">
        <v>2543</v>
      </c>
      <c r="K206" s="125" t="s">
        <v>2567</v>
      </c>
      <c r="O206" s="122"/>
    </row>
    <row r="207" spans="10:15" x14ac:dyDescent="0.25">
      <c r="J207" s="124" t="s">
        <v>2544</v>
      </c>
      <c r="K207" s="125" t="s">
        <v>2568</v>
      </c>
      <c r="O207" s="122"/>
    </row>
    <row r="208" spans="10:15" x14ac:dyDescent="0.25">
      <c r="J208" s="124" t="s">
        <v>2545</v>
      </c>
      <c r="K208" s="125" t="s">
        <v>2569</v>
      </c>
      <c r="O208" s="122"/>
    </row>
    <row r="209" spans="10:15" x14ac:dyDescent="0.25">
      <c r="J209" s="124" t="s">
        <v>2546</v>
      </c>
      <c r="K209" s="125" t="s">
        <v>2570</v>
      </c>
      <c r="O209" s="122"/>
    </row>
    <row r="210" spans="10:15" x14ac:dyDescent="0.25">
      <c r="J210" s="124" t="s">
        <v>2547</v>
      </c>
      <c r="K210" s="125" t="s">
        <v>2571</v>
      </c>
      <c r="O210" s="122"/>
    </row>
    <row r="211" spans="10:15" x14ac:dyDescent="0.25">
      <c r="J211" s="124" t="s">
        <v>2548</v>
      </c>
      <c r="K211" s="125" t="s">
        <v>2572</v>
      </c>
      <c r="O211" s="122"/>
    </row>
    <row r="212" spans="10:15" x14ac:dyDescent="0.25">
      <c r="J212" s="124" t="s">
        <v>2549</v>
      </c>
      <c r="K212" s="125" t="s">
        <v>2573</v>
      </c>
      <c r="O212" s="122"/>
    </row>
    <row r="213" spans="10:15" x14ac:dyDescent="0.25">
      <c r="J213" s="124" t="s">
        <v>2550</v>
      </c>
      <c r="K213" s="125" t="s">
        <v>2574</v>
      </c>
      <c r="O213" s="122"/>
    </row>
    <row r="214" spans="10:15" x14ac:dyDescent="0.25">
      <c r="J214" s="124" t="s">
        <v>2551</v>
      </c>
      <c r="K214" s="125" t="s">
        <v>2575</v>
      </c>
      <c r="O214" s="122"/>
    </row>
    <row r="215" spans="10:15" x14ac:dyDescent="0.25">
      <c r="J215" s="124" t="s">
        <v>2552</v>
      </c>
      <c r="K215" s="125" t="s">
        <v>2576</v>
      </c>
      <c r="O215" s="122"/>
    </row>
    <row r="216" spans="10:15" x14ac:dyDescent="0.25">
      <c r="J216" s="124" t="s">
        <v>2553</v>
      </c>
      <c r="K216" s="125" t="s">
        <v>2577</v>
      </c>
      <c r="O216" s="122"/>
    </row>
    <row r="217" spans="10:15" x14ac:dyDescent="0.25">
      <c r="J217" s="124" t="s">
        <v>2554</v>
      </c>
      <c r="K217" s="125" t="s">
        <v>2578</v>
      </c>
      <c r="O217" s="122"/>
    </row>
    <row r="218" spans="10:15" x14ac:dyDescent="0.25">
      <c r="J218" s="124" t="s">
        <v>2555</v>
      </c>
      <c r="K218" s="125" t="s">
        <v>2579</v>
      </c>
      <c r="O218" s="122"/>
    </row>
    <row r="219" spans="10:15" x14ac:dyDescent="0.25">
      <c r="J219" s="124" t="s">
        <v>2556</v>
      </c>
      <c r="K219" s="125" t="s">
        <v>2580</v>
      </c>
      <c r="O219" s="122"/>
    </row>
    <row r="220" spans="10:15" x14ac:dyDescent="0.25">
      <c r="J220" s="124" t="s">
        <v>2557</v>
      </c>
      <c r="K220" s="125" t="s">
        <v>2581</v>
      </c>
      <c r="O220" s="122"/>
    </row>
    <row r="221" spans="10:15" x14ac:dyDescent="0.25">
      <c r="J221" s="124" t="s">
        <v>2558</v>
      </c>
      <c r="K221" s="125" t="s">
        <v>2582</v>
      </c>
      <c r="O221" s="122"/>
    </row>
    <row r="222" spans="10:15" x14ac:dyDescent="0.25">
      <c r="J222" s="124" t="s">
        <v>2583</v>
      </c>
      <c r="K222" s="125" t="s">
        <v>2600</v>
      </c>
      <c r="O222" s="122"/>
    </row>
    <row r="223" spans="10:15" x14ac:dyDescent="0.25">
      <c r="J223" s="124" t="s">
        <v>2584</v>
      </c>
      <c r="K223" s="125" t="s">
        <v>2601</v>
      </c>
      <c r="O223" s="122"/>
    </row>
    <row r="224" spans="10:15" x14ac:dyDescent="0.25">
      <c r="J224" s="124" t="s">
        <v>2585</v>
      </c>
      <c r="K224" s="125" t="s">
        <v>2602</v>
      </c>
      <c r="O224" s="122"/>
    </row>
    <row r="225" spans="10:15" x14ac:dyDescent="0.25">
      <c r="J225" s="124" t="s">
        <v>2586</v>
      </c>
      <c r="K225" s="125" t="s">
        <v>2603</v>
      </c>
      <c r="O225" s="122"/>
    </row>
    <row r="226" spans="10:15" x14ac:dyDescent="0.25">
      <c r="J226" s="124" t="s">
        <v>2587</v>
      </c>
      <c r="K226" s="125" t="s">
        <v>2604</v>
      </c>
      <c r="O226" s="122"/>
    </row>
    <row r="227" spans="10:15" x14ac:dyDescent="0.25">
      <c r="J227" s="124" t="s">
        <v>2588</v>
      </c>
      <c r="K227" s="125" t="s">
        <v>2069</v>
      </c>
      <c r="O227" s="122"/>
    </row>
    <row r="228" spans="10:15" x14ac:dyDescent="0.25">
      <c r="J228" s="124" t="s">
        <v>2589</v>
      </c>
      <c r="K228" s="125" t="s">
        <v>2605</v>
      </c>
      <c r="L228" t="s">
        <v>2942</v>
      </c>
      <c r="O228" s="122"/>
    </row>
    <row r="229" spans="10:15" x14ac:dyDescent="0.25">
      <c r="J229" s="124" t="s">
        <v>2590</v>
      </c>
      <c r="K229" s="125" t="s">
        <v>2606</v>
      </c>
      <c r="L229" t="s">
        <v>2942</v>
      </c>
      <c r="O229" s="122"/>
    </row>
    <row r="230" spans="10:15" x14ac:dyDescent="0.25">
      <c r="J230" s="124" t="s">
        <v>2591</v>
      </c>
      <c r="K230" s="125" t="s">
        <v>2607</v>
      </c>
      <c r="L230" t="s">
        <v>2942</v>
      </c>
      <c r="O230" s="122"/>
    </row>
    <row r="231" spans="10:15" x14ac:dyDescent="0.25">
      <c r="J231" s="124" t="s">
        <v>2592</v>
      </c>
      <c r="K231" s="125" t="s">
        <v>2608</v>
      </c>
      <c r="L231" t="s">
        <v>2942</v>
      </c>
      <c r="O231" s="122"/>
    </row>
    <row r="232" spans="10:15" x14ac:dyDescent="0.25">
      <c r="J232" s="124" t="s">
        <v>2593</v>
      </c>
      <c r="K232" s="125" t="s">
        <v>2609</v>
      </c>
      <c r="O232" s="122"/>
    </row>
    <row r="233" spans="10:15" x14ac:dyDescent="0.25">
      <c r="J233" s="124" t="s">
        <v>1604</v>
      </c>
      <c r="K233" s="125" t="s">
        <v>2285</v>
      </c>
      <c r="O233" s="122"/>
    </row>
    <row r="234" spans="10:15" x14ac:dyDescent="0.25">
      <c r="J234" s="124" t="s">
        <v>2594</v>
      </c>
      <c r="K234" s="125" t="s">
        <v>2610</v>
      </c>
      <c r="O234" s="122"/>
    </row>
    <row r="235" spans="10:15" x14ac:dyDescent="0.25">
      <c r="J235" s="124" t="s">
        <v>2595</v>
      </c>
      <c r="K235" s="125" t="s">
        <v>2614</v>
      </c>
      <c r="O235" s="122"/>
    </row>
    <row r="236" spans="10:15" x14ac:dyDescent="0.25">
      <c r="J236" s="124" t="s">
        <v>2596</v>
      </c>
      <c r="K236" s="125" t="s">
        <v>2615</v>
      </c>
      <c r="O236" s="122"/>
    </row>
    <row r="237" spans="10:15" x14ac:dyDescent="0.25">
      <c r="J237" s="124" t="s">
        <v>2597</v>
      </c>
      <c r="K237" s="125" t="s">
        <v>2611</v>
      </c>
      <c r="O237" s="121"/>
    </row>
    <row r="238" spans="10:15" x14ac:dyDescent="0.25">
      <c r="J238" s="124" t="s">
        <v>2598</v>
      </c>
      <c r="K238" s="125" t="s">
        <v>2612</v>
      </c>
    </row>
    <row r="239" spans="10:15" x14ac:dyDescent="0.25">
      <c r="J239" s="124" t="s">
        <v>2599</v>
      </c>
      <c r="K239" s="125" t="s">
        <v>2613</v>
      </c>
    </row>
    <row r="240" spans="10:15" x14ac:dyDescent="0.25">
      <c r="J240" s="124" t="s">
        <v>2616</v>
      </c>
      <c r="K240" s="125" t="s">
        <v>2641</v>
      </c>
    </row>
    <row r="241" spans="10:11" x14ac:dyDescent="0.25">
      <c r="J241" s="124" t="s">
        <v>2617</v>
      </c>
      <c r="K241" s="125" t="s">
        <v>2642</v>
      </c>
    </row>
    <row r="242" spans="10:11" x14ac:dyDescent="0.25">
      <c r="J242" s="124" t="s">
        <v>2618</v>
      </c>
      <c r="K242" s="125" t="s">
        <v>2643</v>
      </c>
    </row>
    <row r="243" spans="10:11" x14ac:dyDescent="0.25">
      <c r="J243" s="124" t="s">
        <v>2619</v>
      </c>
      <c r="K243" s="125" t="s">
        <v>2644</v>
      </c>
    </row>
    <row r="244" spans="10:11" x14ac:dyDescent="0.25">
      <c r="J244" s="124" t="s">
        <v>2620</v>
      </c>
      <c r="K244" s="125" t="s">
        <v>2647</v>
      </c>
    </row>
    <row r="245" spans="10:11" x14ac:dyDescent="0.25">
      <c r="J245" s="124" t="s">
        <v>2621</v>
      </c>
      <c r="K245" s="125" t="s">
        <v>2648</v>
      </c>
    </row>
    <row r="246" spans="10:11" x14ac:dyDescent="0.25">
      <c r="J246" s="124" t="s">
        <v>2622</v>
      </c>
      <c r="K246" s="125" t="s">
        <v>2649</v>
      </c>
    </row>
    <row r="247" spans="10:11" x14ac:dyDescent="0.25">
      <c r="J247" s="124" t="s">
        <v>2623</v>
      </c>
      <c r="K247" s="125" t="s">
        <v>2650</v>
      </c>
    </row>
    <row r="248" spans="10:11" x14ac:dyDescent="0.25">
      <c r="J248" s="124" t="s">
        <v>2624</v>
      </c>
      <c r="K248" s="125" t="s">
        <v>2651</v>
      </c>
    </row>
    <row r="249" spans="10:11" x14ac:dyDescent="0.25">
      <c r="J249" s="124" t="s">
        <v>2625</v>
      </c>
      <c r="K249" s="125" t="s">
        <v>2652</v>
      </c>
    </row>
    <row r="250" spans="10:11" x14ac:dyDescent="0.25">
      <c r="J250" s="124" t="s">
        <v>2626</v>
      </c>
      <c r="K250" s="125" t="s">
        <v>2653</v>
      </c>
    </row>
    <row r="251" spans="10:11" x14ac:dyDescent="0.25">
      <c r="J251" s="124" t="s">
        <v>2627</v>
      </c>
      <c r="K251" s="125" t="s">
        <v>2645</v>
      </c>
    </row>
    <row r="252" spans="10:11" x14ac:dyDescent="0.25">
      <c r="J252" s="124" t="s">
        <v>2628</v>
      </c>
      <c r="K252" s="125" t="s">
        <v>2646</v>
      </c>
    </row>
    <row r="253" spans="10:11" x14ac:dyDescent="0.25">
      <c r="J253" s="124" t="s">
        <v>2629</v>
      </c>
      <c r="K253" s="125" t="s">
        <v>2654</v>
      </c>
    </row>
    <row r="254" spans="10:11" x14ac:dyDescent="0.25">
      <c r="J254" s="124" t="s">
        <v>2630</v>
      </c>
      <c r="K254" s="125" t="s">
        <v>2655</v>
      </c>
    </row>
    <row r="255" spans="10:11" x14ac:dyDescent="0.25">
      <c r="J255" s="124" t="s">
        <v>2631</v>
      </c>
      <c r="K255" s="125" t="s">
        <v>2656</v>
      </c>
    </row>
    <row r="256" spans="10:11" x14ac:dyDescent="0.25">
      <c r="J256" s="124" t="s">
        <v>2632</v>
      </c>
      <c r="K256" s="125" t="s">
        <v>2657</v>
      </c>
    </row>
    <row r="257" spans="10:11" x14ac:dyDescent="0.25">
      <c r="J257" s="124" t="s">
        <v>2633</v>
      </c>
      <c r="K257" s="125" t="s">
        <v>2658</v>
      </c>
    </row>
    <row r="258" spans="10:11" x14ac:dyDescent="0.25">
      <c r="J258" s="124" t="s">
        <v>2634</v>
      </c>
      <c r="K258" s="125" t="s">
        <v>2659</v>
      </c>
    </row>
    <row r="259" spans="10:11" x14ac:dyDescent="0.25">
      <c r="J259" s="124" t="s">
        <v>2635</v>
      </c>
      <c r="K259" s="125" t="s">
        <v>2660</v>
      </c>
    </row>
    <row r="260" spans="10:11" x14ac:dyDescent="0.25">
      <c r="J260" s="124" t="s">
        <v>2636</v>
      </c>
      <c r="K260" s="125" t="s">
        <v>2661</v>
      </c>
    </row>
    <row r="261" spans="10:11" x14ac:dyDescent="0.25">
      <c r="J261" s="124" t="s">
        <v>2637</v>
      </c>
      <c r="K261" s="125" t="s">
        <v>2662</v>
      </c>
    </row>
    <row r="262" spans="10:11" x14ac:dyDescent="0.25">
      <c r="J262" s="124" t="s">
        <v>2638</v>
      </c>
      <c r="K262" s="125" t="s">
        <v>2663</v>
      </c>
    </row>
    <row r="263" spans="10:11" x14ac:dyDescent="0.25">
      <c r="J263" s="124" t="s">
        <v>2639</v>
      </c>
      <c r="K263" s="125" t="s">
        <v>2664</v>
      </c>
    </row>
    <row r="264" spans="10:11" x14ac:dyDescent="0.25">
      <c r="J264" s="124" t="s">
        <v>2640</v>
      </c>
      <c r="K264" s="125" t="s">
        <v>2665</v>
      </c>
    </row>
  </sheetData>
  <mergeCells count="9">
    <mergeCell ref="A14:A16"/>
    <mergeCell ref="A22:A24"/>
    <mergeCell ref="A26:A28"/>
    <mergeCell ref="A30:A32"/>
    <mergeCell ref="J40:L40"/>
    <mergeCell ref="A34:A36"/>
    <mergeCell ref="A38:A40"/>
    <mergeCell ref="A42:A44"/>
    <mergeCell ref="A18:A20"/>
  </mergeCells>
  <pageMargins left="0.7" right="0.7" top="0.75" bottom="0.75" header="0.3" footer="0.3"/>
  <pageSetup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9" tint="0.59999389629810485"/>
  </sheetPr>
  <dimension ref="A1:AH9999"/>
  <sheetViews>
    <sheetView topLeftCell="X1" zoomScaleNormal="100" workbookViewId="0">
      <pane ySplit="1" topLeftCell="A2" activePane="bottomLeft" state="frozen"/>
      <selection activeCell="I56" sqref="I56"/>
      <selection pane="bottomLeft" activeCell="O164" sqref="O164"/>
    </sheetView>
  </sheetViews>
  <sheetFormatPr defaultRowHeight="15" x14ac:dyDescent="0.25"/>
  <cols>
    <col min="1" max="1" width="6.28515625" style="267" customWidth="1"/>
    <col min="2" max="2" width="41.42578125" style="267" customWidth="1"/>
    <col min="3" max="3" width="25.85546875" style="267" hidden="1" customWidth="1"/>
    <col min="4" max="4" width="12.85546875" style="267" hidden="1" customWidth="1"/>
    <col min="5" max="5" width="33" style="267" hidden="1" customWidth="1"/>
    <col min="6" max="6" width="9.7109375" style="267" customWidth="1"/>
    <col min="7" max="7" width="41.85546875" style="267" customWidth="1"/>
    <col min="8" max="8" width="22.28515625" style="267" hidden="1" customWidth="1"/>
    <col min="9" max="9" width="14" style="267" hidden="1" customWidth="1"/>
    <col min="10" max="10" width="20" style="267" hidden="1" customWidth="1"/>
    <col min="11" max="11" width="12.85546875" style="267" bestFit="1" customWidth="1"/>
    <col min="12" max="13" width="20" style="267" bestFit="1" customWidth="1"/>
    <col min="14" max="15" width="35.28515625" style="267" bestFit="1" customWidth="1"/>
    <col min="16" max="16" width="50" style="267" customWidth="1"/>
    <col min="17" max="18" width="20" style="267" bestFit="1" customWidth="1"/>
    <col min="19" max="19" width="28.140625" style="267" bestFit="1" customWidth="1"/>
    <col min="20" max="20" width="50" style="267" customWidth="1"/>
    <col min="21" max="21" width="12.85546875" style="267" bestFit="1" customWidth="1"/>
    <col min="22" max="22" width="28.140625" style="267" bestFit="1" customWidth="1"/>
    <col min="23" max="23" width="34.140625" style="267" bestFit="1" customWidth="1"/>
    <col min="24" max="24" width="21.140625" style="267" bestFit="1" customWidth="1"/>
    <col min="25" max="25" width="47.140625" style="267" bestFit="1" customWidth="1"/>
    <col min="26" max="26" width="23.42578125" style="267" bestFit="1" customWidth="1"/>
    <col min="27" max="27" width="50" style="267" customWidth="1"/>
    <col min="28" max="28" width="15.28515625" style="267" bestFit="1" customWidth="1"/>
    <col min="29" max="29" width="18.7109375" style="267" bestFit="1" customWidth="1"/>
    <col min="30" max="34" width="50" style="267" customWidth="1"/>
    <col min="35" max="16384" width="9.140625" style="267"/>
  </cols>
  <sheetData>
    <row r="1" spans="1:34" x14ac:dyDescent="0.25">
      <c r="A1" s="265" t="s">
        <v>663</v>
      </c>
      <c r="B1" s="265" t="s">
        <v>664</v>
      </c>
      <c r="C1" s="265" t="s">
        <v>1278</v>
      </c>
      <c r="D1" s="265" t="s">
        <v>1279</v>
      </c>
      <c r="E1" s="265" t="s">
        <v>1280</v>
      </c>
      <c r="F1" s="265" t="s">
        <v>3139</v>
      </c>
      <c r="G1" s="265" t="s">
        <v>3140</v>
      </c>
      <c r="H1" s="265" t="s">
        <v>2933</v>
      </c>
      <c r="I1" s="266" t="s">
        <v>1281</v>
      </c>
      <c r="J1" s="265" t="s">
        <v>1282</v>
      </c>
      <c r="K1" s="265" t="s">
        <v>1283</v>
      </c>
      <c r="L1" s="265" t="s">
        <v>665</v>
      </c>
      <c r="M1" s="265" t="s">
        <v>1284</v>
      </c>
      <c r="N1" s="265" t="s">
        <v>1285</v>
      </c>
      <c r="O1" s="266" t="s">
        <v>669</v>
      </c>
      <c r="P1" s="265" t="s">
        <v>670</v>
      </c>
      <c r="Q1" s="265" t="s">
        <v>1286</v>
      </c>
      <c r="R1" s="265" t="s">
        <v>1287</v>
      </c>
      <c r="S1" s="265" t="s">
        <v>1288</v>
      </c>
      <c r="T1" s="265" t="s">
        <v>1289</v>
      </c>
      <c r="U1" s="265" t="s">
        <v>1290</v>
      </c>
      <c r="V1" s="265" t="s">
        <v>1291</v>
      </c>
      <c r="W1" s="265" t="s">
        <v>1292</v>
      </c>
      <c r="X1" s="265" t="s">
        <v>1293</v>
      </c>
      <c r="Y1" s="265" t="s">
        <v>1294</v>
      </c>
      <c r="Z1" s="265" t="s">
        <v>1295</v>
      </c>
      <c r="AA1" s="265" t="s">
        <v>1296</v>
      </c>
      <c r="AB1" s="265" t="s">
        <v>1297</v>
      </c>
      <c r="AC1" s="265" t="s">
        <v>1298</v>
      </c>
      <c r="AD1" s="265" t="s">
        <v>1299</v>
      </c>
      <c r="AE1" s="265" t="s">
        <v>1300</v>
      </c>
      <c r="AF1" s="265" t="s">
        <v>1301</v>
      </c>
      <c r="AG1" s="265" t="s">
        <v>1302</v>
      </c>
      <c r="AH1" s="265" t="s">
        <v>1303</v>
      </c>
    </row>
    <row r="2" spans="1:34" hidden="1" x14ac:dyDescent="0.25">
      <c r="A2" s="267">
        <v>30</v>
      </c>
      <c r="B2" s="267" t="s">
        <v>1304</v>
      </c>
      <c r="C2" s="267" t="s">
        <v>906</v>
      </c>
      <c r="D2" s="267" t="s">
        <v>7</v>
      </c>
      <c r="E2" s="267" t="s">
        <v>1305</v>
      </c>
      <c r="F2" s="267" t="s">
        <v>2962</v>
      </c>
      <c r="G2" s="267" t="s">
        <v>3287</v>
      </c>
      <c r="H2" s="267" t="s">
        <v>2929</v>
      </c>
      <c r="I2" s="268">
        <v>0</v>
      </c>
      <c r="K2" s="267" t="s">
        <v>1306</v>
      </c>
      <c r="L2" s="267" t="s">
        <v>659</v>
      </c>
      <c r="M2" s="267">
        <v>924</v>
      </c>
      <c r="O2" s="268" t="s">
        <v>906</v>
      </c>
      <c r="P2" s="267" t="s">
        <v>1307</v>
      </c>
      <c r="Q2" s="267" t="s">
        <v>1308</v>
      </c>
      <c r="R2" s="267">
        <v>1730</v>
      </c>
      <c r="S2" s="267" t="s">
        <v>1309</v>
      </c>
      <c r="T2" s="267" t="s">
        <v>72</v>
      </c>
      <c r="U2" s="267" t="s">
        <v>639</v>
      </c>
      <c r="V2" s="267" t="s">
        <v>1310</v>
      </c>
      <c r="W2" s="267" t="s">
        <v>1311</v>
      </c>
      <c r="X2" s="267" t="s">
        <v>1312</v>
      </c>
      <c r="Y2" s="267" t="s">
        <v>1313</v>
      </c>
      <c r="Z2" s="267" t="s">
        <v>967</v>
      </c>
      <c r="AA2" s="267" t="s">
        <v>1314</v>
      </c>
      <c r="AD2" s="267" t="s">
        <v>1315</v>
      </c>
      <c r="AE2" s="267" t="s">
        <v>27</v>
      </c>
      <c r="AF2" s="267" t="s">
        <v>72</v>
      </c>
      <c r="AG2" s="267" t="s">
        <v>1316</v>
      </c>
      <c r="AH2" s="267" t="s">
        <v>1317</v>
      </c>
    </row>
    <row r="3" spans="1:34" hidden="1" x14ac:dyDescent="0.25">
      <c r="A3" s="267">
        <v>31</v>
      </c>
      <c r="B3" s="267" t="s">
        <v>1318</v>
      </c>
      <c r="C3" s="267" t="s">
        <v>892</v>
      </c>
      <c r="D3" s="267" t="s">
        <v>7</v>
      </c>
      <c r="E3" s="267" t="s">
        <v>1319</v>
      </c>
      <c r="F3" s="267" t="s">
        <v>2963</v>
      </c>
      <c r="G3" s="267" t="s">
        <v>3288</v>
      </c>
      <c r="H3" s="267" t="s">
        <v>2929</v>
      </c>
      <c r="I3" s="268">
        <v>0</v>
      </c>
      <c r="K3" s="267" t="s">
        <v>1320</v>
      </c>
      <c r="L3" s="267" t="s">
        <v>659</v>
      </c>
      <c r="M3" s="267">
        <v>3438</v>
      </c>
      <c r="N3" s="267" t="s">
        <v>1321</v>
      </c>
      <c r="O3" s="268" t="s">
        <v>892</v>
      </c>
      <c r="P3" s="267" t="s">
        <v>1322</v>
      </c>
      <c r="Q3" s="267" t="s">
        <v>1323</v>
      </c>
      <c r="R3" s="267">
        <v>1030</v>
      </c>
      <c r="S3" s="267" t="s">
        <v>1324</v>
      </c>
      <c r="T3" s="267" t="s">
        <v>1325</v>
      </c>
      <c r="U3" s="267" t="s">
        <v>639</v>
      </c>
      <c r="V3" s="267" t="s">
        <v>1324</v>
      </c>
      <c r="W3" s="267" t="s">
        <v>1326</v>
      </c>
      <c r="X3" s="267" t="s">
        <v>1327</v>
      </c>
      <c r="Y3" s="267" t="s">
        <v>1328</v>
      </c>
      <c r="Z3" s="267" t="s">
        <v>1329</v>
      </c>
      <c r="AA3" s="267" t="s">
        <v>1330</v>
      </c>
      <c r="AD3" s="267" t="s">
        <v>1331</v>
      </c>
      <c r="AE3" s="267" t="s">
        <v>23</v>
      </c>
      <c r="AF3" s="267" t="s">
        <v>1332</v>
      </c>
      <c r="AG3" s="267" t="s">
        <v>1333</v>
      </c>
      <c r="AH3" s="267" t="s">
        <v>1334</v>
      </c>
    </row>
    <row r="4" spans="1:34" hidden="1" x14ac:dyDescent="0.25">
      <c r="A4" s="267">
        <v>33</v>
      </c>
      <c r="B4" s="267" t="s">
        <v>1335</v>
      </c>
      <c r="C4" s="267" t="s">
        <v>868</v>
      </c>
      <c r="D4" s="267" t="s">
        <v>7</v>
      </c>
      <c r="E4" s="267" t="s">
        <v>1336</v>
      </c>
      <c r="F4" s="267" t="s">
        <v>2964</v>
      </c>
      <c r="G4" s="267" t="s">
        <v>3289</v>
      </c>
      <c r="H4" s="267" t="s">
        <v>2929</v>
      </c>
      <c r="I4" s="268">
        <v>0</v>
      </c>
      <c r="K4" s="267" t="s">
        <v>1337</v>
      </c>
      <c r="L4" s="267" t="s">
        <v>659</v>
      </c>
      <c r="M4" s="267">
        <v>1374</v>
      </c>
      <c r="O4" s="268" t="s">
        <v>868</v>
      </c>
      <c r="P4" s="267" t="s">
        <v>1338</v>
      </c>
      <c r="Q4" s="267" t="s">
        <v>1337</v>
      </c>
      <c r="R4" s="267" t="s">
        <v>1339</v>
      </c>
      <c r="S4" s="267" t="s">
        <v>1340</v>
      </c>
      <c r="T4" s="267" t="s">
        <v>1341</v>
      </c>
      <c r="U4" s="267" t="s">
        <v>687</v>
      </c>
      <c r="V4" s="267" t="s">
        <v>1340</v>
      </c>
      <c r="W4" s="267" t="s">
        <v>1342</v>
      </c>
      <c r="X4" s="267" t="s">
        <v>1343</v>
      </c>
      <c r="Z4" s="267" t="s">
        <v>1344</v>
      </c>
      <c r="AA4" s="267" t="s">
        <v>1345</v>
      </c>
      <c r="AB4" s="267" t="s">
        <v>2965</v>
      </c>
      <c r="AC4" s="267" t="s">
        <v>2966</v>
      </c>
      <c r="AD4" s="267" t="s">
        <v>1346</v>
      </c>
      <c r="AF4" s="267" t="s">
        <v>1316</v>
      </c>
      <c r="AH4" s="267" t="s">
        <v>1347</v>
      </c>
    </row>
    <row r="5" spans="1:34" hidden="1" x14ac:dyDescent="0.25">
      <c r="A5" s="267">
        <v>46</v>
      </c>
      <c r="B5" s="267" t="s">
        <v>678</v>
      </c>
      <c r="C5" s="267" t="s">
        <v>681</v>
      </c>
      <c r="D5" s="267" t="s">
        <v>7</v>
      </c>
      <c r="E5" s="267" t="s">
        <v>1348</v>
      </c>
      <c r="F5" s="267" t="s">
        <v>2967</v>
      </c>
      <c r="G5" s="267" t="s">
        <v>2968</v>
      </c>
      <c r="H5" s="267" t="s">
        <v>2929</v>
      </c>
      <c r="I5" s="268">
        <v>0</v>
      </c>
      <c r="K5" s="267" t="s">
        <v>1349</v>
      </c>
      <c r="L5" s="267" t="s">
        <v>1247</v>
      </c>
      <c r="M5" s="267">
        <v>1821</v>
      </c>
      <c r="O5" s="268" t="s">
        <v>681</v>
      </c>
      <c r="P5" s="267" t="s">
        <v>682</v>
      </c>
      <c r="Q5" s="267" t="s">
        <v>1350</v>
      </c>
      <c r="R5" s="267" t="s">
        <v>1351</v>
      </c>
      <c r="S5" s="267" t="s">
        <v>1352</v>
      </c>
      <c r="T5" s="267" t="s">
        <v>1353</v>
      </c>
      <c r="U5" s="267" t="s">
        <v>687</v>
      </c>
      <c r="V5" s="267" t="s">
        <v>1352</v>
      </c>
      <c r="W5" s="267" t="s">
        <v>1354</v>
      </c>
      <c r="X5" s="267" t="s">
        <v>1327</v>
      </c>
      <c r="AA5" s="267" t="s">
        <v>1355</v>
      </c>
      <c r="AB5" s="267" t="s">
        <v>2356</v>
      </c>
      <c r="AC5" s="267" t="s">
        <v>2969</v>
      </c>
      <c r="AD5" s="267" t="s">
        <v>1356</v>
      </c>
      <c r="AE5" s="267" t="s">
        <v>1357</v>
      </c>
      <c r="AF5" s="267" t="s">
        <v>1358</v>
      </c>
      <c r="AG5" s="267" t="s">
        <v>1359</v>
      </c>
    </row>
    <row r="6" spans="1:34" hidden="1" x14ac:dyDescent="0.25">
      <c r="A6" s="267">
        <v>64</v>
      </c>
      <c r="B6" s="267" t="s">
        <v>1360</v>
      </c>
      <c r="C6" s="267" t="s">
        <v>1361</v>
      </c>
      <c r="D6" s="267" t="s">
        <v>7</v>
      </c>
      <c r="E6" s="267" t="s">
        <v>1305</v>
      </c>
      <c r="F6" s="267" t="s">
        <v>2970</v>
      </c>
      <c r="G6" s="267" t="s">
        <v>2971</v>
      </c>
      <c r="H6" s="267" t="s">
        <v>2929</v>
      </c>
      <c r="I6" s="268">
        <v>0</v>
      </c>
      <c r="K6" s="267" t="s">
        <v>1362</v>
      </c>
      <c r="L6" s="267" t="s">
        <v>659</v>
      </c>
      <c r="M6" s="267">
        <v>1383</v>
      </c>
      <c r="O6" s="268" t="s">
        <v>757</v>
      </c>
      <c r="P6" s="267" t="s">
        <v>1363</v>
      </c>
      <c r="Q6" s="267" t="s">
        <v>1364</v>
      </c>
      <c r="R6" s="267">
        <v>2100</v>
      </c>
      <c r="S6" s="267" t="s">
        <v>1309</v>
      </c>
      <c r="T6" s="267" t="s">
        <v>72</v>
      </c>
      <c r="U6" s="267" t="s">
        <v>639</v>
      </c>
      <c r="V6" s="267" t="s">
        <v>1309</v>
      </c>
      <c r="W6" s="267" t="s">
        <v>1311</v>
      </c>
      <c r="X6" s="267" t="s">
        <v>1365</v>
      </c>
      <c r="Z6" s="267" t="s">
        <v>967</v>
      </c>
      <c r="AA6" s="267" t="s">
        <v>1366</v>
      </c>
      <c r="AB6" s="267" t="s">
        <v>1818</v>
      </c>
      <c r="AC6" s="267" t="s">
        <v>2972</v>
      </c>
      <c r="AD6" s="267" t="s">
        <v>1367</v>
      </c>
      <c r="AE6" s="267" t="s">
        <v>1368</v>
      </c>
      <c r="AF6" s="267" t="s">
        <v>1369</v>
      </c>
      <c r="AG6" s="267" t="s">
        <v>1370</v>
      </c>
      <c r="AH6" s="267" t="s">
        <v>1371</v>
      </c>
    </row>
    <row r="7" spans="1:34" hidden="1" x14ac:dyDescent="0.25">
      <c r="A7" s="267">
        <v>71</v>
      </c>
      <c r="B7" s="267" t="s">
        <v>1372</v>
      </c>
      <c r="C7" s="267" t="s">
        <v>1373</v>
      </c>
      <c r="D7" s="267" t="s">
        <v>7</v>
      </c>
      <c r="E7" s="267" t="s">
        <v>1348</v>
      </c>
      <c r="F7" s="267" t="s">
        <v>2973</v>
      </c>
      <c r="G7" s="267" t="s">
        <v>3290</v>
      </c>
      <c r="H7" s="267" t="s">
        <v>2929</v>
      </c>
      <c r="I7" s="268">
        <v>0</v>
      </c>
      <c r="K7" s="267" t="s">
        <v>1374</v>
      </c>
      <c r="L7" s="267" t="s">
        <v>659</v>
      </c>
      <c r="M7" s="267">
        <v>2441</v>
      </c>
      <c r="O7" s="268" t="s">
        <v>1373</v>
      </c>
      <c r="P7" s="267" t="s">
        <v>1375</v>
      </c>
      <c r="Q7" s="267" t="s">
        <v>1376</v>
      </c>
      <c r="R7" s="267" t="s">
        <v>1377</v>
      </c>
      <c r="S7" s="267" t="s">
        <v>1324</v>
      </c>
      <c r="T7" s="267" t="s">
        <v>1325</v>
      </c>
      <c r="U7" s="267" t="s">
        <v>639</v>
      </c>
      <c r="V7" s="267" t="s">
        <v>1324</v>
      </c>
      <c r="W7" s="267" t="s">
        <v>1311</v>
      </c>
      <c r="X7" s="267" t="s">
        <v>1327</v>
      </c>
      <c r="Y7" s="267" t="s">
        <v>1378</v>
      </c>
      <c r="Z7" s="267" t="s">
        <v>1379</v>
      </c>
      <c r="AA7" s="267" t="s">
        <v>1380</v>
      </c>
      <c r="AB7" s="267" t="s">
        <v>2500</v>
      </c>
      <c r="AC7" s="267" t="s">
        <v>2523</v>
      </c>
      <c r="AD7" s="267" t="s">
        <v>1381</v>
      </c>
      <c r="AE7" s="267" t="s">
        <v>27</v>
      </c>
      <c r="AF7" s="267" t="s">
        <v>1382</v>
      </c>
      <c r="AG7" s="267" t="s">
        <v>1383</v>
      </c>
      <c r="AH7" s="267" t="s">
        <v>1384</v>
      </c>
    </row>
    <row r="8" spans="1:34" hidden="1" x14ac:dyDescent="0.25">
      <c r="A8" s="267">
        <v>79</v>
      </c>
      <c r="B8" s="267" t="s">
        <v>688</v>
      </c>
      <c r="C8" s="267" t="s">
        <v>690</v>
      </c>
      <c r="D8" s="267" t="s">
        <v>7</v>
      </c>
      <c r="E8" s="267" t="s">
        <v>1385</v>
      </c>
      <c r="F8" s="267" t="s">
        <v>2974</v>
      </c>
      <c r="G8" s="267" t="s">
        <v>2975</v>
      </c>
      <c r="H8" s="267" t="s">
        <v>2929</v>
      </c>
      <c r="I8" s="268">
        <v>0</v>
      </c>
      <c r="K8" s="267" t="s">
        <v>1386</v>
      </c>
      <c r="L8" s="267" t="s">
        <v>1247</v>
      </c>
      <c r="M8" s="267">
        <v>1487</v>
      </c>
      <c r="O8" s="268" t="s">
        <v>690</v>
      </c>
      <c r="P8" s="267" t="s">
        <v>691</v>
      </c>
      <c r="Q8" s="267" t="s">
        <v>1387</v>
      </c>
      <c r="R8" s="267">
        <v>1130</v>
      </c>
      <c r="S8" s="267" t="s">
        <v>1388</v>
      </c>
      <c r="T8" s="267" t="s">
        <v>1353</v>
      </c>
      <c r="U8" s="267" t="s">
        <v>639</v>
      </c>
      <c r="V8" s="267" t="s">
        <v>1388</v>
      </c>
      <c r="W8" s="267" t="s">
        <v>1354</v>
      </c>
      <c r="X8" s="267" t="s">
        <v>1327</v>
      </c>
      <c r="Y8" s="267" t="s">
        <v>1389</v>
      </c>
      <c r="AA8" s="267" t="s">
        <v>1390</v>
      </c>
      <c r="AB8" s="267" t="s">
        <v>1711</v>
      </c>
      <c r="AC8" s="267" t="s">
        <v>2976</v>
      </c>
      <c r="AD8" s="267" t="s">
        <v>1391</v>
      </c>
      <c r="AE8" s="267" t="s">
        <v>1392</v>
      </c>
      <c r="AF8" s="267" t="s">
        <v>1393</v>
      </c>
      <c r="AG8" s="267" t="s">
        <v>1394</v>
      </c>
    </row>
    <row r="9" spans="1:34" hidden="1" x14ac:dyDescent="0.25">
      <c r="A9" s="267">
        <v>81</v>
      </c>
      <c r="B9" s="267" t="s">
        <v>696</v>
      </c>
      <c r="C9" s="267" t="s">
        <v>700</v>
      </c>
      <c r="D9" s="267" t="s">
        <v>7</v>
      </c>
      <c r="E9" s="267" t="s">
        <v>1336</v>
      </c>
      <c r="F9" s="267" t="s">
        <v>2977</v>
      </c>
      <c r="G9" s="267" t="s">
        <v>3291</v>
      </c>
      <c r="H9" s="267" t="s">
        <v>2929</v>
      </c>
      <c r="I9" s="268">
        <v>0</v>
      </c>
      <c r="K9" s="267" t="s">
        <v>1395</v>
      </c>
      <c r="L9" s="267" t="s">
        <v>659</v>
      </c>
      <c r="M9" s="267">
        <v>438</v>
      </c>
      <c r="N9" s="267" t="s">
        <v>699</v>
      </c>
      <c r="O9" s="268" t="s">
        <v>700</v>
      </c>
      <c r="P9" s="267" t="s">
        <v>701</v>
      </c>
      <c r="Q9" s="267" t="s">
        <v>1396</v>
      </c>
      <c r="R9" s="267">
        <v>2400</v>
      </c>
      <c r="S9" s="267" t="s">
        <v>1388</v>
      </c>
      <c r="T9" s="267" t="s">
        <v>1353</v>
      </c>
      <c r="U9" s="267" t="s">
        <v>639</v>
      </c>
      <c r="V9" s="267" t="s">
        <v>1388</v>
      </c>
      <c r="W9" s="267" t="s">
        <v>1354</v>
      </c>
      <c r="X9" s="267" t="s">
        <v>1327</v>
      </c>
      <c r="Y9" s="267" t="s">
        <v>1397</v>
      </c>
      <c r="AB9" s="267" t="s">
        <v>1774</v>
      </c>
      <c r="AC9" s="267" t="s">
        <v>20</v>
      </c>
      <c r="AD9" s="267" t="s">
        <v>1398</v>
      </c>
      <c r="AE9" s="267" t="s">
        <v>1399</v>
      </c>
      <c r="AF9" s="267" t="s">
        <v>1400</v>
      </c>
      <c r="AG9" s="267" t="s">
        <v>1359</v>
      </c>
    </row>
    <row r="10" spans="1:34" hidden="1" x14ac:dyDescent="0.25">
      <c r="A10" s="267">
        <v>83</v>
      </c>
      <c r="B10" s="267" t="s">
        <v>705</v>
      </c>
      <c r="C10" s="267" t="s">
        <v>708</v>
      </c>
      <c r="D10" s="267" t="s">
        <v>7</v>
      </c>
      <c r="E10" s="267" t="s">
        <v>1348</v>
      </c>
      <c r="F10" s="267" t="s">
        <v>2978</v>
      </c>
      <c r="G10" s="267" t="s">
        <v>3292</v>
      </c>
      <c r="H10" s="267" t="s">
        <v>2929</v>
      </c>
      <c r="I10" s="268">
        <v>0</v>
      </c>
      <c r="K10" s="267" t="s">
        <v>1401</v>
      </c>
      <c r="L10" s="267" t="s">
        <v>659</v>
      </c>
      <c r="M10" s="267">
        <v>84379</v>
      </c>
      <c r="N10" s="267" t="s">
        <v>680</v>
      </c>
      <c r="O10" s="268" t="s">
        <v>708</v>
      </c>
      <c r="P10" s="267" t="s">
        <v>709</v>
      </c>
      <c r="Q10" s="267" t="s">
        <v>1402</v>
      </c>
      <c r="R10" s="267">
        <v>1500</v>
      </c>
      <c r="S10" s="267" t="s">
        <v>1388</v>
      </c>
      <c r="T10" s="267" t="s">
        <v>1353</v>
      </c>
      <c r="U10" s="267" t="s">
        <v>639</v>
      </c>
      <c r="V10" s="267" t="s">
        <v>1388</v>
      </c>
      <c r="W10" s="267" t="s">
        <v>1354</v>
      </c>
      <c r="X10" s="267" t="s">
        <v>1327</v>
      </c>
      <c r="AD10" s="267" t="s">
        <v>1403</v>
      </c>
      <c r="AE10" s="267" t="s">
        <v>1404</v>
      </c>
      <c r="AG10" s="267" t="s">
        <v>1405</v>
      </c>
    </row>
    <row r="11" spans="1:34" hidden="1" x14ac:dyDescent="0.25">
      <c r="A11" s="267">
        <v>95</v>
      </c>
      <c r="B11" s="267" t="s">
        <v>1406</v>
      </c>
      <c r="C11" s="267" t="s">
        <v>1407</v>
      </c>
      <c r="D11" s="267" t="s">
        <v>7</v>
      </c>
      <c r="E11" s="267" t="s">
        <v>1305</v>
      </c>
      <c r="F11" s="267" t="s">
        <v>2970</v>
      </c>
      <c r="G11" s="267" t="s">
        <v>2971</v>
      </c>
      <c r="H11" s="267">
        <v>58233</v>
      </c>
      <c r="I11" s="268">
        <v>0</v>
      </c>
      <c r="K11" s="267" t="s">
        <v>1408</v>
      </c>
      <c r="L11" s="267" t="s">
        <v>659</v>
      </c>
      <c r="M11" s="267">
        <v>22582</v>
      </c>
      <c r="N11" s="267" t="s">
        <v>1361</v>
      </c>
      <c r="O11" s="268" t="s">
        <v>757</v>
      </c>
      <c r="P11" s="267" t="s">
        <v>759</v>
      </c>
      <c r="Q11" s="267" t="s">
        <v>1409</v>
      </c>
      <c r="R11" s="267">
        <v>2230</v>
      </c>
      <c r="S11" s="267" t="s">
        <v>1388</v>
      </c>
      <c r="T11" s="267" t="s">
        <v>72</v>
      </c>
      <c r="U11" s="267" t="s">
        <v>639</v>
      </c>
      <c r="V11" s="267" t="s">
        <v>1388</v>
      </c>
      <c r="W11" s="267" t="s">
        <v>1354</v>
      </c>
      <c r="X11" s="267" t="s">
        <v>1327</v>
      </c>
      <c r="Y11" s="267" t="s">
        <v>1397</v>
      </c>
      <c r="Z11" s="267" t="s">
        <v>786</v>
      </c>
      <c r="AA11" s="267" t="s">
        <v>1410</v>
      </c>
      <c r="AB11" s="267" t="s">
        <v>1563</v>
      </c>
      <c r="AC11" s="267" t="s">
        <v>10</v>
      </c>
      <c r="AD11" s="267" t="s">
        <v>1411</v>
      </c>
      <c r="AE11" s="267" t="s">
        <v>1412</v>
      </c>
      <c r="AF11" s="267" t="s">
        <v>1413</v>
      </c>
      <c r="AG11" s="267" t="s">
        <v>1414</v>
      </c>
      <c r="AH11" s="267" t="s">
        <v>1415</v>
      </c>
    </row>
    <row r="12" spans="1:34" hidden="1" x14ac:dyDescent="0.25">
      <c r="A12" s="267">
        <v>99</v>
      </c>
      <c r="B12" s="267" t="s">
        <v>719</v>
      </c>
      <c r="C12" s="267" t="s">
        <v>722</v>
      </c>
      <c r="D12" s="267" t="s">
        <v>7</v>
      </c>
      <c r="E12" s="267" t="s">
        <v>1348</v>
      </c>
      <c r="F12" s="267" t="s">
        <v>2978</v>
      </c>
      <c r="G12" s="267" t="s">
        <v>3292</v>
      </c>
      <c r="H12" s="267" t="s">
        <v>2929</v>
      </c>
      <c r="I12" s="268">
        <v>0</v>
      </c>
      <c r="K12" s="267" t="s">
        <v>1416</v>
      </c>
      <c r="L12" s="267" t="s">
        <v>659</v>
      </c>
      <c r="M12" s="267">
        <v>6212</v>
      </c>
      <c r="N12" s="267" t="s">
        <v>721</v>
      </c>
      <c r="O12" s="268" t="s">
        <v>722</v>
      </c>
      <c r="P12" s="267" t="s">
        <v>723</v>
      </c>
      <c r="Q12" s="267" t="s">
        <v>1417</v>
      </c>
      <c r="R12" s="267">
        <v>1130</v>
      </c>
      <c r="S12" s="267" t="s">
        <v>1324</v>
      </c>
      <c r="T12" s="267" t="s">
        <v>1353</v>
      </c>
      <c r="U12" s="267" t="s">
        <v>639</v>
      </c>
      <c r="V12" s="267" t="s">
        <v>1324</v>
      </c>
      <c r="W12" s="267" t="s">
        <v>1326</v>
      </c>
      <c r="X12" s="267" t="s">
        <v>1327</v>
      </c>
      <c r="Y12" s="267" t="s">
        <v>1389</v>
      </c>
      <c r="Z12" s="267" t="s">
        <v>1418</v>
      </c>
      <c r="AA12" s="267" t="s">
        <v>1419</v>
      </c>
      <c r="AB12" s="267" t="s">
        <v>2499</v>
      </c>
      <c r="AC12" s="267" t="s">
        <v>2281</v>
      </c>
      <c r="AD12" s="267" t="s">
        <v>1420</v>
      </c>
      <c r="AE12" s="267" t="s">
        <v>27</v>
      </c>
      <c r="AF12" s="267" t="s">
        <v>1413</v>
      </c>
      <c r="AG12" s="267" t="s">
        <v>1383</v>
      </c>
      <c r="AH12" s="267" t="s">
        <v>1421</v>
      </c>
    </row>
    <row r="13" spans="1:34" hidden="1" x14ac:dyDescent="0.25">
      <c r="A13" s="267">
        <v>100</v>
      </c>
      <c r="B13" s="267" t="s">
        <v>1422</v>
      </c>
      <c r="C13" s="267" t="s">
        <v>1423</v>
      </c>
      <c r="D13" s="267" t="s">
        <v>7</v>
      </c>
      <c r="E13" s="267" t="s">
        <v>1336</v>
      </c>
      <c r="F13" s="267" t="s">
        <v>2979</v>
      </c>
      <c r="G13" s="267" t="s">
        <v>2980</v>
      </c>
      <c r="H13" s="267" t="s">
        <v>2929</v>
      </c>
      <c r="I13" s="268">
        <v>0</v>
      </c>
      <c r="K13" s="267" t="s">
        <v>1424</v>
      </c>
      <c r="L13" s="267" t="s">
        <v>1153</v>
      </c>
      <c r="M13" s="267">
        <v>1623</v>
      </c>
      <c r="O13" s="268" t="s">
        <v>1423</v>
      </c>
      <c r="P13" s="267" t="s">
        <v>1425</v>
      </c>
      <c r="Q13" s="267" t="s">
        <v>1426</v>
      </c>
      <c r="R13" s="267">
        <v>1430</v>
      </c>
      <c r="S13" s="267" t="s">
        <v>1324</v>
      </c>
      <c r="T13" s="267" t="s">
        <v>1427</v>
      </c>
      <c r="U13" s="267" t="s">
        <v>687</v>
      </c>
      <c r="V13" s="267" t="s">
        <v>1324</v>
      </c>
      <c r="W13" s="267" t="s">
        <v>1326</v>
      </c>
      <c r="X13" s="267" t="s">
        <v>1327</v>
      </c>
      <c r="Y13" s="267" t="s">
        <v>1328</v>
      </c>
      <c r="Z13" s="267" t="s">
        <v>1428</v>
      </c>
      <c r="AA13" s="267" t="s">
        <v>1429</v>
      </c>
      <c r="AB13" s="267" t="s">
        <v>2546</v>
      </c>
      <c r="AC13" s="267" t="s">
        <v>2981</v>
      </c>
      <c r="AD13" s="267" t="s">
        <v>1430</v>
      </c>
      <c r="AE13" s="267" t="s">
        <v>1431</v>
      </c>
      <c r="AF13" s="267" t="s">
        <v>1432</v>
      </c>
      <c r="AG13" s="267" t="s">
        <v>1316</v>
      </c>
    </row>
    <row r="14" spans="1:34" hidden="1" x14ac:dyDescent="0.25">
      <c r="A14" s="267">
        <v>105</v>
      </c>
      <c r="B14" s="267" t="s">
        <v>1433</v>
      </c>
      <c r="C14" s="267" t="s">
        <v>968</v>
      </c>
      <c r="D14" s="267" t="s">
        <v>7</v>
      </c>
      <c r="E14" s="267" t="s">
        <v>1305</v>
      </c>
      <c r="F14" s="267" t="s">
        <v>2970</v>
      </c>
      <c r="G14" s="267" t="s">
        <v>2971</v>
      </c>
      <c r="H14" s="267" t="s">
        <v>2929</v>
      </c>
      <c r="I14" s="268">
        <v>0</v>
      </c>
      <c r="K14" s="267" t="s">
        <v>1434</v>
      </c>
      <c r="L14" s="267" t="s">
        <v>659</v>
      </c>
      <c r="M14" s="267">
        <v>1383</v>
      </c>
      <c r="O14" s="268" t="s">
        <v>765</v>
      </c>
      <c r="P14" s="267" t="s">
        <v>824</v>
      </c>
      <c r="Q14" s="267" t="s">
        <v>1435</v>
      </c>
      <c r="R14" s="267">
        <v>1330</v>
      </c>
      <c r="S14" s="267" t="s">
        <v>1436</v>
      </c>
      <c r="T14" s="267" t="s">
        <v>1325</v>
      </c>
      <c r="U14" s="267" t="s">
        <v>639</v>
      </c>
      <c r="V14" s="267" t="s">
        <v>1436</v>
      </c>
      <c r="W14" s="267" t="s">
        <v>1354</v>
      </c>
      <c r="X14" s="267" t="s">
        <v>1327</v>
      </c>
      <c r="Y14" s="267" t="s">
        <v>1389</v>
      </c>
      <c r="Z14" s="267" t="s">
        <v>1437</v>
      </c>
      <c r="AA14" s="267" t="s">
        <v>1438</v>
      </c>
      <c r="AB14" s="267" t="s">
        <v>1569</v>
      </c>
      <c r="AC14" s="267" t="s">
        <v>2399</v>
      </c>
      <c r="AD14" s="267" t="s">
        <v>1367</v>
      </c>
      <c r="AE14" s="267" t="s">
        <v>1367</v>
      </c>
      <c r="AF14" s="267" t="s">
        <v>1439</v>
      </c>
      <c r="AG14" s="267" t="s">
        <v>1383</v>
      </c>
      <c r="AH14" s="267" t="s">
        <v>1440</v>
      </c>
    </row>
    <row r="15" spans="1:34" hidden="1" x14ac:dyDescent="0.25">
      <c r="A15" s="267">
        <v>108</v>
      </c>
      <c r="B15" s="267" t="s">
        <v>730</v>
      </c>
      <c r="C15" s="267" t="s">
        <v>658</v>
      </c>
      <c r="D15" s="267" t="s">
        <v>7</v>
      </c>
      <c r="E15" s="267" t="s">
        <v>1385</v>
      </c>
      <c r="F15" s="267" t="s">
        <v>2982</v>
      </c>
      <c r="G15" s="267" t="s">
        <v>2983</v>
      </c>
      <c r="H15" s="267" t="s">
        <v>2929</v>
      </c>
      <c r="I15" s="268">
        <v>0</v>
      </c>
      <c r="K15" s="267" t="s">
        <v>1441</v>
      </c>
      <c r="L15" s="267" t="s">
        <v>659</v>
      </c>
      <c r="M15" s="267">
        <v>12345</v>
      </c>
      <c r="O15" s="268" t="s">
        <v>658</v>
      </c>
      <c r="P15" s="267" t="s">
        <v>732</v>
      </c>
      <c r="Q15" s="267" t="s">
        <v>1442</v>
      </c>
      <c r="R15" s="267">
        <v>1130</v>
      </c>
      <c r="S15" s="267" t="s">
        <v>1388</v>
      </c>
      <c r="T15" s="267" t="s">
        <v>1353</v>
      </c>
      <c r="U15" s="267" t="s">
        <v>639</v>
      </c>
      <c r="V15" s="267" t="s">
        <v>1388</v>
      </c>
      <c r="W15" s="267" t="s">
        <v>1443</v>
      </c>
      <c r="X15" s="267" t="s">
        <v>1327</v>
      </c>
      <c r="Y15" s="267" t="s">
        <v>1328</v>
      </c>
      <c r="AA15" s="267" t="s">
        <v>1444</v>
      </c>
      <c r="AB15" s="267" t="s">
        <v>1541</v>
      </c>
      <c r="AC15" s="267" t="s">
        <v>2984</v>
      </c>
      <c r="AD15" s="267" t="s">
        <v>1445</v>
      </c>
      <c r="AE15" s="267" t="s">
        <v>1446</v>
      </c>
      <c r="AF15" s="267" t="s">
        <v>1447</v>
      </c>
      <c r="AG15" s="267" t="s">
        <v>1448</v>
      </c>
    </row>
    <row r="16" spans="1:34" hidden="1" x14ac:dyDescent="0.25">
      <c r="A16" s="267">
        <v>110</v>
      </c>
      <c r="B16" s="267" t="s">
        <v>744</v>
      </c>
      <c r="C16" s="267" t="s">
        <v>1449</v>
      </c>
      <c r="D16" s="267" t="s">
        <v>7</v>
      </c>
      <c r="E16" s="267" t="s">
        <v>1385</v>
      </c>
      <c r="F16" s="267" t="s">
        <v>2985</v>
      </c>
      <c r="G16" s="267" t="s">
        <v>2986</v>
      </c>
      <c r="H16" s="267" t="s">
        <v>2929</v>
      </c>
      <c r="I16" s="268">
        <v>0</v>
      </c>
      <c r="K16" s="267" t="s">
        <v>1450</v>
      </c>
      <c r="L16" s="267" t="s">
        <v>659</v>
      </c>
      <c r="M16" s="267">
        <v>1333</v>
      </c>
      <c r="N16" s="267" t="s">
        <v>658</v>
      </c>
      <c r="O16" s="268" t="s">
        <v>662</v>
      </c>
      <c r="P16" s="267" t="s">
        <v>747</v>
      </c>
      <c r="Q16" s="267" t="s">
        <v>1451</v>
      </c>
      <c r="R16" s="267" t="s">
        <v>1452</v>
      </c>
      <c r="S16" s="267" t="s">
        <v>1388</v>
      </c>
      <c r="T16" s="267" t="s">
        <v>1353</v>
      </c>
      <c r="U16" s="267" t="s">
        <v>639</v>
      </c>
      <c r="V16" s="267" t="s">
        <v>1388</v>
      </c>
      <c r="W16" s="267" t="s">
        <v>1354</v>
      </c>
      <c r="X16" s="267" t="s">
        <v>1327</v>
      </c>
      <c r="Y16" s="267" t="s">
        <v>1389</v>
      </c>
      <c r="Z16" s="267" t="s">
        <v>1119</v>
      </c>
      <c r="AA16" s="267" t="s">
        <v>1453</v>
      </c>
      <c r="AB16" s="267" t="s">
        <v>1711</v>
      </c>
      <c r="AC16" s="267" t="s">
        <v>2976</v>
      </c>
      <c r="AD16" s="267" t="s">
        <v>1454</v>
      </c>
      <c r="AE16" s="267" t="s">
        <v>1455</v>
      </c>
      <c r="AF16" s="267" t="s">
        <v>1456</v>
      </c>
      <c r="AG16" s="267" t="s">
        <v>1457</v>
      </c>
      <c r="AH16" s="267" t="s">
        <v>1458</v>
      </c>
    </row>
    <row r="17" spans="1:34" hidden="1" x14ac:dyDescent="0.25">
      <c r="A17" s="267">
        <v>112</v>
      </c>
      <c r="B17" s="267" t="s">
        <v>755</v>
      </c>
      <c r="C17" s="267" t="s">
        <v>968</v>
      </c>
      <c r="D17" s="267" t="s">
        <v>7</v>
      </c>
      <c r="E17" s="267" t="s">
        <v>1305</v>
      </c>
      <c r="F17" s="267" t="s">
        <v>2970</v>
      </c>
      <c r="G17" s="267" t="s">
        <v>2971</v>
      </c>
      <c r="I17" s="268">
        <v>0</v>
      </c>
      <c r="K17" s="267" t="s">
        <v>1459</v>
      </c>
      <c r="L17" s="267" t="s">
        <v>659</v>
      </c>
      <c r="M17" s="267">
        <v>22582</v>
      </c>
      <c r="O17" s="268" t="s">
        <v>757</v>
      </c>
      <c r="P17" s="267" t="s">
        <v>759</v>
      </c>
      <c r="Q17" s="267" t="s">
        <v>702</v>
      </c>
      <c r="R17" s="267">
        <v>1600</v>
      </c>
      <c r="S17" s="267" t="s">
        <v>1388</v>
      </c>
      <c r="T17" s="267" t="s">
        <v>1353</v>
      </c>
      <c r="U17" s="267" t="s">
        <v>639</v>
      </c>
      <c r="V17" s="267" t="s">
        <v>1388</v>
      </c>
      <c r="W17" s="267" t="s">
        <v>1354</v>
      </c>
      <c r="X17" s="267" t="s">
        <v>1327</v>
      </c>
      <c r="Y17" s="267" t="s">
        <v>1389</v>
      </c>
      <c r="Z17" s="267" t="s">
        <v>1460</v>
      </c>
      <c r="AA17" s="267" t="s">
        <v>1461</v>
      </c>
      <c r="AB17" s="267" t="s">
        <v>1723</v>
      </c>
      <c r="AC17" s="267" t="s">
        <v>9</v>
      </c>
      <c r="AD17" s="267" t="s">
        <v>1462</v>
      </c>
      <c r="AE17" s="267" t="s">
        <v>1462</v>
      </c>
      <c r="AF17" s="267" t="s">
        <v>1369</v>
      </c>
      <c r="AG17" s="267" t="s">
        <v>1463</v>
      </c>
      <c r="AH17" s="267" t="s">
        <v>1464</v>
      </c>
    </row>
    <row r="18" spans="1:34" hidden="1" x14ac:dyDescent="0.25">
      <c r="A18" s="267">
        <v>114</v>
      </c>
      <c r="B18" s="267" t="s">
        <v>768</v>
      </c>
      <c r="C18" s="267" t="s">
        <v>680</v>
      </c>
      <c r="D18" s="267" t="s">
        <v>7</v>
      </c>
      <c r="E18" s="267" t="s">
        <v>1348</v>
      </c>
      <c r="F18" s="267" t="s">
        <v>2987</v>
      </c>
      <c r="G18" s="267" t="s">
        <v>3293</v>
      </c>
      <c r="I18" s="268">
        <v>0</v>
      </c>
      <c r="K18" s="267" t="s">
        <v>1465</v>
      </c>
      <c r="L18" s="267" t="s">
        <v>659</v>
      </c>
      <c r="M18" s="267">
        <v>15664</v>
      </c>
      <c r="O18" s="268" t="s">
        <v>771</v>
      </c>
      <c r="P18" s="267" t="s">
        <v>772</v>
      </c>
      <c r="Q18" s="267" t="s">
        <v>1466</v>
      </c>
      <c r="R18" s="267">
        <v>1230</v>
      </c>
      <c r="S18" s="267" t="s">
        <v>1309</v>
      </c>
      <c r="T18" s="267" t="s">
        <v>1353</v>
      </c>
      <c r="U18" s="267" t="s">
        <v>639</v>
      </c>
      <c r="V18" s="267" t="s">
        <v>1309</v>
      </c>
      <c r="W18" s="267" t="s">
        <v>1326</v>
      </c>
      <c r="X18" s="267" t="s">
        <v>1327</v>
      </c>
      <c r="Y18" s="267" t="s">
        <v>1328</v>
      </c>
      <c r="Z18" s="267" t="s">
        <v>1467</v>
      </c>
      <c r="AB18" s="267" t="s">
        <v>1468</v>
      </c>
      <c r="AC18" s="267" t="s">
        <v>2389</v>
      </c>
      <c r="AD18" s="267" t="s">
        <v>1469</v>
      </c>
      <c r="AE18" s="267" t="s">
        <v>1470</v>
      </c>
      <c r="AF18" s="267" t="s">
        <v>1333</v>
      </c>
      <c r="AG18" s="267" t="s">
        <v>1471</v>
      </c>
    </row>
    <row r="19" spans="1:34" x14ac:dyDescent="0.25">
      <c r="A19" s="267">
        <v>116</v>
      </c>
      <c r="B19" s="267" t="s">
        <v>779</v>
      </c>
      <c r="C19" s="267" t="s">
        <v>781</v>
      </c>
      <c r="D19" s="267" t="s">
        <v>7</v>
      </c>
      <c r="E19" s="267" t="s">
        <v>1348</v>
      </c>
      <c r="F19" s="267" t="s">
        <v>2987</v>
      </c>
      <c r="G19" s="267" t="s">
        <v>3293</v>
      </c>
      <c r="H19" s="267">
        <v>16292</v>
      </c>
      <c r="I19" s="268">
        <v>0</v>
      </c>
      <c r="K19" s="267" t="s">
        <v>1465</v>
      </c>
      <c r="L19" s="267" t="s">
        <v>659</v>
      </c>
      <c r="M19" s="267">
        <v>15664</v>
      </c>
      <c r="O19" s="268" t="s">
        <v>781</v>
      </c>
      <c r="P19" s="267" t="s">
        <v>772</v>
      </c>
      <c r="Q19" s="267" t="s">
        <v>1459</v>
      </c>
      <c r="R19" s="267" t="s">
        <v>1339</v>
      </c>
      <c r="S19" s="267" t="s">
        <v>1388</v>
      </c>
      <c r="T19" s="267" t="s">
        <v>1353</v>
      </c>
      <c r="U19" s="267" t="s">
        <v>687</v>
      </c>
      <c r="V19" s="267" t="s">
        <v>1388</v>
      </c>
      <c r="W19" s="267" t="s">
        <v>1354</v>
      </c>
      <c r="X19" s="267" t="s">
        <v>1327</v>
      </c>
      <c r="Y19" s="267" t="s">
        <v>1397</v>
      </c>
      <c r="AA19" s="267" t="s">
        <v>1472</v>
      </c>
      <c r="AB19" s="267" t="s">
        <v>1614</v>
      </c>
      <c r="AC19" s="267" t="s">
        <v>4</v>
      </c>
      <c r="AD19" s="267" t="s">
        <v>1473</v>
      </c>
      <c r="AE19" s="267" t="s">
        <v>1473</v>
      </c>
      <c r="AF19" s="267" t="s">
        <v>1358</v>
      </c>
      <c r="AG19" s="267" t="s">
        <v>1474</v>
      </c>
    </row>
    <row r="20" spans="1:34" hidden="1" x14ac:dyDescent="0.25">
      <c r="A20" s="267">
        <v>117</v>
      </c>
      <c r="B20" s="267" t="s">
        <v>784</v>
      </c>
      <c r="C20" s="267" t="s">
        <v>968</v>
      </c>
      <c r="D20" s="267" t="s">
        <v>7</v>
      </c>
      <c r="E20" s="267" t="s">
        <v>1305</v>
      </c>
      <c r="F20" s="267" t="s">
        <v>2970</v>
      </c>
      <c r="G20" s="267" t="s">
        <v>2971</v>
      </c>
      <c r="H20" s="267">
        <v>59158</v>
      </c>
      <c r="I20" s="268">
        <v>0</v>
      </c>
      <c r="K20" s="267" t="s">
        <v>1475</v>
      </c>
      <c r="L20" s="267" t="s">
        <v>659</v>
      </c>
      <c r="M20" s="267">
        <v>1383</v>
      </c>
      <c r="O20" s="268" t="s">
        <v>787</v>
      </c>
      <c r="P20" s="267" t="s">
        <v>788</v>
      </c>
      <c r="Q20" s="267" t="s">
        <v>1476</v>
      </c>
      <c r="R20" s="267" t="s">
        <v>1351</v>
      </c>
      <c r="S20" s="267" t="s">
        <v>1388</v>
      </c>
      <c r="T20" s="267" t="s">
        <v>1353</v>
      </c>
      <c r="U20" s="267" t="s">
        <v>639</v>
      </c>
      <c r="V20" s="267" t="s">
        <v>1388</v>
      </c>
      <c r="W20" s="267" t="s">
        <v>1354</v>
      </c>
      <c r="X20" s="267" t="s">
        <v>1327</v>
      </c>
      <c r="Y20" s="267" t="s">
        <v>1397</v>
      </c>
      <c r="Z20" s="267" t="s">
        <v>786</v>
      </c>
      <c r="AA20" s="267" t="s">
        <v>1477</v>
      </c>
      <c r="AB20" s="267" t="s">
        <v>1563</v>
      </c>
      <c r="AC20" s="267" t="s">
        <v>10</v>
      </c>
      <c r="AD20" s="267" t="s">
        <v>1478</v>
      </c>
      <c r="AE20" s="267" t="s">
        <v>1479</v>
      </c>
      <c r="AF20" s="267" t="s">
        <v>1480</v>
      </c>
      <c r="AG20" s="267" t="s">
        <v>1481</v>
      </c>
      <c r="AH20" s="267" t="s">
        <v>1482</v>
      </c>
    </row>
    <row r="21" spans="1:34" hidden="1" x14ac:dyDescent="0.25">
      <c r="A21" s="267">
        <v>120</v>
      </c>
      <c r="B21" s="267" t="s">
        <v>1483</v>
      </c>
      <c r="C21" s="267" t="s">
        <v>1361</v>
      </c>
      <c r="D21" s="267" t="s">
        <v>7</v>
      </c>
      <c r="E21" s="267" t="s">
        <v>1305</v>
      </c>
      <c r="F21" s="267" t="s">
        <v>2970</v>
      </c>
      <c r="G21" s="267" t="s">
        <v>2971</v>
      </c>
      <c r="H21" s="267" t="s">
        <v>2929</v>
      </c>
      <c r="I21" s="268">
        <v>0</v>
      </c>
      <c r="K21" s="267" t="s">
        <v>1484</v>
      </c>
      <c r="L21" s="267" t="s">
        <v>659</v>
      </c>
      <c r="M21" s="267">
        <v>22582</v>
      </c>
      <c r="N21" s="267" t="s">
        <v>968</v>
      </c>
      <c r="O21" s="268" t="s">
        <v>765</v>
      </c>
      <c r="P21" s="267" t="s">
        <v>759</v>
      </c>
      <c r="Q21" s="267" t="s">
        <v>1484</v>
      </c>
      <c r="R21" s="267">
        <v>1100</v>
      </c>
      <c r="S21" s="267" t="s">
        <v>1310</v>
      </c>
      <c r="T21" s="267" t="s">
        <v>1325</v>
      </c>
      <c r="U21" s="267" t="s">
        <v>639</v>
      </c>
      <c r="V21" s="267" t="s">
        <v>1310</v>
      </c>
      <c r="W21" s="267" t="s">
        <v>1354</v>
      </c>
      <c r="X21" s="267" t="s">
        <v>1327</v>
      </c>
      <c r="Y21" s="267" t="s">
        <v>1328</v>
      </c>
      <c r="AA21" s="267" t="s">
        <v>1485</v>
      </c>
      <c r="AD21" s="267" t="s">
        <v>1486</v>
      </c>
      <c r="AE21" s="267" t="s">
        <v>27</v>
      </c>
      <c r="AF21" s="267" t="s">
        <v>1487</v>
      </c>
      <c r="AG21" s="267" t="s">
        <v>1488</v>
      </c>
    </row>
    <row r="22" spans="1:34" hidden="1" x14ac:dyDescent="0.25">
      <c r="A22" s="267">
        <v>122</v>
      </c>
      <c r="B22" s="267" t="s">
        <v>793</v>
      </c>
      <c r="C22" s="267" t="s">
        <v>981</v>
      </c>
      <c r="D22" s="267" t="s">
        <v>7</v>
      </c>
      <c r="E22" s="267" t="s">
        <v>1348</v>
      </c>
      <c r="F22" s="267" t="s">
        <v>2978</v>
      </c>
      <c r="G22" s="267" t="s">
        <v>3292</v>
      </c>
      <c r="H22" s="267" t="s">
        <v>2929</v>
      </c>
      <c r="I22" s="268">
        <v>0</v>
      </c>
      <c r="K22" s="267" t="s">
        <v>1489</v>
      </c>
      <c r="L22" s="267" t="s">
        <v>659</v>
      </c>
      <c r="M22" s="267">
        <v>6212</v>
      </c>
      <c r="N22" s="267" t="s">
        <v>772</v>
      </c>
      <c r="O22" s="268" t="s">
        <v>781</v>
      </c>
      <c r="P22" s="267" t="s">
        <v>723</v>
      </c>
      <c r="Q22" s="267" t="s">
        <v>1490</v>
      </c>
      <c r="R22" s="267">
        <v>1030</v>
      </c>
      <c r="S22" s="267" t="s">
        <v>1324</v>
      </c>
      <c r="T22" s="267" t="s">
        <v>1353</v>
      </c>
      <c r="U22" s="267" t="s">
        <v>687</v>
      </c>
      <c r="V22" s="267" t="s">
        <v>1324</v>
      </c>
      <c r="W22" s="267" t="s">
        <v>1326</v>
      </c>
      <c r="X22" s="267" t="s">
        <v>1327</v>
      </c>
      <c r="Y22" s="267" t="s">
        <v>1389</v>
      </c>
      <c r="Z22" s="267" t="s">
        <v>1491</v>
      </c>
      <c r="AA22" s="267" t="s">
        <v>1492</v>
      </c>
      <c r="AB22" s="267" t="s">
        <v>2340</v>
      </c>
      <c r="AC22" s="267" t="s">
        <v>2988</v>
      </c>
      <c r="AD22" s="267" t="s">
        <v>1493</v>
      </c>
      <c r="AE22" s="267" t="s">
        <v>1494</v>
      </c>
      <c r="AF22" s="267" t="s">
        <v>1495</v>
      </c>
      <c r="AG22" s="267" t="s">
        <v>1496</v>
      </c>
      <c r="AH22" s="267" t="s">
        <v>1497</v>
      </c>
    </row>
    <row r="23" spans="1:34" hidden="1" x14ac:dyDescent="0.25">
      <c r="A23" s="267">
        <v>123</v>
      </c>
      <c r="B23" s="267" t="s">
        <v>798</v>
      </c>
      <c r="C23" s="267" t="s">
        <v>800</v>
      </c>
      <c r="D23" s="267" t="s">
        <v>7</v>
      </c>
      <c r="E23" s="267" t="s">
        <v>1348</v>
      </c>
      <c r="F23" s="267" t="s">
        <v>2989</v>
      </c>
      <c r="G23" s="267" t="s">
        <v>2990</v>
      </c>
      <c r="H23" s="267" t="s">
        <v>2929</v>
      </c>
      <c r="I23" s="268">
        <v>0</v>
      </c>
      <c r="K23" s="267" t="s">
        <v>1489</v>
      </c>
      <c r="L23" s="267" t="s">
        <v>659</v>
      </c>
      <c r="M23" s="267">
        <v>72445</v>
      </c>
      <c r="N23" s="267" t="s">
        <v>772</v>
      </c>
      <c r="O23" s="268" t="s">
        <v>800</v>
      </c>
      <c r="P23" s="267" t="s">
        <v>801</v>
      </c>
      <c r="Q23" s="267" t="s">
        <v>1465</v>
      </c>
      <c r="R23" s="267" t="s">
        <v>1498</v>
      </c>
      <c r="S23" s="267" t="s">
        <v>1499</v>
      </c>
      <c r="T23" s="267" t="s">
        <v>1353</v>
      </c>
      <c r="U23" s="267" t="s">
        <v>639</v>
      </c>
      <c r="V23" s="267" t="s">
        <v>1499</v>
      </c>
      <c r="W23" s="267" t="s">
        <v>1326</v>
      </c>
      <c r="X23" s="267" t="s">
        <v>1327</v>
      </c>
      <c r="Y23" s="267" t="s">
        <v>1397</v>
      </c>
      <c r="AB23" s="267">
        <v>9034</v>
      </c>
      <c r="AC23" s="267" t="s">
        <v>2991</v>
      </c>
      <c r="AD23" s="267" t="s">
        <v>1500</v>
      </c>
      <c r="AE23" s="267" t="s">
        <v>1501</v>
      </c>
      <c r="AF23" s="267" t="s">
        <v>1502</v>
      </c>
      <c r="AG23" s="267" t="s">
        <v>1359</v>
      </c>
    </row>
    <row r="24" spans="1:34" hidden="1" x14ac:dyDescent="0.25">
      <c r="A24" s="267">
        <v>124</v>
      </c>
      <c r="B24" s="267" t="s">
        <v>1503</v>
      </c>
      <c r="C24" s="267" t="s">
        <v>708</v>
      </c>
      <c r="D24" s="267" t="s">
        <v>7</v>
      </c>
      <c r="E24" s="267" t="s">
        <v>1348</v>
      </c>
      <c r="F24" s="267" t="s">
        <v>2992</v>
      </c>
      <c r="G24" s="267" t="s">
        <v>3294</v>
      </c>
      <c r="H24" s="267" t="s">
        <v>2929</v>
      </c>
      <c r="I24" s="268">
        <v>0</v>
      </c>
      <c r="K24" s="267" t="s">
        <v>1504</v>
      </c>
      <c r="L24" s="267" t="s">
        <v>659</v>
      </c>
      <c r="M24" s="267" t="s">
        <v>1505</v>
      </c>
      <c r="O24" s="268" t="s">
        <v>708</v>
      </c>
      <c r="P24" s="267" t="s">
        <v>1506</v>
      </c>
      <c r="Q24" s="267" t="s">
        <v>1507</v>
      </c>
      <c r="R24" s="267" t="s">
        <v>1339</v>
      </c>
      <c r="S24" s="267" t="s">
        <v>1310</v>
      </c>
      <c r="T24" s="267" t="s">
        <v>1325</v>
      </c>
      <c r="U24" s="267" t="s">
        <v>639</v>
      </c>
      <c r="V24" s="267" t="s">
        <v>1388</v>
      </c>
      <c r="W24" s="267" t="s">
        <v>1354</v>
      </c>
      <c r="X24" s="267" t="s">
        <v>1327</v>
      </c>
      <c r="Y24" s="267" t="s">
        <v>1397</v>
      </c>
      <c r="AA24" s="267" t="s">
        <v>1508</v>
      </c>
      <c r="AB24" s="267" t="s">
        <v>1997</v>
      </c>
      <c r="AC24" s="267" t="s">
        <v>2274</v>
      </c>
      <c r="AD24" s="267" t="s">
        <v>1509</v>
      </c>
      <c r="AE24" s="267" t="s">
        <v>1510</v>
      </c>
      <c r="AF24" s="267" t="s">
        <v>72</v>
      </c>
      <c r="AG24" s="267" t="s">
        <v>1511</v>
      </c>
    </row>
    <row r="25" spans="1:34" hidden="1" x14ac:dyDescent="0.25">
      <c r="A25" s="267">
        <v>125</v>
      </c>
      <c r="B25" s="267" t="s">
        <v>1512</v>
      </c>
      <c r="C25" s="267" t="s">
        <v>1513</v>
      </c>
      <c r="D25" s="267" t="s">
        <v>7</v>
      </c>
      <c r="E25" s="267" t="s">
        <v>1385</v>
      </c>
      <c r="F25" s="267" t="s">
        <v>2993</v>
      </c>
      <c r="G25" s="267" t="s">
        <v>2994</v>
      </c>
      <c r="H25" s="267" t="s">
        <v>2929</v>
      </c>
      <c r="I25" s="268">
        <v>0</v>
      </c>
      <c r="K25" s="267" t="s">
        <v>1514</v>
      </c>
      <c r="L25" s="267" t="s">
        <v>659</v>
      </c>
      <c r="M25" s="267">
        <v>3299</v>
      </c>
      <c r="O25" s="268" t="s">
        <v>1513</v>
      </c>
      <c r="P25" s="267" t="s">
        <v>1515</v>
      </c>
      <c r="Q25" s="267" t="s">
        <v>1514</v>
      </c>
      <c r="R25" s="267" t="s">
        <v>1516</v>
      </c>
      <c r="S25" s="267" t="s">
        <v>1388</v>
      </c>
      <c r="T25" s="267" t="s">
        <v>1517</v>
      </c>
      <c r="U25" s="267" t="s">
        <v>687</v>
      </c>
      <c r="V25" s="267" t="s">
        <v>1388</v>
      </c>
      <c r="W25" s="267" t="s">
        <v>1354</v>
      </c>
      <c r="X25" s="267" t="s">
        <v>1343</v>
      </c>
      <c r="Y25" s="267" t="s">
        <v>1518</v>
      </c>
      <c r="AA25" s="267" t="s">
        <v>1519</v>
      </c>
      <c r="AB25" s="267" t="s">
        <v>1895</v>
      </c>
      <c r="AC25" s="267" t="s">
        <v>626</v>
      </c>
      <c r="AD25" s="267" t="s">
        <v>1520</v>
      </c>
      <c r="AE25" s="267" t="s">
        <v>27</v>
      </c>
      <c r="AF25" s="267" t="s">
        <v>1521</v>
      </c>
      <c r="AG25" s="267" t="s">
        <v>1358</v>
      </c>
    </row>
    <row r="26" spans="1:34" hidden="1" x14ac:dyDescent="0.25">
      <c r="A26" s="267">
        <v>128</v>
      </c>
      <c r="B26" s="267" t="s">
        <v>1522</v>
      </c>
      <c r="C26" s="267" t="s">
        <v>694</v>
      </c>
      <c r="D26" s="267" t="s">
        <v>7</v>
      </c>
      <c r="E26" s="267" t="s">
        <v>1385</v>
      </c>
      <c r="F26" s="267" t="s">
        <v>2982</v>
      </c>
      <c r="G26" s="267" t="s">
        <v>2983</v>
      </c>
      <c r="I26" s="268">
        <v>0</v>
      </c>
      <c r="K26" s="267" t="s">
        <v>1523</v>
      </c>
      <c r="L26" s="267" t="s">
        <v>659</v>
      </c>
      <c r="M26" s="267" t="s">
        <v>1524</v>
      </c>
      <c r="O26" s="268" t="s">
        <v>694</v>
      </c>
      <c r="P26" s="267" t="s">
        <v>1014</v>
      </c>
      <c r="Q26" s="267" t="s">
        <v>1465</v>
      </c>
      <c r="R26" s="267" t="s">
        <v>1516</v>
      </c>
      <c r="S26" s="267" t="s">
        <v>1525</v>
      </c>
      <c r="T26" s="267" t="s">
        <v>72</v>
      </c>
      <c r="U26" s="267" t="s">
        <v>639</v>
      </c>
      <c r="V26" s="267" t="s">
        <v>1525</v>
      </c>
      <c r="W26" s="267" t="s">
        <v>1443</v>
      </c>
      <c r="X26" s="267" t="s">
        <v>1327</v>
      </c>
      <c r="AB26" s="267" t="s">
        <v>2345</v>
      </c>
      <c r="AC26" s="267" t="s">
        <v>2995</v>
      </c>
      <c r="AD26" s="267" t="s">
        <v>1526</v>
      </c>
      <c r="AE26" s="267" t="s">
        <v>1527</v>
      </c>
      <c r="AF26" s="267" t="s">
        <v>72</v>
      </c>
      <c r="AG26" s="267" t="s">
        <v>1358</v>
      </c>
    </row>
    <row r="27" spans="1:34" hidden="1" x14ac:dyDescent="0.25">
      <c r="A27" s="267">
        <v>132</v>
      </c>
      <c r="B27" s="267" t="s">
        <v>1528</v>
      </c>
      <c r="C27" s="267" t="s">
        <v>1529</v>
      </c>
      <c r="D27" s="267" t="s">
        <v>7</v>
      </c>
      <c r="E27" s="267" t="s">
        <v>1348</v>
      </c>
      <c r="F27" s="267" t="s">
        <v>2996</v>
      </c>
      <c r="G27" s="267" t="s">
        <v>2997</v>
      </c>
      <c r="H27" s="267">
        <v>16414</v>
      </c>
      <c r="I27" s="268">
        <v>0</v>
      </c>
      <c r="K27" s="267" t="s">
        <v>1530</v>
      </c>
      <c r="L27" s="267" t="s">
        <v>659</v>
      </c>
      <c r="M27" s="267" t="s">
        <v>1531</v>
      </c>
      <c r="N27" s="267" t="s">
        <v>1532</v>
      </c>
      <c r="O27" s="268" t="s">
        <v>1529</v>
      </c>
      <c r="P27" s="267" t="s">
        <v>1533</v>
      </c>
      <c r="Q27" s="267" t="s">
        <v>1530</v>
      </c>
      <c r="R27" s="267">
        <v>1430</v>
      </c>
      <c r="S27" s="267" t="s">
        <v>1340</v>
      </c>
      <c r="T27" s="267" t="s">
        <v>72</v>
      </c>
      <c r="U27" s="267" t="s">
        <v>687</v>
      </c>
      <c r="V27" s="267" t="s">
        <v>1340</v>
      </c>
      <c r="W27" s="267" t="s">
        <v>1342</v>
      </c>
      <c r="X27" s="267" t="s">
        <v>1327</v>
      </c>
      <c r="Y27" s="267" t="s">
        <v>1328</v>
      </c>
      <c r="Z27" s="267" t="s">
        <v>1534</v>
      </c>
      <c r="AA27" s="267" t="s">
        <v>1535</v>
      </c>
      <c r="AB27" s="267" t="s">
        <v>2546</v>
      </c>
      <c r="AC27" s="267" t="s">
        <v>2981</v>
      </c>
      <c r="AD27" s="267" t="s">
        <v>1536</v>
      </c>
      <c r="AE27" s="267" t="s">
        <v>1537</v>
      </c>
      <c r="AF27" s="267" t="s">
        <v>1495</v>
      </c>
      <c r="AG27" s="267" t="s">
        <v>1383</v>
      </c>
      <c r="AH27" s="267" t="s">
        <v>1538</v>
      </c>
    </row>
    <row r="28" spans="1:34" hidden="1" x14ac:dyDescent="0.25">
      <c r="A28" s="267">
        <v>133</v>
      </c>
      <c r="B28" s="267" t="s">
        <v>806</v>
      </c>
      <c r="C28" s="267" t="s">
        <v>658</v>
      </c>
      <c r="D28" s="267" t="s">
        <v>7</v>
      </c>
      <c r="E28" s="267" t="s">
        <v>1385</v>
      </c>
      <c r="F28" s="267" t="s">
        <v>2998</v>
      </c>
      <c r="G28" s="267" t="s">
        <v>2999</v>
      </c>
      <c r="H28" s="267">
        <v>25529</v>
      </c>
      <c r="I28" s="268">
        <v>0</v>
      </c>
      <c r="K28" s="267" t="s">
        <v>795</v>
      </c>
      <c r="L28" s="267" t="s">
        <v>659</v>
      </c>
      <c r="M28" s="267">
        <v>15654</v>
      </c>
      <c r="N28" s="267" t="s">
        <v>662</v>
      </c>
      <c r="O28" s="268" t="s">
        <v>658</v>
      </c>
      <c r="P28" s="267" t="s">
        <v>732</v>
      </c>
      <c r="Q28" s="267" t="s">
        <v>1539</v>
      </c>
      <c r="R28" s="267">
        <v>1200</v>
      </c>
      <c r="S28" s="267" t="s">
        <v>1388</v>
      </c>
      <c r="T28" s="267" t="s">
        <v>1353</v>
      </c>
      <c r="U28" s="267" t="s">
        <v>639</v>
      </c>
      <c r="V28" s="267" t="s">
        <v>1388</v>
      </c>
      <c r="W28" s="267" t="s">
        <v>1354</v>
      </c>
      <c r="X28" s="267" t="s">
        <v>1327</v>
      </c>
      <c r="Y28" s="267" t="s">
        <v>1389</v>
      </c>
      <c r="Z28" s="267" t="s">
        <v>1540</v>
      </c>
      <c r="AB28" s="267" t="s">
        <v>1541</v>
      </c>
      <c r="AC28" s="267" t="s">
        <v>2984</v>
      </c>
      <c r="AD28" s="267" t="s">
        <v>1542</v>
      </c>
      <c r="AE28" s="267" t="s">
        <v>27</v>
      </c>
      <c r="AF28" s="267" t="s">
        <v>1333</v>
      </c>
      <c r="AG28" s="267" t="s">
        <v>1543</v>
      </c>
      <c r="AH28" s="267" t="s">
        <v>1544</v>
      </c>
    </row>
    <row r="29" spans="1:34" hidden="1" x14ac:dyDescent="0.25">
      <c r="A29" s="267">
        <v>136</v>
      </c>
      <c r="B29" s="267" t="s">
        <v>815</v>
      </c>
      <c r="C29" s="267" t="s">
        <v>658</v>
      </c>
      <c r="D29" s="267" t="s">
        <v>7</v>
      </c>
      <c r="E29" s="267" t="s">
        <v>1385</v>
      </c>
      <c r="F29" s="267" t="s">
        <v>2998</v>
      </c>
      <c r="G29" s="267" t="s">
        <v>2999</v>
      </c>
      <c r="H29" s="267">
        <v>25532</v>
      </c>
      <c r="I29" s="268">
        <v>0</v>
      </c>
      <c r="K29" s="267" t="s">
        <v>1545</v>
      </c>
      <c r="L29" s="267" t="s">
        <v>659</v>
      </c>
      <c r="M29" s="267">
        <v>15654</v>
      </c>
      <c r="N29" s="267" t="s">
        <v>658</v>
      </c>
      <c r="O29" s="268" t="s">
        <v>658</v>
      </c>
      <c r="P29" s="267" t="s">
        <v>732</v>
      </c>
      <c r="Q29" s="267" t="s">
        <v>795</v>
      </c>
      <c r="R29" s="267">
        <v>1800</v>
      </c>
      <c r="S29" s="267" t="s">
        <v>1388</v>
      </c>
      <c r="T29" s="267" t="s">
        <v>1353</v>
      </c>
      <c r="U29" s="267" t="s">
        <v>639</v>
      </c>
      <c r="V29" s="267" t="s">
        <v>1388</v>
      </c>
      <c r="W29" s="267" t="s">
        <v>1354</v>
      </c>
      <c r="X29" s="267" t="s">
        <v>1546</v>
      </c>
      <c r="Y29" s="267" t="s">
        <v>1547</v>
      </c>
      <c r="Z29" s="267" t="s">
        <v>1540</v>
      </c>
      <c r="AA29" s="267" t="s">
        <v>1548</v>
      </c>
      <c r="AB29" s="267" t="s">
        <v>1541</v>
      </c>
      <c r="AC29" s="267" t="s">
        <v>2984</v>
      </c>
      <c r="AD29" s="267" t="s">
        <v>1549</v>
      </c>
      <c r="AE29" s="267" t="s">
        <v>1550</v>
      </c>
      <c r="AF29" s="267" t="s">
        <v>1551</v>
      </c>
      <c r="AG29" s="267" t="s">
        <v>1358</v>
      </c>
      <c r="AH29" s="267" t="s">
        <v>1552</v>
      </c>
    </row>
    <row r="30" spans="1:34" hidden="1" x14ac:dyDescent="0.25">
      <c r="A30" s="267">
        <v>137</v>
      </c>
      <c r="B30" s="267" t="s">
        <v>817</v>
      </c>
      <c r="C30" s="267" t="s">
        <v>658</v>
      </c>
      <c r="D30" s="267" t="s">
        <v>7</v>
      </c>
      <c r="E30" s="267" t="s">
        <v>1385</v>
      </c>
      <c r="F30" s="267" t="s">
        <v>2998</v>
      </c>
      <c r="G30" s="267" t="s">
        <v>2999</v>
      </c>
      <c r="H30" s="267" t="s">
        <v>2929</v>
      </c>
      <c r="I30" s="268">
        <v>0</v>
      </c>
      <c r="K30" s="267" t="s">
        <v>1545</v>
      </c>
      <c r="L30" s="267" t="s">
        <v>659</v>
      </c>
      <c r="M30" s="267">
        <v>15654</v>
      </c>
      <c r="N30" s="267" t="s">
        <v>658</v>
      </c>
      <c r="O30" s="268" t="s">
        <v>679</v>
      </c>
      <c r="P30" s="267" t="s">
        <v>732</v>
      </c>
      <c r="Q30" s="267" t="s">
        <v>1553</v>
      </c>
      <c r="R30" s="267" t="s">
        <v>1498</v>
      </c>
      <c r="S30" s="267" t="s">
        <v>1388</v>
      </c>
      <c r="T30" s="267" t="s">
        <v>1353</v>
      </c>
      <c r="U30" s="267" t="s">
        <v>639</v>
      </c>
      <c r="V30" s="267" t="s">
        <v>1388</v>
      </c>
      <c r="W30" s="267" t="s">
        <v>1354</v>
      </c>
      <c r="X30" s="267" t="s">
        <v>1327</v>
      </c>
      <c r="Y30" s="267" t="s">
        <v>1397</v>
      </c>
      <c r="AA30" s="267" t="s">
        <v>1554</v>
      </c>
      <c r="AB30" s="267" t="s">
        <v>1555</v>
      </c>
      <c r="AC30" s="267" t="s">
        <v>3000</v>
      </c>
      <c r="AD30" s="267" t="s">
        <v>1556</v>
      </c>
      <c r="AE30" s="267" t="s">
        <v>27</v>
      </c>
      <c r="AF30" s="267" t="s">
        <v>72</v>
      </c>
      <c r="AG30" s="267" t="s">
        <v>1557</v>
      </c>
      <c r="AH30" s="267" t="s">
        <v>1558</v>
      </c>
    </row>
    <row r="31" spans="1:34" hidden="1" x14ac:dyDescent="0.25">
      <c r="A31" s="267">
        <v>138</v>
      </c>
      <c r="B31" s="267" t="s">
        <v>822</v>
      </c>
      <c r="C31" s="267" t="s">
        <v>968</v>
      </c>
      <c r="D31" s="267" t="s">
        <v>7</v>
      </c>
      <c r="E31" s="267" t="s">
        <v>1305</v>
      </c>
      <c r="F31" s="267" t="s">
        <v>2970</v>
      </c>
      <c r="G31" s="267" t="s">
        <v>2971</v>
      </c>
      <c r="H31" s="267">
        <v>59835</v>
      </c>
      <c r="I31" s="268">
        <v>0</v>
      </c>
      <c r="K31" s="267" t="s">
        <v>1559</v>
      </c>
      <c r="L31" s="267" t="s">
        <v>659</v>
      </c>
      <c r="M31" s="267">
        <v>22582</v>
      </c>
      <c r="N31" s="267" t="s">
        <v>1361</v>
      </c>
      <c r="O31" s="268" t="s">
        <v>791</v>
      </c>
      <c r="P31" s="267" t="s">
        <v>824</v>
      </c>
      <c r="Q31" s="267" t="s">
        <v>1560</v>
      </c>
      <c r="R31" s="267">
        <v>2100</v>
      </c>
      <c r="S31" s="267" t="s">
        <v>1388</v>
      </c>
      <c r="T31" s="267" t="s">
        <v>1353</v>
      </c>
      <c r="U31" s="267" t="s">
        <v>639</v>
      </c>
      <c r="V31" s="267" t="s">
        <v>1388</v>
      </c>
      <c r="W31" s="267" t="s">
        <v>1354</v>
      </c>
      <c r="X31" s="267" t="s">
        <v>1327</v>
      </c>
      <c r="Y31" s="267" t="s">
        <v>1397</v>
      </c>
      <c r="Z31" s="267" t="s">
        <v>1561</v>
      </c>
      <c r="AA31" s="267" t="s">
        <v>1562</v>
      </c>
      <c r="AB31" s="267" t="s">
        <v>1563</v>
      </c>
      <c r="AC31" s="267" t="s">
        <v>10</v>
      </c>
      <c r="AD31" s="267" t="s">
        <v>1564</v>
      </c>
      <c r="AE31" s="267" t="s">
        <v>1565</v>
      </c>
      <c r="AF31" s="267" t="s">
        <v>1439</v>
      </c>
      <c r="AG31" s="267" t="s">
        <v>1566</v>
      </c>
      <c r="AH31" s="267" t="s">
        <v>1567</v>
      </c>
    </row>
    <row r="32" spans="1:34" hidden="1" x14ac:dyDescent="0.25">
      <c r="A32" s="267">
        <v>139</v>
      </c>
      <c r="B32" s="267" t="s">
        <v>829</v>
      </c>
      <c r="C32" s="267" t="s">
        <v>968</v>
      </c>
      <c r="D32" s="267" t="s">
        <v>7</v>
      </c>
      <c r="E32" s="267" t="s">
        <v>1305</v>
      </c>
      <c r="F32" s="267" t="s">
        <v>2970</v>
      </c>
      <c r="G32" s="267" t="s">
        <v>2971</v>
      </c>
      <c r="H32" s="267">
        <v>59842</v>
      </c>
      <c r="I32" s="268">
        <v>0</v>
      </c>
      <c r="K32" s="267" t="s">
        <v>1559</v>
      </c>
      <c r="L32" s="267" t="s">
        <v>659</v>
      </c>
      <c r="M32" s="267">
        <v>22582</v>
      </c>
      <c r="N32" s="267" t="s">
        <v>1361</v>
      </c>
      <c r="O32" s="268" t="s">
        <v>791</v>
      </c>
      <c r="P32" s="267" t="s">
        <v>824</v>
      </c>
      <c r="Q32" s="267" t="s">
        <v>1568</v>
      </c>
      <c r="R32" s="267" t="s">
        <v>1569</v>
      </c>
      <c r="S32" s="267" t="s">
        <v>1388</v>
      </c>
      <c r="T32" s="267" t="s">
        <v>1353</v>
      </c>
      <c r="U32" s="267" t="s">
        <v>639</v>
      </c>
      <c r="V32" s="267" t="s">
        <v>1388</v>
      </c>
      <c r="W32" s="267" t="s">
        <v>1354</v>
      </c>
      <c r="X32" s="267" t="s">
        <v>1327</v>
      </c>
      <c r="Y32" s="267" t="s">
        <v>1397</v>
      </c>
      <c r="Z32" s="267" t="s">
        <v>1561</v>
      </c>
      <c r="AA32" s="267" t="s">
        <v>1570</v>
      </c>
      <c r="AB32" s="267" t="s">
        <v>1563</v>
      </c>
      <c r="AC32" s="267" t="s">
        <v>10</v>
      </c>
      <c r="AD32" s="267" t="s">
        <v>1571</v>
      </c>
      <c r="AE32" s="267" t="s">
        <v>1572</v>
      </c>
      <c r="AF32" s="267" t="s">
        <v>1393</v>
      </c>
      <c r="AG32" s="267" t="s">
        <v>1566</v>
      </c>
      <c r="AH32" s="267" t="s">
        <v>1567</v>
      </c>
    </row>
    <row r="33" spans="1:34" hidden="1" x14ac:dyDescent="0.25">
      <c r="A33" s="267">
        <v>140</v>
      </c>
      <c r="B33" s="267" t="s">
        <v>1573</v>
      </c>
      <c r="C33" s="267" t="s">
        <v>1449</v>
      </c>
      <c r="D33" s="267" t="s">
        <v>7</v>
      </c>
      <c r="E33" s="267" t="s">
        <v>1385</v>
      </c>
      <c r="F33" s="267" t="s">
        <v>3001</v>
      </c>
      <c r="G33" s="267" t="s">
        <v>3002</v>
      </c>
      <c r="H33" s="267" t="s">
        <v>2929</v>
      </c>
      <c r="I33" s="268">
        <v>0</v>
      </c>
      <c r="K33" s="267" t="s">
        <v>1574</v>
      </c>
      <c r="L33" s="267" t="s">
        <v>659</v>
      </c>
      <c r="M33" s="267">
        <v>0</v>
      </c>
      <c r="N33" s="267" t="s">
        <v>658</v>
      </c>
      <c r="O33" s="268" t="s">
        <v>1449</v>
      </c>
      <c r="P33" s="267" t="s">
        <v>1575</v>
      </c>
      <c r="Q33" s="267" t="s">
        <v>1559</v>
      </c>
      <c r="R33" s="267">
        <v>2200</v>
      </c>
      <c r="S33" s="267" t="s">
        <v>1576</v>
      </c>
      <c r="T33" s="267" t="s">
        <v>72</v>
      </c>
      <c r="U33" s="267" t="s">
        <v>639</v>
      </c>
      <c r="V33" s="267" t="s">
        <v>1388</v>
      </c>
      <c r="W33" s="267" t="s">
        <v>1354</v>
      </c>
      <c r="X33" s="267" t="s">
        <v>1327</v>
      </c>
      <c r="Y33" s="267" t="s">
        <v>1577</v>
      </c>
      <c r="Z33" s="267" t="s">
        <v>1540</v>
      </c>
      <c r="AA33" s="267" t="s">
        <v>1578</v>
      </c>
      <c r="AB33" s="267" t="s">
        <v>1579</v>
      </c>
      <c r="AC33" s="267" t="s">
        <v>3003</v>
      </c>
      <c r="AD33" s="267" t="s">
        <v>1580</v>
      </c>
      <c r="AE33" s="267" t="s">
        <v>1581</v>
      </c>
      <c r="AF33" s="267" t="s">
        <v>1463</v>
      </c>
      <c r="AG33" s="267" t="s">
        <v>1358</v>
      </c>
    </row>
    <row r="34" spans="1:34" hidden="1" x14ac:dyDescent="0.25">
      <c r="A34" s="267">
        <v>146</v>
      </c>
      <c r="B34" s="267" t="s">
        <v>832</v>
      </c>
      <c r="C34" s="267" t="s">
        <v>708</v>
      </c>
      <c r="D34" s="267" t="s">
        <v>7</v>
      </c>
      <c r="E34" s="267" t="s">
        <v>1348</v>
      </c>
      <c r="F34" s="267" t="s">
        <v>3004</v>
      </c>
      <c r="G34" s="267" t="s">
        <v>3295</v>
      </c>
      <c r="H34" s="267" t="s">
        <v>2929</v>
      </c>
      <c r="I34" s="268">
        <v>0</v>
      </c>
      <c r="K34" s="267" t="s">
        <v>1582</v>
      </c>
      <c r="L34" s="267" t="s">
        <v>659</v>
      </c>
      <c r="M34" s="267">
        <v>337</v>
      </c>
      <c r="N34" s="267" t="s">
        <v>680</v>
      </c>
      <c r="O34" s="268" t="s">
        <v>708</v>
      </c>
      <c r="P34" s="267" t="s">
        <v>835</v>
      </c>
      <c r="Q34" s="267" t="s">
        <v>1539</v>
      </c>
      <c r="R34" s="267">
        <v>2200</v>
      </c>
      <c r="S34" s="267" t="s">
        <v>1388</v>
      </c>
      <c r="T34" s="267" t="s">
        <v>1353</v>
      </c>
      <c r="U34" s="267" t="s">
        <v>639</v>
      </c>
      <c r="V34" s="267" t="s">
        <v>1388</v>
      </c>
      <c r="W34" s="267" t="s">
        <v>1354</v>
      </c>
      <c r="X34" s="267" t="s">
        <v>1327</v>
      </c>
      <c r="Y34" s="267" t="s">
        <v>1397</v>
      </c>
      <c r="Z34" s="267" t="s">
        <v>834</v>
      </c>
      <c r="AA34" s="267" t="s">
        <v>1583</v>
      </c>
      <c r="AB34" s="267" t="s">
        <v>1584</v>
      </c>
      <c r="AC34" s="267" t="s">
        <v>3</v>
      </c>
      <c r="AD34" s="267" t="s">
        <v>1585</v>
      </c>
      <c r="AE34" s="267" t="s">
        <v>1586</v>
      </c>
      <c r="AF34" s="267" t="s">
        <v>72</v>
      </c>
      <c r="AG34" s="267" t="s">
        <v>1359</v>
      </c>
    </row>
    <row r="35" spans="1:34" hidden="1" x14ac:dyDescent="0.25">
      <c r="A35" s="267">
        <v>149</v>
      </c>
      <c r="B35" s="267" t="s">
        <v>1587</v>
      </c>
      <c r="C35" s="267" t="s">
        <v>1588</v>
      </c>
      <c r="D35" s="267" t="s">
        <v>7</v>
      </c>
      <c r="E35" s="267" t="s">
        <v>1319</v>
      </c>
      <c r="F35" s="267" t="s">
        <v>3005</v>
      </c>
      <c r="G35" s="267" t="s">
        <v>3006</v>
      </c>
      <c r="H35" s="267" t="s">
        <v>2929</v>
      </c>
      <c r="I35" s="268">
        <v>0</v>
      </c>
      <c r="K35" s="267" t="s">
        <v>1582</v>
      </c>
      <c r="L35" s="267" t="s">
        <v>659</v>
      </c>
      <c r="M35" s="267" t="s">
        <v>1589</v>
      </c>
      <c r="N35" s="267" t="s">
        <v>1321</v>
      </c>
      <c r="O35" s="268" t="s">
        <v>1588</v>
      </c>
      <c r="P35" s="267" t="s">
        <v>1590</v>
      </c>
      <c r="Q35" s="267" t="s">
        <v>1591</v>
      </c>
      <c r="R35" s="267" t="s">
        <v>1339</v>
      </c>
      <c r="S35" s="267" t="s">
        <v>1388</v>
      </c>
      <c r="T35" s="267" t="s">
        <v>1353</v>
      </c>
      <c r="U35" s="267" t="s">
        <v>639</v>
      </c>
      <c r="V35" s="267" t="s">
        <v>1388</v>
      </c>
      <c r="W35" s="267" t="s">
        <v>1354</v>
      </c>
      <c r="X35" s="267" t="s">
        <v>1327</v>
      </c>
      <c r="AB35" s="267" t="s">
        <v>1604</v>
      </c>
      <c r="AC35" s="267" t="s">
        <v>3007</v>
      </c>
      <c r="AD35" s="267" t="s">
        <v>1592</v>
      </c>
      <c r="AE35" s="267" t="s">
        <v>1593</v>
      </c>
      <c r="AF35" s="267" t="s">
        <v>1594</v>
      </c>
      <c r="AG35" s="267" t="s">
        <v>1358</v>
      </c>
    </row>
    <row r="36" spans="1:34" hidden="1" x14ac:dyDescent="0.25">
      <c r="A36" s="267">
        <v>151</v>
      </c>
      <c r="B36" s="267" t="s">
        <v>1595</v>
      </c>
      <c r="C36" s="267" t="s">
        <v>1588</v>
      </c>
      <c r="D36" s="267" t="s">
        <v>7</v>
      </c>
      <c r="E36" s="267" t="s">
        <v>1319</v>
      </c>
      <c r="F36" s="267" t="s">
        <v>3005</v>
      </c>
      <c r="G36" s="267" t="s">
        <v>3006</v>
      </c>
      <c r="H36" s="267" t="s">
        <v>2929</v>
      </c>
      <c r="I36" s="268">
        <v>0</v>
      </c>
      <c r="K36" s="267" t="s">
        <v>1596</v>
      </c>
      <c r="L36" s="267" t="s">
        <v>659</v>
      </c>
      <c r="M36" s="267">
        <v>2069</v>
      </c>
      <c r="N36" s="267" t="s">
        <v>1321</v>
      </c>
      <c r="O36" s="268" t="s">
        <v>1588</v>
      </c>
      <c r="P36" s="267" t="s">
        <v>1597</v>
      </c>
      <c r="Q36" s="267" t="s">
        <v>736</v>
      </c>
      <c r="R36" s="267">
        <v>1230</v>
      </c>
      <c r="S36" s="267" t="s">
        <v>1388</v>
      </c>
      <c r="T36" s="267" t="s">
        <v>1353</v>
      </c>
      <c r="U36" s="267" t="s">
        <v>639</v>
      </c>
      <c r="V36" s="267" t="s">
        <v>1388</v>
      </c>
      <c r="W36" s="267" t="s">
        <v>1354</v>
      </c>
      <c r="X36" s="267" t="s">
        <v>1327</v>
      </c>
      <c r="Z36" s="267" t="s">
        <v>1598</v>
      </c>
      <c r="AB36" s="267" t="s">
        <v>1604</v>
      </c>
      <c r="AC36" s="267" t="s">
        <v>3007</v>
      </c>
      <c r="AD36" s="267" t="s">
        <v>27</v>
      </c>
      <c r="AE36" s="267" t="s">
        <v>27</v>
      </c>
      <c r="AF36" s="267" t="s">
        <v>1599</v>
      </c>
      <c r="AG36" s="267" t="s">
        <v>1359</v>
      </c>
    </row>
    <row r="37" spans="1:34" hidden="1" x14ac:dyDescent="0.25">
      <c r="A37" s="267">
        <v>153</v>
      </c>
      <c r="B37" s="267" t="s">
        <v>1600</v>
      </c>
      <c r="C37" s="267" t="s">
        <v>1601</v>
      </c>
      <c r="D37" s="267" t="s">
        <v>7</v>
      </c>
      <c r="E37" s="267" t="s">
        <v>1319</v>
      </c>
      <c r="F37" s="267" t="s">
        <v>3005</v>
      </c>
      <c r="G37" s="267" t="s">
        <v>3006</v>
      </c>
      <c r="H37" s="267" t="s">
        <v>2929</v>
      </c>
      <c r="I37" s="268">
        <v>0</v>
      </c>
      <c r="K37" s="267" t="s">
        <v>783</v>
      </c>
      <c r="L37" s="267" t="s">
        <v>659</v>
      </c>
      <c r="M37" s="267" t="s">
        <v>1589</v>
      </c>
      <c r="N37" s="267" t="s">
        <v>1321</v>
      </c>
      <c r="O37" s="268" t="s">
        <v>1588</v>
      </c>
      <c r="Q37" s="267" t="s">
        <v>1602</v>
      </c>
      <c r="R37" s="267" t="s">
        <v>1569</v>
      </c>
      <c r="S37" s="267" t="s">
        <v>1388</v>
      </c>
      <c r="T37" s="267" t="s">
        <v>1353</v>
      </c>
      <c r="U37" s="267" t="s">
        <v>639</v>
      </c>
      <c r="V37" s="267" t="s">
        <v>1388</v>
      </c>
      <c r="W37" s="267" t="s">
        <v>1354</v>
      </c>
      <c r="X37" s="267" t="s">
        <v>1327</v>
      </c>
      <c r="Y37" s="267" t="s">
        <v>1328</v>
      </c>
      <c r="AA37" s="267" t="s">
        <v>1603</v>
      </c>
      <c r="AB37" s="267" t="s">
        <v>1604</v>
      </c>
      <c r="AC37" s="267" t="s">
        <v>3007</v>
      </c>
      <c r="AD37" s="267" t="s">
        <v>1605</v>
      </c>
      <c r="AE37" s="267" t="s">
        <v>24</v>
      </c>
      <c r="AF37" s="267" t="s">
        <v>1495</v>
      </c>
      <c r="AG37" s="267" t="s">
        <v>72</v>
      </c>
      <c r="AH37" s="267" t="s">
        <v>1606</v>
      </c>
    </row>
    <row r="38" spans="1:34" hidden="1" x14ac:dyDescent="0.25">
      <c r="A38" s="267">
        <v>154</v>
      </c>
      <c r="B38" s="267" t="s">
        <v>837</v>
      </c>
      <c r="C38" s="267" t="s">
        <v>658</v>
      </c>
      <c r="D38" s="267" t="s">
        <v>7</v>
      </c>
      <c r="E38" s="267" t="s">
        <v>1385</v>
      </c>
      <c r="F38" s="267" t="s">
        <v>2998</v>
      </c>
      <c r="G38" s="267" t="s">
        <v>2999</v>
      </c>
      <c r="H38" s="267" t="s">
        <v>2929</v>
      </c>
      <c r="I38" s="268">
        <v>0</v>
      </c>
      <c r="K38" s="267" t="s">
        <v>1607</v>
      </c>
      <c r="L38" s="267" t="s">
        <v>659</v>
      </c>
      <c r="M38" s="267">
        <v>15654</v>
      </c>
      <c r="N38" s="267" t="s">
        <v>1449</v>
      </c>
      <c r="O38" s="268" t="s">
        <v>658</v>
      </c>
      <c r="P38" s="267" t="s">
        <v>732</v>
      </c>
      <c r="Q38" s="267" t="s">
        <v>1608</v>
      </c>
      <c r="R38" s="267">
        <v>1630</v>
      </c>
      <c r="S38" s="267" t="s">
        <v>1388</v>
      </c>
      <c r="T38" s="267" t="s">
        <v>1353</v>
      </c>
      <c r="U38" s="267" t="s">
        <v>639</v>
      </c>
      <c r="V38" s="267" t="s">
        <v>1388</v>
      </c>
      <c r="W38" s="267" t="s">
        <v>1354</v>
      </c>
      <c r="X38" s="267" t="s">
        <v>1327</v>
      </c>
      <c r="Y38" s="267" t="s">
        <v>1609</v>
      </c>
      <c r="Z38" s="267" t="s">
        <v>846</v>
      </c>
      <c r="AB38" s="267" t="s">
        <v>1555</v>
      </c>
      <c r="AC38" s="267" t="s">
        <v>3000</v>
      </c>
      <c r="AD38" s="267" t="s">
        <v>1610</v>
      </c>
      <c r="AF38" s="267" t="s">
        <v>1333</v>
      </c>
      <c r="AG38" s="267" t="s">
        <v>1474</v>
      </c>
      <c r="AH38" s="267" t="s">
        <v>1611</v>
      </c>
    </row>
    <row r="39" spans="1:34" hidden="1" x14ac:dyDescent="0.25">
      <c r="A39" s="267">
        <v>155</v>
      </c>
      <c r="B39" s="267" t="s">
        <v>842</v>
      </c>
      <c r="C39" s="267" t="s">
        <v>658</v>
      </c>
      <c r="D39" s="267" t="s">
        <v>7</v>
      </c>
      <c r="E39" s="267" t="s">
        <v>1385</v>
      </c>
      <c r="F39" s="267" t="s">
        <v>2998</v>
      </c>
      <c r="G39" s="267" t="s">
        <v>2999</v>
      </c>
      <c r="H39" s="267" t="s">
        <v>2929</v>
      </c>
      <c r="I39" s="268">
        <v>0</v>
      </c>
      <c r="K39" s="267" t="s">
        <v>826</v>
      </c>
      <c r="L39" s="267" t="s">
        <v>659</v>
      </c>
      <c r="M39" s="267">
        <v>15654</v>
      </c>
      <c r="N39" s="267" t="s">
        <v>679</v>
      </c>
      <c r="O39" s="268" t="s">
        <v>679</v>
      </c>
      <c r="P39" s="267" t="s">
        <v>732</v>
      </c>
      <c r="Q39" s="267" t="s">
        <v>1607</v>
      </c>
      <c r="R39" s="267">
        <v>1200</v>
      </c>
      <c r="S39" s="267" t="s">
        <v>1388</v>
      </c>
      <c r="T39" s="267" t="s">
        <v>1353</v>
      </c>
      <c r="U39" s="267" t="s">
        <v>639</v>
      </c>
      <c r="V39" s="267" t="s">
        <v>1388</v>
      </c>
      <c r="W39" s="267" t="s">
        <v>1354</v>
      </c>
      <c r="X39" s="267" t="s">
        <v>1327</v>
      </c>
      <c r="Y39" s="267" t="s">
        <v>1389</v>
      </c>
      <c r="Z39" s="267" t="s">
        <v>846</v>
      </c>
      <c r="AB39" s="267" t="s">
        <v>1555</v>
      </c>
      <c r="AC39" s="267" t="s">
        <v>3000</v>
      </c>
      <c r="AD39" s="267" t="s">
        <v>1612</v>
      </c>
      <c r="AF39" s="267" t="s">
        <v>72</v>
      </c>
      <c r="AG39" s="267" t="s">
        <v>1457</v>
      </c>
    </row>
    <row r="40" spans="1:34" x14ac:dyDescent="0.25">
      <c r="A40" s="267">
        <v>158</v>
      </c>
      <c r="B40" s="267" t="s">
        <v>848</v>
      </c>
      <c r="C40" s="267" t="s">
        <v>781</v>
      </c>
      <c r="D40" s="267" t="s">
        <v>7</v>
      </c>
      <c r="E40" s="267" t="s">
        <v>1348</v>
      </c>
      <c r="F40" s="267" t="s">
        <v>2996</v>
      </c>
      <c r="G40" s="267" t="s">
        <v>2997</v>
      </c>
      <c r="H40" s="267" t="s">
        <v>2929</v>
      </c>
      <c r="I40" s="268">
        <v>0</v>
      </c>
      <c r="K40" s="267" t="s">
        <v>1613</v>
      </c>
      <c r="L40" s="267" t="s">
        <v>659</v>
      </c>
      <c r="M40" s="267">
        <v>72561</v>
      </c>
      <c r="N40" s="267" t="s">
        <v>680</v>
      </c>
      <c r="O40" s="268" t="s">
        <v>781</v>
      </c>
      <c r="P40" s="267" t="s">
        <v>772</v>
      </c>
      <c r="Q40" s="267" t="s">
        <v>736</v>
      </c>
      <c r="R40" s="267">
        <v>1500</v>
      </c>
      <c r="S40" s="267" t="s">
        <v>1388</v>
      </c>
      <c r="T40" s="267" t="s">
        <v>1353</v>
      </c>
      <c r="U40" s="267" t="s">
        <v>639</v>
      </c>
      <c r="V40" s="267" t="s">
        <v>1388</v>
      </c>
      <c r="W40" s="267" t="s">
        <v>1354</v>
      </c>
      <c r="X40" s="267" t="s">
        <v>1327</v>
      </c>
      <c r="AB40" s="267" t="s">
        <v>1614</v>
      </c>
      <c r="AC40" s="267" t="s">
        <v>4</v>
      </c>
      <c r="AF40" s="267" t="s">
        <v>72</v>
      </c>
      <c r="AG40" s="267" t="s">
        <v>1474</v>
      </c>
    </row>
    <row r="41" spans="1:34" hidden="1" x14ac:dyDescent="0.25">
      <c r="A41" s="267">
        <v>161</v>
      </c>
      <c r="B41" s="267" t="s">
        <v>853</v>
      </c>
      <c r="C41" s="267" t="s">
        <v>681</v>
      </c>
      <c r="D41" s="267" t="s">
        <v>7</v>
      </c>
      <c r="E41" s="267" t="s">
        <v>1336</v>
      </c>
      <c r="F41" s="267" t="s">
        <v>3008</v>
      </c>
      <c r="G41" s="267" t="s">
        <v>3009</v>
      </c>
      <c r="H41" s="267">
        <v>67240</v>
      </c>
      <c r="I41" s="268">
        <v>0</v>
      </c>
      <c r="K41" s="267" t="s">
        <v>1615</v>
      </c>
      <c r="L41" s="267" t="s">
        <v>659</v>
      </c>
      <c r="M41" s="267">
        <v>154521</v>
      </c>
      <c r="N41" s="267" t="s">
        <v>891</v>
      </c>
      <c r="O41" s="268" t="s">
        <v>698</v>
      </c>
      <c r="P41" s="267" t="s">
        <v>856</v>
      </c>
      <c r="Q41" s="267" t="s">
        <v>778</v>
      </c>
      <c r="R41" s="267">
        <v>1600</v>
      </c>
      <c r="S41" s="267" t="s">
        <v>1388</v>
      </c>
      <c r="T41" s="267" t="s">
        <v>1353</v>
      </c>
      <c r="U41" s="267" t="s">
        <v>687</v>
      </c>
      <c r="V41" s="267" t="s">
        <v>1388</v>
      </c>
      <c r="W41" s="267" t="s">
        <v>1354</v>
      </c>
      <c r="X41" s="267" t="s">
        <v>1327</v>
      </c>
      <c r="Y41" s="267" t="s">
        <v>1389</v>
      </c>
      <c r="Z41" s="267" t="s">
        <v>1616</v>
      </c>
      <c r="AA41" s="267" t="s">
        <v>1617</v>
      </c>
      <c r="AB41" s="267" t="s">
        <v>1618</v>
      </c>
      <c r="AC41" s="267" t="s">
        <v>19</v>
      </c>
      <c r="AD41" s="267" t="s">
        <v>1619</v>
      </c>
      <c r="AE41" s="267" t="s">
        <v>1620</v>
      </c>
      <c r="AF41" s="267" t="s">
        <v>1621</v>
      </c>
      <c r="AG41" s="267" t="s">
        <v>1359</v>
      </c>
    </row>
    <row r="42" spans="1:34" hidden="1" x14ac:dyDescent="0.25">
      <c r="A42" s="267">
        <v>162</v>
      </c>
      <c r="B42" s="267" t="s">
        <v>861</v>
      </c>
      <c r="C42" s="267" t="s">
        <v>968</v>
      </c>
      <c r="D42" s="267" t="s">
        <v>7</v>
      </c>
      <c r="E42" s="267" t="s">
        <v>1305</v>
      </c>
      <c r="F42" s="267" t="s">
        <v>2970</v>
      </c>
      <c r="G42" s="267" t="s">
        <v>2971</v>
      </c>
      <c r="H42" s="267">
        <v>60182</v>
      </c>
      <c r="I42" s="268">
        <v>0</v>
      </c>
      <c r="K42" s="267" t="s">
        <v>1622</v>
      </c>
      <c r="L42" s="267" t="s">
        <v>659</v>
      </c>
      <c r="M42" s="267">
        <v>22582</v>
      </c>
      <c r="N42" s="267" t="s">
        <v>1407</v>
      </c>
      <c r="O42" s="268" t="s">
        <v>791</v>
      </c>
      <c r="P42" s="267" t="s">
        <v>864</v>
      </c>
      <c r="Q42" s="267" t="s">
        <v>714</v>
      </c>
      <c r="R42" s="267" t="s">
        <v>1452</v>
      </c>
      <c r="S42" s="267" t="s">
        <v>1388</v>
      </c>
      <c r="T42" s="267" t="s">
        <v>1353</v>
      </c>
      <c r="U42" s="267" t="s">
        <v>639</v>
      </c>
      <c r="V42" s="267" t="s">
        <v>1388</v>
      </c>
      <c r="W42" s="267" t="s">
        <v>1354</v>
      </c>
      <c r="X42" s="267" t="s">
        <v>1327</v>
      </c>
      <c r="Y42" s="267" t="s">
        <v>1389</v>
      </c>
      <c r="Z42" s="267" t="s">
        <v>786</v>
      </c>
      <c r="AA42" s="267" t="s">
        <v>1623</v>
      </c>
      <c r="AB42" s="267" t="s">
        <v>1563</v>
      </c>
      <c r="AC42" s="267" t="s">
        <v>10</v>
      </c>
      <c r="AD42" s="267" t="s">
        <v>1624</v>
      </c>
      <c r="AE42" s="267" t="s">
        <v>1625</v>
      </c>
      <c r="AF42" s="267" t="s">
        <v>1393</v>
      </c>
      <c r="AG42" s="267" t="s">
        <v>1566</v>
      </c>
      <c r="AH42" s="267" t="s">
        <v>1626</v>
      </c>
    </row>
    <row r="43" spans="1:34" hidden="1" x14ac:dyDescent="0.25">
      <c r="A43" s="267">
        <v>167</v>
      </c>
      <c r="B43" s="267" t="s">
        <v>866</v>
      </c>
      <c r="C43" s="267" t="s">
        <v>1361</v>
      </c>
      <c r="D43" s="267" t="s">
        <v>7</v>
      </c>
      <c r="E43" s="267" t="s">
        <v>1305</v>
      </c>
      <c r="F43" s="267" t="s">
        <v>2970</v>
      </c>
      <c r="G43" s="267" t="s">
        <v>2971</v>
      </c>
      <c r="H43" s="267">
        <v>60483</v>
      </c>
      <c r="I43" s="268">
        <v>0</v>
      </c>
      <c r="K43" s="267" t="s">
        <v>1627</v>
      </c>
      <c r="L43" s="267" t="s">
        <v>659</v>
      </c>
      <c r="M43" s="267">
        <v>22582</v>
      </c>
      <c r="N43" s="267" t="s">
        <v>968</v>
      </c>
      <c r="O43" s="268" t="s">
        <v>765</v>
      </c>
      <c r="P43" s="267" t="s">
        <v>864</v>
      </c>
      <c r="Q43" s="267" t="s">
        <v>1615</v>
      </c>
      <c r="R43" s="267">
        <v>1530</v>
      </c>
      <c r="S43" s="267" t="s">
        <v>1388</v>
      </c>
      <c r="T43" s="267" t="s">
        <v>1353</v>
      </c>
      <c r="U43" s="267" t="s">
        <v>639</v>
      </c>
      <c r="V43" s="267" t="s">
        <v>1388</v>
      </c>
      <c r="W43" s="267" t="s">
        <v>1354</v>
      </c>
      <c r="X43" s="267" t="s">
        <v>1327</v>
      </c>
      <c r="Y43" s="267" t="s">
        <v>1313</v>
      </c>
      <c r="Z43" s="267" t="s">
        <v>1561</v>
      </c>
      <c r="AA43" s="267" t="s">
        <v>1628</v>
      </c>
      <c r="AB43" s="267" t="s">
        <v>1563</v>
      </c>
      <c r="AC43" s="267" t="s">
        <v>10</v>
      </c>
      <c r="AD43" s="267" t="s">
        <v>1629</v>
      </c>
      <c r="AE43" s="267" t="s">
        <v>1630</v>
      </c>
      <c r="AF43" s="267" t="s">
        <v>1393</v>
      </c>
      <c r="AG43" s="267" t="s">
        <v>72</v>
      </c>
      <c r="AH43" s="267" t="s">
        <v>1631</v>
      </c>
    </row>
    <row r="44" spans="1:34" hidden="1" x14ac:dyDescent="0.25">
      <c r="A44" s="267">
        <v>171</v>
      </c>
      <c r="B44" s="267" t="s">
        <v>871</v>
      </c>
      <c r="C44" s="267" t="s">
        <v>874</v>
      </c>
      <c r="D44" s="267" t="s">
        <v>7</v>
      </c>
      <c r="E44" s="267" t="s">
        <v>1336</v>
      </c>
      <c r="F44" s="267" t="s">
        <v>3008</v>
      </c>
      <c r="G44" s="267" t="s">
        <v>3009</v>
      </c>
      <c r="H44" s="267" t="s">
        <v>2929</v>
      </c>
      <c r="I44" s="268">
        <v>0</v>
      </c>
      <c r="K44" s="267" t="s">
        <v>1632</v>
      </c>
      <c r="L44" s="267" t="s">
        <v>659</v>
      </c>
      <c r="M44" s="267">
        <v>72506</v>
      </c>
      <c r="N44" s="267" t="s">
        <v>1633</v>
      </c>
      <c r="O44" s="268" t="s">
        <v>874</v>
      </c>
      <c r="P44" s="267" t="s">
        <v>875</v>
      </c>
      <c r="Q44" s="267" t="s">
        <v>1634</v>
      </c>
      <c r="R44" s="267">
        <v>1000</v>
      </c>
      <c r="S44" s="267" t="s">
        <v>1340</v>
      </c>
      <c r="T44" s="267" t="s">
        <v>1353</v>
      </c>
      <c r="U44" s="267" t="s">
        <v>687</v>
      </c>
      <c r="V44" s="267" t="s">
        <v>1340</v>
      </c>
      <c r="W44" s="267" t="s">
        <v>1635</v>
      </c>
      <c r="X44" s="267" t="s">
        <v>1327</v>
      </c>
      <c r="Y44" s="267" t="s">
        <v>1389</v>
      </c>
      <c r="Z44" s="267" t="s">
        <v>1633</v>
      </c>
      <c r="AA44" s="267" t="s">
        <v>1636</v>
      </c>
      <c r="AB44" s="267" t="s">
        <v>2587</v>
      </c>
      <c r="AC44" s="267" t="s">
        <v>3010</v>
      </c>
      <c r="AD44" s="267" t="s">
        <v>1637</v>
      </c>
      <c r="AE44" s="267" t="s">
        <v>1638</v>
      </c>
      <c r="AF44" s="267" t="s">
        <v>1393</v>
      </c>
      <c r="AG44" s="267" t="s">
        <v>72</v>
      </c>
    </row>
    <row r="45" spans="1:34" hidden="1" x14ac:dyDescent="0.25">
      <c r="A45" s="267">
        <v>173</v>
      </c>
      <c r="B45" s="267" t="s">
        <v>877</v>
      </c>
      <c r="C45" s="267" t="s">
        <v>658</v>
      </c>
      <c r="D45" s="267" t="s">
        <v>7</v>
      </c>
      <c r="E45" s="267" t="s">
        <v>1385</v>
      </c>
      <c r="F45" s="267" t="s">
        <v>3011</v>
      </c>
      <c r="G45" s="267" t="s">
        <v>3012</v>
      </c>
      <c r="H45" s="267">
        <v>26388</v>
      </c>
      <c r="I45" s="268">
        <v>0</v>
      </c>
      <c r="K45" s="267" t="s">
        <v>1639</v>
      </c>
      <c r="L45" s="267" t="s">
        <v>659</v>
      </c>
      <c r="M45" s="267">
        <v>72553</v>
      </c>
      <c r="N45" s="267" t="s">
        <v>680</v>
      </c>
      <c r="O45" s="268" t="s">
        <v>680</v>
      </c>
      <c r="P45" s="267" t="s">
        <v>732</v>
      </c>
      <c r="Q45" s="267" t="s">
        <v>1639</v>
      </c>
      <c r="R45" s="267" t="s">
        <v>1498</v>
      </c>
      <c r="S45" s="267" t="s">
        <v>1388</v>
      </c>
      <c r="T45" s="267" t="s">
        <v>1353</v>
      </c>
      <c r="U45" s="267" t="s">
        <v>639</v>
      </c>
      <c r="V45" s="267" t="s">
        <v>1388</v>
      </c>
      <c r="W45" s="267" t="s">
        <v>1354</v>
      </c>
      <c r="X45" s="267" t="s">
        <v>1327</v>
      </c>
      <c r="Y45" s="267" t="s">
        <v>1397</v>
      </c>
      <c r="Z45" s="267" t="s">
        <v>813</v>
      </c>
      <c r="AB45" s="267" t="s">
        <v>1541</v>
      </c>
      <c r="AC45" s="267" t="s">
        <v>2984</v>
      </c>
      <c r="AD45" s="267" t="s">
        <v>1640</v>
      </c>
      <c r="AE45" s="267" t="s">
        <v>1641</v>
      </c>
      <c r="AF45" s="267" t="s">
        <v>1358</v>
      </c>
      <c r="AG45" s="267" t="s">
        <v>1359</v>
      </c>
    </row>
    <row r="46" spans="1:34" hidden="1" x14ac:dyDescent="0.25">
      <c r="A46" s="267">
        <v>178</v>
      </c>
      <c r="B46" s="267" t="s">
        <v>1642</v>
      </c>
      <c r="C46" s="267" t="s">
        <v>1270</v>
      </c>
      <c r="D46" s="267" t="s">
        <v>7</v>
      </c>
      <c r="E46" s="267" t="s">
        <v>1319</v>
      </c>
      <c r="F46" s="267" t="s">
        <v>2963</v>
      </c>
      <c r="G46" s="267" t="s">
        <v>3288</v>
      </c>
      <c r="H46" s="267" t="s">
        <v>2929</v>
      </c>
      <c r="I46" s="268">
        <v>0</v>
      </c>
      <c r="K46" s="267" t="s">
        <v>1643</v>
      </c>
      <c r="L46" s="267" t="s">
        <v>659</v>
      </c>
      <c r="M46" s="267">
        <v>3438</v>
      </c>
      <c r="N46" s="267" t="s">
        <v>1321</v>
      </c>
      <c r="O46" s="268" t="s">
        <v>1588</v>
      </c>
      <c r="P46" s="267" t="s">
        <v>1644</v>
      </c>
      <c r="Q46" s="267" t="s">
        <v>767</v>
      </c>
      <c r="R46" s="267" t="s">
        <v>1498</v>
      </c>
      <c r="S46" s="267" t="s">
        <v>1499</v>
      </c>
      <c r="T46" s="267" t="s">
        <v>72</v>
      </c>
      <c r="U46" s="267" t="s">
        <v>639</v>
      </c>
      <c r="V46" s="267" t="s">
        <v>1645</v>
      </c>
      <c r="W46" s="267" t="s">
        <v>1326</v>
      </c>
      <c r="X46" s="267" t="s">
        <v>1546</v>
      </c>
      <c r="Y46" s="267" t="s">
        <v>1389</v>
      </c>
      <c r="Z46" s="267" t="s">
        <v>1646</v>
      </c>
      <c r="AA46" s="267" t="s">
        <v>1647</v>
      </c>
      <c r="AB46" s="267" t="s">
        <v>2546</v>
      </c>
      <c r="AC46" s="267" t="s">
        <v>2981</v>
      </c>
      <c r="AD46" s="267" t="s">
        <v>1648</v>
      </c>
      <c r="AE46" s="267" t="s">
        <v>1649</v>
      </c>
      <c r="AF46" s="267" t="s">
        <v>1650</v>
      </c>
      <c r="AG46" s="267" t="s">
        <v>1359</v>
      </c>
    </row>
    <row r="47" spans="1:34" hidden="1" x14ac:dyDescent="0.25">
      <c r="A47" s="267">
        <v>180</v>
      </c>
      <c r="B47" s="267" t="s">
        <v>886</v>
      </c>
      <c r="C47" s="267" t="s">
        <v>658</v>
      </c>
      <c r="D47" s="267" t="s">
        <v>7</v>
      </c>
      <c r="E47" s="267" t="s">
        <v>1385</v>
      </c>
      <c r="F47" s="267" t="s">
        <v>3011</v>
      </c>
      <c r="G47" s="267" t="s">
        <v>3012</v>
      </c>
      <c r="H47" s="267" t="s">
        <v>2929</v>
      </c>
      <c r="I47" s="268">
        <v>0</v>
      </c>
      <c r="K47" s="267" t="s">
        <v>814</v>
      </c>
      <c r="L47" s="267" t="s">
        <v>659</v>
      </c>
      <c r="M47" s="267">
        <v>72553</v>
      </c>
      <c r="N47" s="267" t="s">
        <v>888</v>
      </c>
      <c r="O47" s="268" t="s">
        <v>888</v>
      </c>
      <c r="P47" s="267" t="s">
        <v>732</v>
      </c>
      <c r="Q47" s="267" t="s">
        <v>1651</v>
      </c>
      <c r="R47" s="267" t="s">
        <v>1652</v>
      </c>
      <c r="S47" s="267" t="s">
        <v>1352</v>
      </c>
      <c r="T47" s="267" t="s">
        <v>1353</v>
      </c>
      <c r="U47" s="267" t="s">
        <v>639</v>
      </c>
      <c r="V47" s="267" t="s">
        <v>1352</v>
      </c>
      <c r="W47" s="267" t="s">
        <v>1311</v>
      </c>
      <c r="X47" s="267" t="s">
        <v>1327</v>
      </c>
      <c r="Y47" s="267" t="s">
        <v>1389</v>
      </c>
      <c r="Z47" s="267" t="s">
        <v>1653</v>
      </c>
      <c r="AA47" s="267" t="s">
        <v>1654</v>
      </c>
      <c r="AB47" s="267" t="s">
        <v>1655</v>
      </c>
      <c r="AC47" s="267" t="s">
        <v>3013</v>
      </c>
      <c r="AD47" s="267" t="s">
        <v>1656</v>
      </c>
      <c r="AE47" s="267" t="s">
        <v>23</v>
      </c>
      <c r="AF47" s="267" t="s">
        <v>1657</v>
      </c>
      <c r="AG47" s="267" t="s">
        <v>1658</v>
      </c>
      <c r="AH47" s="267" t="s">
        <v>1659</v>
      </c>
    </row>
    <row r="48" spans="1:34" hidden="1" x14ac:dyDescent="0.25">
      <c r="A48" s="267">
        <v>182</v>
      </c>
      <c r="B48" s="267" t="s">
        <v>889</v>
      </c>
      <c r="C48" s="267" t="s">
        <v>681</v>
      </c>
      <c r="D48" s="267" t="s">
        <v>7</v>
      </c>
      <c r="E48" s="267" t="s">
        <v>1336</v>
      </c>
      <c r="F48" s="267" t="s">
        <v>3008</v>
      </c>
      <c r="G48" s="267" t="s">
        <v>3009</v>
      </c>
      <c r="H48" s="267">
        <v>67362</v>
      </c>
      <c r="I48" s="268">
        <v>0</v>
      </c>
      <c r="K48" s="267" t="s">
        <v>1660</v>
      </c>
      <c r="L48" s="267" t="s">
        <v>659</v>
      </c>
      <c r="M48" s="267">
        <v>154521</v>
      </c>
      <c r="N48" s="267" t="s">
        <v>1104</v>
      </c>
      <c r="O48" s="268" t="s">
        <v>892</v>
      </c>
      <c r="P48" s="267" t="s">
        <v>893</v>
      </c>
      <c r="Q48" s="267" t="s">
        <v>753</v>
      </c>
      <c r="R48" s="267">
        <v>1530</v>
      </c>
      <c r="S48" s="267" t="s">
        <v>1388</v>
      </c>
      <c r="T48" s="267" t="s">
        <v>1353</v>
      </c>
      <c r="U48" s="267" t="s">
        <v>639</v>
      </c>
      <c r="V48" s="267" t="s">
        <v>1388</v>
      </c>
      <c r="W48" s="267" t="s">
        <v>1354</v>
      </c>
      <c r="X48" s="267" t="s">
        <v>1327</v>
      </c>
      <c r="Y48" s="267" t="s">
        <v>1389</v>
      </c>
      <c r="Z48" s="267" t="s">
        <v>1616</v>
      </c>
      <c r="AA48" s="267" t="s">
        <v>1661</v>
      </c>
      <c r="AB48" s="267" t="s">
        <v>1618</v>
      </c>
      <c r="AC48" s="267" t="s">
        <v>19</v>
      </c>
      <c r="AD48" s="267" t="s">
        <v>1662</v>
      </c>
      <c r="AE48" s="267" t="s">
        <v>1663</v>
      </c>
      <c r="AF48" s="267" t="s">
        <v>1393</v>
      </c>
      <c r="AG48" s="267" t="s">
        <v>72</v>
      </c>
    </row>
    <row r="49" spans="1:34" hidden="1" x14ac:dyDescent="0.25">
      <c r="A49" s="267">
        <v>183</v>
      </c>
      <c r="B49" s="267" t="s">
        <v>902</v>
      </c>
      <c r="C49" s="267" t="s">
        <v>658</v>
      </c>
      <c r="D49" s="267" t="s">
        <v>7</v>
      </c>
      <c r="E49" s="267" t="s">
        <v>1385</v>
      </c>
      <c r="F49" s="267" t="s">
        <v>3011</v>
      </c>
      <c r="G49" s="267" t="s">
        <v>3012</v>
      </c>
      <c r="H49" s="267" t="s">
        <v>2929</v>
      </c>
      <c r="I49" s="268">
        <v>0</v>
      </c>
      <c r="K49" s="267" t="s">
        <v>897</v>
      </c>
      <c r="L49" s="267" t="s">
        <v>659</v>
      </c>
      <c r="M49" s="267" t="s">
        <v>1664</v>
      </c>
      <c r="N49" s="267" t="s">
        <v>888</v>
      </c>
      <c r="O49" s="268" t="s">
        <v>658</v>
      </c>
      <c r="P49" s="267" t="s">
        <v>694</v>
      </c>
      <c r="Q49" s="267" t="s">
        <v>1665</v>
      </c>
      <c r="R49" s="267">
        <v>2200</v>
      </c>
      <c r="S49" s="267" t="s">
        <v>1436</v>
      </c>
      <c r="T49" s="267" t="s">
        <v>1353</v>
      </c>
      <c r="U49" s="267" t="s">
        <v>639</v>
      </c>
      <c r="V49" s="267" t="s">
        <v>1436</v>
      </c>
      <c r="W49" s="267" t="s">
        <v>1311</v>
      </c>
      <c r="X49" s="267" t="s">
        <v>1327</v>
      </c>
      <c r="Y49" s="267" t="s">
        <v>1389</v>
      </c>
      <c r="AA49" s="267" t="s">
        <v>1666</v>
      </c>
      <c r="AB49" s="267" t="s">
        <v>1541</v>
      </c>
      <c r="AC49" s="267" t="s">
        <v>2984</v>
      </c>
      <c r="AD49" s="267" t="s">
        <v>1667</v>
      </c>
      <c r="AE49" s="267" t="s">
        <v>1668</v>
      </c>
      <c r="AF49" s="267" t="s">
        <v>72</v>
      </c>
      <c r="AG49" s="267" t="s">
        <v>1474</v>
      </c>
      <c r="AH49" s="267" t="s">
        <v>1669</v>
      </c>
    </row>
    <row r="50" spans="1:34" hidden="1" x14ac:dyDescent="0.25">
      <c r="A50" s="267">
        <v>189</v>
      </c>
      <c r="B50" s="267" t="s">
        <v>904</v>
      </c>
      <c r="C50" s="267" t="s">
        <v>1670</v>
      </c>
      <c r="D50" s="267" t="s">
        <v>7</v>
      </c>
      <c r="E50" s="267" t="s">
        <v>1336</v>
      </c>
      <c r="F50" s="267" t="s">
        <v>3014</v>
      </c>
      <c r="G50" s="267" t="s">
        <v>3015</v>
      </c>
      <c r="H50" s="267" t="s">
        <v>2929</v>
      </c>
      <c r="I50" s="268">
        <v>0</v>
      </c>
      <c r="K50" s="267" t="s">
        <v>883</v>
      </c>
      <c r="L50" s="267" t="s">
        <v>659</v>
      </c>
      <c r="M50" s="267">
        <v>72571</v>
      </c>
      <c r="N50" s="267" t="s">
        <v>699</v>
      </c>
      <c r="O50" s="268" t="s">
        <v>906</v>
      </c>
      <c r="P50" s="267" t="s">
        <v>907</v>
      </c>
      <c r="Q50" s="267" t="s">
        <v>1671</v>
      </c>
      <c r="R50" s="267">
        <v>1500</v>
      </c>
      <c r="S50" s="267" t="s">
        <v>1645</v>
      </c>
      <c r="T50" s="267" t="s">
        <v>1353</v>
      </c>
      <c r="U50" s="267" t="s">
        <v>639</v>
      </c>
      <c r="V50" s="267" t="s">
        <v>1645</v>
      </c>
      <c r="W50" s="267" t="s">
        <v>1672</v>
      </c>
      <c r="X50" s="267" t="s">
        <v>1327</v>
      </c>
      <c r="Y50" s="267" t="s">
        <v>1313</v>
      </c>
      <c r="Z50" s="267" t="s">
        <v>906</v>
      </c>
      <c r="AB50" s="267" t="s">
        <v>1673</v>
      </c>
      <c r="AC50" s="267" t="s">
        <v>3016</v>
      </c>
      <c r="AD50" s="267" t="s">
        <v>1674</v>
      </c>
      <c r="AE50" s="267" t="s">
        <v>1675</v>
      </c>
      <c r="AF50" s="267" t="s">
        <v>72</v>
      </c>
      <c r="AG50" s="267" t="s">
        <v>1543</v>
      </c>
    </row>
    <row r="51" spans="1:34" hidden="1" x14ac:dyDescent="0.25">
      <c r="A51" s="267">
        <v>190</v>
      </c>
      <c r="B51" s="267" t="s">
        <v>914</v>
      </c>
      <c r="C51" s="267" t="s">
        <v>717</v>
      </c>
      <c r="D51" s="267" t="s">
        <v>7</v>
      </c>
      <c r="E51" s="267" t="s">
        <v>1348</v>
      </c>
      <c r="F51" s="267" t="s">
        <v>3017</v>
      </c>
      <c r="G51" s="267" t="s">
        <v>3018</v>
      </c>
      <c r="H51" s="267" t="s">
        <v>2929</v>
      </c>
      <c r="I51" s="268">
        <v>0</v>
      </c>
      <c r="K51" s="267" t="s">
        <v>1676</v>
      </c>
      <c r="L51" s="267" t="s">
        <v>659</v>
      </c>
      <c r="M51" s="267">
        <v>84414</v>
      </c>
      <c r="N51" s="267" t="s">
        <v>772</v>
      </c>
      <c r="O51" s="268" t="s">
        <v>717</v>
      </c>
      <c r="P51" s="267" t="s">
        <v>772</v>
      </c>
      <c r="Q51" s="267" t="s">
        <v>883</v>
      </c>
      <c r="R51" s="267">
        <v>1500</v>
      </c>
      <c r="S51" s="267" t="s">
        <v>1388</v>
      </c>
      <c r="T51" s="267" t="s">
        <v>1353</v>
      </c>
      <c r="U51" s="267" t="s">
        <v>639</v>
      </c>
      <c r="V51" s="267" t="s">
        <v>1388</v>
      </c>
      <c r="W51" s="267" t="s">
        <v>1354</v>
      </c>
      <c r="X51" s="267" t="s">
        <v>1327</v>
      </c>
      <c r="Y51" s="267" t="s">
        <v>1397</v>
      </c>
      <c r="AB51" s="267" t="s">
        <v>1677</v>
      </c>
      <c r="AC51" s="267" t="s">
        <v>2</v>
      </c>
      <c r="AD51" s="267" t="s">
        <v>1678</v>
      </c>
      <c r="AE51" s="267" t="s">
        <v>27</v>
      </c>
      <c r="AF51" s="267" t="s">
        <v>1405</v>
      </c>
      <c r="AG51" s="267" t="s">
        <v>1474</v>
      </c>
    </row>
    <row r="52" spans="1:34" x14ac:dyDescent="0.25">
      <c r="A52" s="267">
        <v>191</v>
      </c>
      <c r="B52" s="267" t="s">
        <v>926</v>
      </c>
      <c r="C52" s="267" t="s">
        <v>929</v>
      </c>
      <c r="D52" s="267" t="s">
        <v>7</v>
      </c>
      <c r="E52" s="267" t="s">
        <v>1348</v>
      </c>
      <c r="F52" s="267" t="s">
        <v>3019</v>
      </c>
      <c r="G52" s="267" t="s">
        <v>3020</v>
      </c>
      <c r="H52" s="267">
        <v>17327</v>
      </c>
      <c r="I52" s="268">
        <v>0</v>
      </c>
      <c r="K52" s="267" t="s">
        <v>1679</v>
      </c>
      <c r="L52" s="267" t="s">
        <v>659</v>
      </c>
      <c r="M52" s="267">
        <v>15675</v>
      </c>
      <c r="N52" s="267" t="s">
        <v>1680</v>
      </c>
      <c r="O52" s="268" t="s">
        <v>929</v>
      </c>
      <c r="P52" s="267" t="s">
        <v>682</v>
      </c>
      <c r="Q52" s="267" t="s">
        <v>1681</v>
      </c>
      <c r="R52" s="267">
        <v>2330</v>
      </c>
      <c r="S52" s="267" t="s">
        <v>1388</v>
      </c>
      <c r="T52" s="267" t="s">
        <v>1353</v>
      </c>
      <c r="U52" s="267" t="s">
        <v>639</v>
      </c>
      <c r="V52" s="267" t="s">
        <v>1388</v>
      </c>
      <c r="W52" s="267" t="s">
        <v>1354</v>
      </c>
      <c r="X52" s="267" t="s">
        <v>1327</v>
      </c>
      <c r="Y52" s="267" t="s">
        <v>1397</v>
      </c>
      <c r="Z52" s="267" t="s">
        <v>1682</v>
      </c>
      <c r="AB52" s="267" t="s">
        <v>1614</v>
      </c>
      <c r="AC52" s="267" t="s">
        <v>4</v>
      </c>
      <c r="AD52" s="267" t="s">
        <v>1683</v>
      </c>
      <c r="AE52" s="267" t="s">
        <v>1684</v>
      </c>
      <c r="AF52" s="267" t="s">
        <v>72</v>
      </c>
      <c r="AH52" s="267" t="s">
        <v>1685</v>
      </c>
    </row>
    <row r="53" spans="1:34" hidden="1" x14ac:dyDescent="0.25">
      <c r="A53" s="267">
        <v>194</v>
      </c>
      <c r="B53" s="267" t="s">
        <v>931</v>
      </c>
      <c r="C53" s="267" t="s">
        <v>933</v>
      </c>
      <c r="D53" s="267" t="s">
        <v>7</v>
      </c>
      <c r="E53" s="267" t="s">
        <v>1385</v>
      </c>
      <c r="F53" s="267" t="s">
        <v>3021</v>
      </c>
      <c r="G53" s="267" t="s">
        <v>3022</v>
      </c>
      <c r="H53" s="267" t="s">
        <v>2929</v>
      </c>
      <c r="I53" s="268">
        <v>0</v>
      </c>
      <c r="K53" s="267" t="s">
        <v>1686</v>
      </c>
      <c r="L53" s="267" t="s">
        <v>659</v>
      </c>
      <c r="M53" s="267">
        <v>15666</v>
      </c>
      <c r="N53" s="267" t="s">
        <v>658</v>
      </c>
      <c r="O53" s="268" t="s">
        <v>933</v>
      </c>
      <c r="P53" s="267" t="s">
        <v>934</v>
      </c>
      <c r="Q53" s="267" t="s">
        <v>1686</v>
      </c>
      <c r="R53" s="267">
        <v>1530</v>
      </c>
      <c r="S53" s="267" t="s">
        <v>1388</v>
      </c>
      <c r="T53" s="267" t="s">
        <v>1353</v>
      </c>
      <c r="U53" s="267" t="s">
        <v>687</v>
      </c>
      <c r="V53" s="267" t="s">
        <v>1388</v>
      </c>
      <c r="W53" s="267" t="s">
        <v>1326</v>
      </c>
      <c r="X53" s="267" t="s">
        <v>1546</v>
      </c>
      <c r="Y53" s="267" t="s">
        <v>1328</v>
      </c>
      <c r="Z53" s="267" t="s">
        <v>1540</v>
      </c>
      <c r="AA53" s="267" t="s">
        <v>1687</v>
      </c>
      <c r="AB53" s="267" t="s">
        <v>1541</v>
      </c>
      <c r="AC53" s="267" t="s">
        <v>2984</v>
      </c>
      <c r="AD53" s="267" t="s">
        <v>1688</v>
      </c>
      <c r="AE53" s="267" t="s">
        <v>1689</v>
      </c>
      <c r="AF53" s="267" t="s">
        <v>1690</v>
      </c>
      <c r="AG53" s="267" t="s">
        <v>1359</v>
      </c>
    </row>
    <row r="54" spans="1:34" hidden="1" x14ac:dyDescent="0.25">
      <c r="A54" s="267">
        <v>197</v>
      </c>
      <c r="B54" s="267" t="s">
        <v>944</v>
      </c>
      <c r="C54" s="267" t="s">
        <v>658</v>
      </c>
      <c r="D54" s="267" t="s">
        <v>7</v>
      </c>
      <c r="E54" s="267" t="s">
        <v>1385</v>
      </c>
      <c r="F54" s="267" t="s">
        <v>3021</v>
      </c>
      <c r="G54" s="267" t="s">
        <v>3022</v>
      </c>
      <c r="H54" s="267">
        <v>27046</v>
      </c>
      <c r="I54" s="268">
        <v>0</v>
      </c>
      <c r="K54" s="267" t="s">
        <v>1691</v>
      </c>
      <c r="L54" s="267" t="s">
        <v>659</v>
      </c>
      <c r="M54" s="267">
        <v>15666</v>
      </c>
      <c r="N54" s="267" t="s">
        <v>662</v>
      </c>
      <c r="O54" s="268" t="s">
        <v>658</v>
      </c>
      <c r="P54" s="267" t="s">
        <v>732</v>
      </c>
      <c r="Q54" s="267" t="s">
        <v>1691</v>
      </c>
      <c r="R54" s="267" t="s">
        <v>1377</v>
      </c>
      <c r="S54" s="267" t="s">
        <v>1388</v>
      </c>
      <c r="T54" s="267" t="s">
        <v>1353</v>
      </c>
      <c r="U54" s="267" t="s">
        <v>639</v>
      </c>
      <c r="V54" s="267" t="s">
        <v>1388</v>
      </c>
      <c r="W54" s="267" t="s">
        <v>1354</v>
      </c>
      <c r="X54" s="267" t="s">
        <v>1546</v>
      </c>
      <c r="Y54" s="267" t="s">
        <v>1547</v>
      </c>
      <c r="Z54" s="267" t="s">
        <v>813</v>
      </c>
      <c r="AA54" s="267" t="s">
        <v>27</v>
      </c>
      <c r="AB54" s="267" t="s">
        <v>1541</v>
      </c>
      <c r="AC54" s="267" t="s">
        <v>2984</v>
      </c>
      <c r="AD54" s="267" t="s">
        <v>1692</v>
      </c>
      <c r="AE54" s="267" t="s">
        <v>27</v>
      </c>
      <c r="AF54" s="267" t="s">
        <v>72</v>
      </c>
      <c r="AG54" s="267" t="s">
        <v>1333</v>
      </c>
    </row>
    <row r="55" spans="1:34" hidden="1" x14ac:dyDescent="0.25">
      <c r="A55" s="267">
        <v>200</v>
      </c>
      <c r="B55" s="267" t="s">
        <v>948</v>
      </c>
      <c r="C55" s="267" t="s">
        <v>950</v>
      </c>
      <c r="D55" s="267" t="s">
        <v>7</v>
      </c>
      <c r="E55" s="267" t="s">
        <v>1336</v>
      </c>
      <c r="F55" s="267" t="s">
        <v>3014</v>
      </c>
      <c r="G55" s="267" t="s">
        <v>3015</v>
      </c>
      <c r="H55" s="267" t="s">
        <v>2929</v>
      </c>
      <c r="I55" s="268">
        <v>0</v>
      </c>
      <c r="K55" s="267" t="s">
        <v>1693</v>
      </c>
      <c r="L55" s="267" t="s">
        <v>659</v>
      </c>
      <c r="M55" s="267">
        <v>72571</v>
      </c>
      <c r="N55" s="267" t="s">
        <v>1694</v>
      </c>
      <c r="O55" s="268" t="s">
        <v>950</v>
      </c>
      <c r="P55" s="267" t="s">
        <v>951</v>
      </c>
      <c r="Q55" s="267" t="s">
        <v>1693</v>
      </c>
      <c r="R55" s="267" t="s">
        <v>1695</v>
      </c>
      <c r="S55" s="267" t="s">
        <v>1309</v>
      </c>
      <c r="T55" s="267" t="s">
        <v>1353</v>
      </c>
      <c r="U55" s="267" t="s">
        <v>639</v>
      </c>
      <c r="V55" s="267" t="s">
        <v>1309</v>
      </c>
      <c r="W55" s="267" t="s">
        <v>1311</v>
      </c>
      <c r="X55" s="267" t="s">
        <v>1327</v>
      </c>
      <c r="Y55" s="267" t="s">
        <v>1389</v>
      </c>
      <c r="Z55" s="267" t="s">
        <v>955</v>
      </c>
      <c r="AB55" s="267" t="s">
        <v>1696</v>
      </c>
      <c r="AC55" s="267" t="s">
        <v>2391</v>
      </c>
      <c r="AD55" s="267" t="s">
        <v>1697</v>
      </c>
      <c r="AE55" s="267" t="s">
        <v>26</v>
      </c>
      <c r="AG55" s="267" t="s">
        <v>1698</v>
      </c>
    </row>
    <row r="56" spans="1:34" hidden="1" x14ac:dyDescent="0.25">
      <c r="A56" s="267">
        <v>206</v>
      </c>
      <c r="B56" s="267" t="s">
        <v>958</v>
      </c>
      <c r="C56" s="267" t="s">
        <v>681</v>
      </c>
      <c r="D56" s="267" t="s">
        <v>7</v>
      </c>
      <c r="E56" s="267" t="s">
        <v>1336</v>
      </c>
      <c r="F56" s="267" t="s">
        <v>3008</v>
      </c>
      <c r="G56" s="267" t="s">
        <v>3009</v>
      </c>
      <c r="H56" s="267">
        <v>67746</v>
      </c>
      <c r="I56" s="268">
        <v>0</v>
      </c>
      <c r="K56" s="267" t="s">
        <v>940</v>
      </c>
      <c r="L56" s="267" t="s">
        <v>659</v>
      </c>
      <c r="M56" s="267" t="s">
        <v>27</v>
      </c>
      <c r="N56" s="267" t="s">
        <v>899</v>
      </c>
      <c r="O56" s="268" t="s">
        <v>681</v>
      </c>
      <c r="P56" s="267" t="s">
        <v>961</v>
      </c>
      <c r="Q56" s="267" t="s">
        <v>940</v>
      </c>
      <c r="R56" s="267" t="s">
        <v>1695</v>
      </c>
      <c r="S56" s="267" t="s">
        <v>1352</v>
      </c>
      <c r="T56" s="267" t="s">
        <v>1353</v>
      </c>
      <c r="U56" s="267" t="s">
        <v>687</v>
      </c>
      <c r="V56" s="267" t="s">
        <v>1352</v>
      </c>
      <c r="W56" s="267" t="s">
        <v>1672</v>
      </c>
      <c r="X56" s="267" t="s">
        <v>1327</v>
      </c>
      <c r="Y56" s="267" t="s">
        <v>1389</v>
      </c>
      <c r="Z56" s="267" t="s">
        <v>681</v>
      </c>
      <c r="AA56" s="267" t="s">
        <v>1699</v>
      </c>
      <c r="AB56" s="267" t="s">
        <v>1618</v>
      </c>
      <c r="AC56" s="267" t="s">
        <v>19</v>
      </c>
      <c r="AD56" s="267" t="s">
        <v>1700</v>
      </c>
      <c r="AE56" s="267" t="s">
        <v>1701</v>
      </c>
      <c r="AF56" s="267" t="s">
        <v>1702</v>
      </c>
      <c r="AG56" s="267" t="s">
        <v>1359</v>
      </c>
    </row>
    <row r="57" spans="1:34" hidden="1" x14ac:dyDescent="0.25">
      <c r="A57" s="267">
        <v>207</v>
      </c>
      <c r="B57" s="267" t="s">
        <v>1703</v>
      </c>
      <c r="C57" s="267" t="s">
        <v>1270</v>
      </c>
      <c r="D57" s="267" t="s">
        <v>7</v>
      </c>
      <c r="E57" s="267" t="s">
        <v>1319</v>
      </c>
      <c r="F57" s="267" t="s">
        <v>3023</v>
      </c>
      <c r="G57" s="267" t="s">
        <v>3024</v>
      </c>
      <c r="H57" s="267" t="s">
        <v>2929</v>
      </c>
      <c r="I57" s="268">
        <v>0</v>
      </c>
      <c r="K57" s="267" t="s">
        <v>881</v>
      </c>
      <c r="L57" s="267" t="s">
        <v>659</v>
      </c>
      <c r="M57" s="267">
        <v>3173</v>
      </c>
      <c r="N57" s="267" t="s">
        <v>1321</v>
      </c>
      <c r="O57" s="268" t="s">
        <v>1653</v>
      </c>
      <c r="P57" s="267" t="s">
        <v>1704</v>
      </c>
      <c r="Q57" s="267" t="s">
        <v>881</v>
      </c>
      <c r="R57" s="267">
        <v>1500</v>
      </c>
      <c r="S57" s="267" t="s">
        <v>1324</v>
      </c>
      <c r="T57" s="267" t="s">
        <v>1353</v>
      </c>
      <c r="U57" s="267" t="s">
        <v>639</v>
      </c>
      <c r="V57" s="267" t="s">
        <v>1324</v>
      </c>
      <c r="W57" s="267" t="s">
        <v>1311</v>
      </c>
      <c r="X57" s="267" t="s">
        <v>1327</v>
      </c>
      <c r="Y57" s="267" t="s">
        <v>1389</v>
      </c>
      <c r="Z57" s="267" t="s">
        <v>1705</v>
      </c>
      <c r="AA57" s="267" t="s">
        <v>1706</v>
      </c>
      <c r="AB57" s="267" t="s">
        <v>2546</v>
      </c>
      <c r="AC57" s="267" t="s">
        <v>2981</v>
      </c>
      <c r="AD57" s="267" t="s">
        <v>1707</v>
      </c>
      <c r="AE57" s="267" t="s">
        <v>1708</v>
      </c>
      <c r="AG57" s="267" t="s">
        <v>1369</v>
      </c>
      <c r="AH57" s="267" t="s">
        <v>1709</v>
      </c>
    </row>
    <row r="58" spans="1:34" hidden="1" x14ac:dyDescent="0.25">
      <c r="A58" s="267">
        <v>209</v>
      </c>
      <c r="B58" s="267" t="s">
        <v>962</v>
      </c>
      <c r="C58" s="267" t="s">
        <v>658</v>
      </c>
      <c r="D58" s="267" t="s">
        <v>7</v>
      </c>
      <c r="E58" s="267" t="s">
        <v>1385</v>
      </c>
      <c r="F58" s="267" t="s">
        <v>3021</v>
      </c>
      <c r="G58" s="267" t="s">
        <v>3022</v>
      </c>
      <c r="H58" s="267">
        <v>32375</v>
      </c>
      <c r="I58" s="268">
        <v>0</v>
      </c>
      <c r="K58" s="267" t="s">
        <v>1710</v>
      </c>
      <c r="L58" s="267" t="s">
        <v>659</v>
      </c>
      <c r="M58" s="267">
        <v>15666</v>
      </c>
      <c r="N58" s="267" t="s">
        <v>662</v>
      </c>
      <c r="O58" s="268" t="s">
        <v>658</v>
      </c>
      <c r="P58" s="267" t="s">
        <v>732</v>
      </c>
      <c r="Q58" s="267" t="s">
        <v>1710</v>
      </c>
      <c r="R58" s="267" t="s">
        <v>1452</v>
      </c>
      <c r="S58" s="267" t="s">
        <v>1388</v>
      </c>
      <c r="T58" s="267" t="s">
        <v>1353</v>
      </c>
      <c r="U58" s="267" t="s">
        <v>639</v>
      </c>
      <c r="V58" s="267" t="s">
        <v>1388</v>
      </c>
      <c r="W58" s="267" t="s">
        <v>1354</v>
      </c>
      <c r="X58" s="267" t="s">
        <v>1327</v>
      </c>
      <c r="Y58" s="267" t="s">
        <v>1328</v>
      </c>
      <c r="Z58" s="267" t="s">
        <v>1119</v>
      </c>
      <c r="AB58" s="267" t="s">
        <v>1711</v>
      </c>
      <c r="AC58" s="267" t="s">
        <v>2976</v>
      </c>
      <c r="AD58" s="267" t="s">
        <v>23</v>
      </c>
      <c r="AE58" s="267" t="s">
        <v>23</v>
      </c>
      <c r="AF58" s="267" t="s">
        <v>1393</v>
      </c>
      <c r="AG58" s="267" t="s">
        <v>1474</v>
      </c>
      <c r="AH58" s="267" t="s">
        <v>23</v>
      </c>
    </row>
    <row r="59" spans="1:34" hidden="1" x14ac:dyDescent="0.25">
      <c r="A59" s="267">
        <v>211</v>
      </c>
      <c r="B59" s="267" t="s">
        <v>1712</v>
      </c>
      <c r="C59" s="267" t="s">
        <v>1713</v>
      </c>
      <c r="D59" s="267" t="s">
        <v>7</v>
      </c>
      <c r="E59" s="267" t="s">
        <v>1385</v>
      </c>
      <c r="F59" s="267" t="s">
        <v>3025</v>
      </c>
      <c r="G59" s="267" t="s">
        <v>3026</v>
      </c>
      <c r="H59" s="267" t="s">
        <v>2929</v>
      </c>
      <c r="I59" s="268">
        <v>0</v>
      </c>
      <c r="K59" s="267" t="s">
        <v>1714</v>
      </c>
      <c r="L59" s="267" t="s">
        <v>659</v>
      </c>
      <c r="M59" s="267">
        <v>15719</v>
      </c>
      <c r="N59" s="267" t="s">
        <v>658</v>
      </c>
      <c r="O59" s="268" t="s">
        <v>1715</v>
      </c>
      <c r="P59" s="267" t="s">
        <v>1575</v>
      </c>
      <c r="Q59" s="267" t="s">
        <v>1714</v>
      </c>
      <c r="R59" s="267" t="s">
        <v>1339</v>
      </c>
      <c r="S59" s="267" t="s">
        <v>1352</v>
      </c>
      <c r="T59" s="267" t="s">
        <v>1325</v>
      </c>
      <c r="U59" s="267" t="s">
        <v>639</v>
      </c>
      <c r="V59" s="267" t="s">
        <v>1352</v>
      </c>
      <c r="W59" s="267" t="s">
        <v>1354</v>
      </c>
      <c r="X59" s="267" t="s">
        <v>1312</v>
      </c>
      <c r="Y59" s="267" t="s">
        <v>1716</v>
      </c>
      <c r="Z59" s="267" t="s">
        <v>1094</v>
      </c>
      <c r="AA59" s="267" t="s">
        <v>1717</v>
      </c>
      <c r="AB59" s="267" t="s">
        <v>1655</v>
      </c>
      <c r="AC59" s="267" t="s">
        <v>3013</v>
      </c>
      <c r="AD59" s="267" t="s">
        <v>1718</v>
      </c>
      <c r="AE59" s="267" t="s">
        <v>1719</v>
      </c>
      <c r="AF59" s="267" t="s">
        <v>1358</v>
      </c>
      <c r="AG59" s="267" t="s">
        <v>1333</v>
      </c>
    </row>
    <row r="60" spans="1:34" hidden="1" x14ac:dyDescent="0.25">
      <c r="A60" s="267">
        <v>214</v>
      </c>
      <c r="B60" s="267" t="s">
        <v>965</v>
      </c>
      <c r="C60" s="267" t="s">
        <v>1361</v>
      </c>
      <c r="D60" s="267" t="s">
        <v>7</v>
      </c>
      <c r="E60" s="267" t="s">
        <v>1348</v>
      </c>
      <c r="F60" s="267" t="s">
        <v>2970</v>
      </c>
      <c r="G60" s="267" t="s">
        <v>2971</v>
      </c>
      <c r="H60" s="267">
        <v>14829</v>
      </c>
      <c r="I60" s="268">
        <v>0</v>
      </c>
      <c r="K60" s="267" t="s">
        <v>1720</v>
      </c>
      <c r="L60" s="267" t="s">
        <v>659</v>
      </c>
      <c r="M60" s="267">
        <v>22582</v>
      </c>
      <c r="N60" s="267" t="s">
        <v>968</v>
      </c>
      <c r="O60" s="268" t="s">
        <v>791</v>
      </c>
      <c r="P60" s="267" t="s">
        <v>969</v>
      </c>
      <c r="Q60" s="267" t="s">
        <v>1721</v>
      </c>
      <c r="R60" s="267">
        <v>2400</v>
      </c>
      <c r="S60" s="267" t="s">
        <v>1388</v>
      </c>
      <c r="T60" s="267" t="s">
        <v>1353</v>
      </c>
      <c r="U60" s="267" t="s">
        <v>639</v>
      </c>
      <c r="V60" s="267" t="s">
        <v>1388</v>
      </c>
      <c r="W60" s="267" t="s">
        <v>1354</v>
      </c>
      <c r="X60" s="267" t="s">
        <v>1546</v>
      </c>
      <c r="Y60" s="267" t="s">
        <v>1397</v>
      </c>
      <c r="Z60" s="267" t="s">
        <v>786</v>
      </c>
      <c r="AA60" s="267" t="s">
        <v>1722</v>
      </c>
      <c r="AB60" s="267" t="s">
        <v>1723</v>
      </c>
      <c r="AC60" s="267" t="s">
        <v>9</v>
      </c>
      <c r="AD60" s="267" t="s">
        <v>1724</v>
      </c>
      <c r="AE60" s="267" t="s">
        <v>1722</v>
      </c>
      <c r="AF60" s="267" t="s">
        <v>1359</v>
      </c>
      <c r="AG60" s="267" t="s">
        <v>1358</v>
      </c>
      <c r="AH60" s="267" t="s">
        <v>1725</v>
      </c>
    </row>
    <row r="61" spans="1:34" hidden="1" x14ac:dyDescent="0.25">
      <c r="A61" s="267">
        <v>217</v>
      </c>
      <c r="B61" s="267" t="s">
        <v>972</v>
      </c>
      <c r="C61" s="267" t="s">
        <v>892</v>
      </c>
      <c r="D61" s="267" t="s">
        <v>7</v>
      </c>
      <c r="E61" s="267" t="s">
        <v>1385</v>
      </c>
      <c r="F61" s="267" t="s">
        <v>3027</v>
      </c>
      <c r="G61" s="267" t="s">
        <v>3028</v>
      </c>
      <c r="H61" s="267" t="s">
        <v>2929</v>
      </c>
      <c r="I61" s="268">
        <v>0</v>
      </c>
      <c r="K61" s="267" t="s">
        <v>1726</v>
      </c>
      <c r="L61" s="267" t="s">
        <v>659</v>
      </c>
      <c r="M61" s="267" t="s">
        <v>1727</v>
      </c>
      <c r="N61" s="267" t="s">
        <v>658</v>
      </c>
      <c r="O61" s="268" t="s">
        <v>974</v>
      </c>
      <c r="P61" s="267" t="s">
        <v>934</v>
      </c>
      <c r="Q61" s="267" t="s">
        <v>1726</v>
      </c>
      <c r="R61" s="267">
        <v>1100</v>
      </c>
      <c r="S61" s="267" t="s">
        <v>1388</v>
      </c>
      <c r="T61" s="267" t="s">
        <v>1353</v>
      </c>
      <c r="U61" s="267" t="s">
        <v>639</v>
      </c>
      <c r="V61" s="267" t="s">
        <v>1388</v>
      </c>
      <c r="W61" s="267" t="s">
        <v>1354</v>
      </c>
      <c r="X61" s="267" t="s">
        <v>1327</v>
      </c>
      <c r="Z61" s="267" t="s">
        <v>974</v>
      </c>
      <c r="AB61" s="267" t="s">
        <v>1555</v>
      </c>
      <c r="AC61" s="267" t="s">
        <v>3000</v>
      </c>
      <c r="AD61" s="267" t="s">
        <v>1728</v>
      </c>
      <c r="AE61" s="267" t="s">
        <v>23</v>
      </c>
      <c r="AF61" s="267" t="s">
        <v>1359</v>
      </c>
    </row>
    <row r="62" spans="1:34" hidden="1" x14ac:dyDescent="0.25">
      <c r="A62" s="267">
        <v>218</v>
      </c>
      <c r="B62" s="267" t="s">
        <v>978</v>
      </c>
      <c r="C62" s="267" t="s">
        <v>981</v>
      </c>
      <c r="D62" s="267" t="s">
        <v>7</v>
      </c>
      <c r="E62" s="267" t="s">
        <v>1336</v>
      </c>
      <c r="F62" s="267" t="s">
        <v>3029</v>
      </c>
      <c r="G62" s="267" t="s">
        <v>3296</v>
      </c>
      <c r="H62" s="267" t="s">
        <v>2929</v>
      </c>
      <c r="I62" s="268">
        <v>0</v>
      </c>
      <c r="K62" s="267" t="s">
        <v>1729</v>
      </c>
      <c r="L62" s="267" t="s">
        <v>659</v>
      </c>
      <c r="M62" s="267" t="s">
        <v>1730</v>
      </c>
      <c r="N62" s="267" t="s">
        <v>800</v>
      </c>
      <c r="O62" s="268" t="s">
        <v>981</v>
      </c>
      <c r="P62" s="267" t="s">
        <v>982</v>
      </c>
      <c r="Q62" s="267" t="s">
        <v>1729</v>
      </c>
      <c r="R62" s="267">
        <v>1530</v>
      </c>
      <c r="S62" s="267" t="s">
        <v>1310</v>
      </c>
      <c r="T62" s="267" t="s">
        <v>1353</v>
      </c>
      <c r="U62" s="267" t="s">
        <v>639</v>
      </c>
      <c r="V62" s="267" t="s">
        <v>1310</v>
      </c>
      <c r="W62" s="267" t="s">
        <v>1311</v>
      </c>
      <c r="X62" s="267" t="s">
        <v>1327</v>
      </c>
      <c r="Y62" s="267" t="s">
        <v>1389</v>
      </c>
      <c r="AB62" s="267" t="s">
        <v>1731</v>
      </c>
      <c r="AC62" s="267" t="s">
        <v>2282</v>
      </c>
      <c r="AF62" s="267" t="s">
        <v>1732</v>
      </c>
      <c r="AG62" s="267" t="s">
        <v>1557</v>
      </c>
      <c r="AH62" s="267" t="s">
        <v>1733</v>
      </c>
    </row>
    <row r="63" spans="1:34" hidden="1" x14ac:dyDescent="0.25">
      <c r="A63" s="267">
        <v>221</v>
      </c>
      <c r="B63" s="267" t="s">
        <v>990</v>
      </c>
      <c r="C63" s="267" t="s">
        <v>1734</v>
      </c>
      <c r="D63" s="267" t="s">
        <v>7</v>
      </c>
      <c r="E63" s="267" t="s">
        <v>1336</v>
      </c>
      <c r="F63" s="267" t="s">
        <v>2967</v>
      </c>
      <c r="G63" s="267" t="s">
        <v>2968</v>
      </c>
      <c r="H63" s="267">
        <v>68074</v>
      </c>
      <c r="I63" s="268">
        <v>0</v>
      </c>
      <c r="K63" s="267" t="s">
        <v>1735</v>
      </c>
      <c r="L63" s="267" t="s">
        <v>659</v>
      </c>
      <c r="M63" s="267">
        <v>72445</v>
      </c>
      <c r="N63" s="267" t="s">
        <v>681</v>
      </c>
      <c r="O63" s="268" t="s">
        <v>681</v>
      </c>
      <c r="P63" s="267" t="s">
        <v>700</v>
      </c>
      <c r="Q63" s="267" t="s">
        <v>1735</v>
      </c>
      <c r="R63" s="267">
        <v>1000</v>
      </c>
      <c r="S63" s="267" t="s">
        <v>1388</v>
      </c>
      <c r="T63" s="267" t="s">
        <v>1353</v>
      </c>
      <c r="U63" s="267" t="s">
        <v>687</v>
      </c>
      <c r="V63" s="267" t="s">
        <v>1388</v>
      </c>
      <c r="W63" s="267" t="s">
        <v>1354</v>
      </c>
      <c r="X63" s="267" t="s">
        <v>1327</v>
      </c>
      <c r="Y63" s="267" t="s">
        <v>1518</v>
      </c>
      <c r="Z63" s="267" t="s">
        <v>1616</v>
      </c>
      <c r="AA63" s="267" t="s">
        <v>1736</v>
      </c>
      <c r="AB63" s="267" t="s">
        <v>1618</v>
      </c>
      <c r="AC63" s="267" t="s">
        <v>19</v>
      </c>
      <c r="AD63" s="267" t="s">
        <v>1737</v>
      </c>
      <c r="AE63" s="267" t="s">
        <v>27</v>
      </c>
      <c r="AF63" s="267" t="s">
        <v>1738</v>
      </c>
      <c r="AG63" s="267" t="s">
        <v>1359</v>
      </c>
    </row>
    <row r="64" spans="1:34" hidden="1" x14ac:dyDescent="0.25">
      <c r="A64" s="267">
        <v>225</v>
      </c>
      <c r="B64" s="267" t="s">
        <v>992</v>
      </c>
      <c r="C64" s="267" t="s">
        <v>1074</v>
      </c>
      <c r="D64" s="267" t="s">
        <v>7</v>
      </c>
      <c r="E64" s="267" t="s">
        <v>1348</v>
      </c>
      <c r="F64" s="267" t="s">
        <v>3017</v>
      </c>
      <c r="G64" s="267" t="s">
        <v>3018</v>
      </c>
      <c r="H64" s="267" t="s">
        <v>2929</v>
      </c>
      <c r="I64" s="268">
        <v>0</v>
      </c>
      <c r="K64" s="267" t="s">
        <v>1739</v>
      </c>
      <c r="L64" s="267" t="s">
        <v>659</v>
      </c>
      <c r="M64" s="267">
        <v>84414</v>
      </c>
      <c r="N64" s="267" t="s">
        <v>701</v>
      </c>
      <c r="O64" s="268" t="s">
        <v>916</v>
      </c>
      <c r="P64" s="267" t="s">
        <v>994</v>
      </c>
      <c r="Q64" s="267" t="s">
        <v>1739</v>
      </c>
      <c r="R64" s="267">
        <v>1600</v>
      </c>
      <c r="S64" s="267" t="s">
        <v>1388</v>
      </c>
      <c r="T64" s="267" t="s">
        <v>1353</v>
      </c>
      <c r="U64" s="267" t="s">
        <v>639</v>
      </c>
      <c r="V64" s="267" t="s">
        <v>1388</v>
      </c>
      <c r="W64" s="267" t="s">
        <v>1354</v>
      </c>
      <c r="X64" s="267" t="s">
        <v>1312</v>
      </c>
      <c r="Y64" s="267" t="s">
        <v>1328</v>
      </c>
      <c r="Z64" s="267" t="s">
        <v>1004</v>
      </c>
      <c r="AB64" s="267" t="s">
        <v>1677</v>
      </c>
      <c r="AC64" s="267" t="s">
        <v>2</v>
      </c>
      <c r="AD64" s="267" t="s">
        <v>1740</v>
      </c>
      <c r="AE64" s="267" t="s">
        <v>1741</v>
      </c>
      <c r="AF64" s="267" t="s">
        <v>72</v>
      </c>
      <c r="AG64" s="267" t="s">
        <v>1359</v>
      </c>
      <c r="AH64" s="267" t="s">
        <v>1742</v>
      </c>
    </row>
    <row r="65" spans="1:34" hidden="1" x14ac:dyDescent="0.25">
      <c r="A65" s="267">
        <v>229</v>
      </c>
      <c r="B65" s="267" t="s">
        <v>999</v>
      </c>
      <c r="C65" s="267" t="s">
        <v>916</v>
      </c>
      <c r="D65" s="267" t="s">
        <v>7</v>
      </c>
      <c r="E65" s="267" t="s">
        <v>1348</v>
      </c>
      <c r="F65" s="267" t="s">
        <v>3017</v>
      </c>
      <c r="G65" s="267" t="s">
        <v>3018</v>
      </c>
      <c r="H65" s="267" t="s">
        <v>2929</v>
      </c>
      <c r="I65" s="268">
        <v>0</v>
      </c>
      <c r="K65" s="267" t="s">
        <v>1743</v>
      </c>
      <c r="L65" s="267" t="s">
        <v>659</v>
      </c>
      <c r="M65" s="267">
        <v>84414</v>
      </c>
      <c r="N65" s="267" t="s">
        <v>680</v>
      </c>
      <c r="O65" s="268" t="s">
        <v>916</v>
      </c>
      <c r="P65" s="267" t="s">
        <v>1001</v>
      </c>
      <c r="Q65" s="267" t="s">
        <v>1743</v>
      </c>
      <c r="R65" s="267">
        <v>1230</v>
      </c>
      <c r="S65" s="267" t="s">
        <v>1388</v>
      </c>
      <c r="T65" s="267" t="s">
        <v>1353</v>
      </c>
      <c r="U65" s="267" t="s">
        <v>687</v>
      </c>
      <c r="V65" s="267" t="s">
        <v>1388</v>
      </c>
      <c r="W65" s="267" t="s">
        <v>1354</v>
      </c>
      <c r="X65" s="267" t="s">
        <v>1327</v>
      </c>
      <c r="Y65" s="267" t="s">
        <v>1389</v>
      </c>
      <c r="Z65" s="267" t="s">
        <v>916</v>
      </c>
      <c r="AA65" s="267" t="s">
        <v>1744</v>
      </c>
      <c r="AB65" s="267" t="s">
        <v>1677</v>
      </c>
      <c r="AC65" s="267" t="s">
        <v>2</v>
      </c>
      <c r="AD65" s="267" t="s">
        <v>1745</v>
      </c>
      <c r="AE65" s="267" t="s">
        <v>1746</v>
      </c>
      <c r="AF65" s="267" t="s">
        <v>72</v>
      </c>
      <c r="AG65" s="267" t="s">
        <v>1359</v>
      </c>
    </row>
    <row r="66" spans="1:34" hidden="1" x14ac:dyDescent="0.25">
      <c r="A66" s="267">
        <v>233</v>
      </c>
      <c r="B66" s="267" t="s">
        <v>1747</v>
      </c>
      <c r="C66" s="267" t="s">
        <v>1748</v>
      </c>
      <c r="D66" s="267" t="s">
        <v>7</v>
      </c>
      <c r="E66" s="267" t="s">
        <v>1749</v>
      </c>
      <c r="F66" s="267" t="s">
        <v>2982</v>
      </c>
      <c r="G66" s="267" t="s">
        <v>2983</v>
      </c>
      <c r="H66" s="267" t="s">
        <v>2929</v>
      </c>
      <c r="I66" s="268">
        <v>0</v>
      </c>
      <c r="K66" s="267" t="s">
        <v>1750</v>
      </c>
      <c r="L66" s="267" t="s">
        <v>659</v>
      </c>
      <c r="M66" s="267" t="s">
        <v>1751</v>
      </c>
      <c r="N66" s="267" t="s">
        <v>968</v>
      </c>
      <c r="O66" s="268" t="s">
        <v>1037</v>
      </c>
      <c r="P66" s="267" t="s">
        <v>868</v>
      </c>
      <c r="Q66" s="267" t="s">
        <v>1750</v>
      </c>
      <c r="R66" s="267">
        <v>1230</v>
      </c>
      <c r="S66" s="267" t="s">
        <v>1388</v>
      </c>
      <c r="T66" s="267" t="s">
        <v>72</v>
      </c>
      <c r="U66" s="267" t="s">
        <v>687</v>
      </c>
      <c r="V66" s="267" t="s">
        <v>1388</v>
      </c>
      <c r="W66" s="267" t="s">
        <v>1443</v>
      </c>
      <c r="X66" s="267" t="s">
        <v>1327</v>
      </c>
      <c r="Y66" s="267" t="s">
        <v>1328</v>
      </c>
      <c r="Z66" s="267" t="s">
        <v>1752</v>
      </c>
      <c r="AA66" s="267" t="s">
        <v>1753</v>
      </c>
      <c r="AB66" s="267" t="s">
        <v>3030</v>
      </c>
      <c r="AC66" s="267" t="s">
        <v>3031</v>
      </c>
      <c r="AD66" s="267" t="s">
        <v>1754</v>
      </c>
      <c r="AE66" s="267" t="s">
        <v>1755</v>
      </c>
      <c r="AF66" s="267" t="s">
        <v>1756</v>
      </c>
      <c r="AG66" s="267" t="s">
        <v>1757</v>
      </c>
      <c r="AH66" s="267" t="s">
        <v>1758</v>
      </c>
    </row>
    <row r="67" spans="1:34" hidden="1" x14ac:dyDescent="0.25">
      <c r="A67" s="267">
        <v>235</v>
      </c>
      <c r="B67" s="267" t="s">
        <v>1002</v>
      </c>
      <c r="C67" s="267" t="s">
        <v>1074</v>
      </c>
      <c r="D67" s="267" t="s">
        <v>7</v>
      </c>
      <c r="E67" s="267" t="s">
        <v>1348</v>
      </c>
      <c r="F67" s="267" t="s">
        <v>3017</v>
      </c>
      <c r="G67" s="267" t="s">
        <v>3018</v>
      </c>
      <c r="H67" s="267" t="s">
        <v>2929</v>
      </c>
      <c r="I67" s="268">
        <v>0</v>
      </c>
      <c r="K67" s="267" t="s">
        <v>1759</v>
      </c>
      <c r="L67" s="267" t="s">
        <v>659</v>
      </c>
      <c r="M67" s="267">
        <v>84414</v>
      </c>
      <c r="N67" s="267" t="s">
        <v>680</v>
      </c>
      <c r="O67" s="268" t="s">
        <v>1004</v>
      </c>
      <c r="P67" s="267" t="s">
        <v>1005</v>
      </c>
      <c r="Q67" s="267" t="s">
        <v>1759</v>
      </c>
      <c r="R67" s="267">
        <v>1000</v>
      </c>
      <c r="S67" s="267" t="s">
        <v>1388</v>
      </c>
      <c r="T67" s="267" t="s">
        <v>1353</v>
      </c>
      <c r="U67" s="267" t="s">
        <v>639</v>
      </c>
      <c r="V67" s="267" t="s">
        <v>1388</v>
      </c>
      <c r="W67" s="267" t="s">
        <v>1354</v>
      </c>
      <c r="X67" s="267" t="s">
        <v>1327</v>
      </c>
      <c r="Y67" s="267" t="s">
        <v>1389</v>
      </c>
      <c r="AB67" s="267" t="s">
        <v>1677</v>
      </c>
      <c r="AC67" s="267" t="s">
        <v>2</v>
      </c>
      <c r="AD67" s="267" t="s">
        <v>1760</v>
      </c>
      <c r="AE67" s="267" t="s">
        <v>1761</v>
      </c>
      <c r="AF67" s="267" t="s">
        <v>1474</v>
      </c>
      <c r="AG67" s="267" t="s">
        <v>1359</v>
      </c>
      <c r="AH67" s="267" t="s">
        <v>1762</v>
      </c>
    </row>
    <row r="68" spans="1:34" hidden="1" x14ac:dyDescent="0.25">
      <c r="A68" s="267">
        <v>238</v>
      </c>
      <c r="B68" s="267" t="s">
        <v>1011</v>
      </c>
      <c r="C68" s="267" t="s">
        <v>771</v>
      </c>
      <c r="D68" s="267" t="s">
        <v>7</v>
      </c>
      <c r="E68" s="267" t="s">
        <v>1348</v>
      </c>
      <c r="F68" s="267" t="s">
        <v>3032</v>
      </c>
      <c r="G68" s="267" t="s">
        <v>3297</v>
      </c>
      <c r="H68" s="267" t="s">
        <v>2929</v>
      </c>
      <c r="I68" s="268">
        <v>0</v>
      </c>
      <c r="K68" s="267" t="s">
        <v>1763</v>
      </c>
      <c r="L68" s="267" t="s">
        <v>659</v>
      </c>
      <c r="M68" s="267">
        <v>1</v>
      </c>
      <c r="N68" s="267" t="s">
        <v>680</v>
      </c>
      <c r="O68" s="268" t="s">
        <v>771</v>
      </c>
      <c r="P68" s="267" t="s">
        <v>1014</v>
      </c>
      <c r="Q68" s="267" t="s">
        <v>1763</v>
      </c>
      <c r="R68" s="267" t="s">
        <v>27</v>
      </c>
      <c r="S68" s="267" t="s">
        <v>1388</v>
      </c>
      <c r="T68" s="267" t="s">
        <v>1353</v>
      </c>
      <c r="U68" s="267" t="s">
        <v>639</v>
      </c>
      <c r="V68" s="267" t="s">
        <v>1388</v>
      </c>
      <c r="W68" s="267" t="s">
        <v>1443</v>
      </c>
      <c r="X68" s="267" t="s">
        <v>1327</v>
      </c>
      <c r="AB68" s="267" t="s">
        <v>1584</v>
      </c>
      <c r="AC68" s="267" t="s">
        <v>3</v>
      </c>
      <c r="AD68" s="267" t="s">
        <v>1764</v>
      </c>
      <c r="AE68" s="267" t="s">
        <v>1765</v>
      </c>
      <c r="AF68" s="267" t="s">
        <v>1766</v>
      </c>
    </row>
    <row r="69" spans="1:34" hidden="1" x14ac:dyDescent="0.25">
      <c r="A69" s="267">
        <v>240</v>
      </c>
      <c r="B69" s="267" t="s">
        <v>1021</v>
      </c>
      <c r="C69" s="267" t="s">
        <v>658</v>
      </c>
      <c r="D69" s="267" t="s">
        <v>7</v>
      </c>
      <c r="E69" s="267" t="s">
        <v>1385</v>
      </c>
      <c r="F69" s="267" t="s">
        <v>3033</v>
      </c>
      <c r="G69" s="267" t="s">
        <v>3034</v>
      </c>
      <c r="H69" s="267" t="s">
        <v>2929</v>
      </c>
      <c r="I69" s="268">
        <v>0</v>
      </c>
      <c r="K69" s="267" t="s">
        <v>1767</v>
      </c>
      <c r="L69" s="267" t="s">
        <v>659</v>
      </c>
      <c r="M69" s="267">
        <v>84609</v>
      </c>
      <c r="N69" s="267" t="s">
        <v>774</v>
      </c>
      <c r="O69" s="268" t="s">
        <v>658</v>
      </c>
      <c r="P69" s="267" t="s">
        <v>1024</v>
      </c>
      <c r="Q69" s="267" t="s">
        <v>1767</v>
      </c>
      <c r="R69" s="267">
        <v>1100</v>
      </c>
      <c r="S69" s="267" t="s">
        <v>1388</v>
      </c>
      <c r="T69" s="267" t="s">
        <v>1353</v>
      </c>
      <c r="U69" s="267" t="s">
        <v>639</v>
      </c>
      <c r="V69" s="267" t="s">
        <v>1388</v>
      </c>
      <c r="W69" s="267" t="s">
        <v>1354</v>
      </c>
      <c r="X69" s="267" t="s">
        <v>1327</v>
      </c>
      <c r="Y69" s="267" t="s">
        <v>1389</v>
      </c>
      <c r="Z69" s="267" t="s">
        <v>974</v>
      </c>
      <c r="AA69" s="267" t="s">
        <v>1768</v>
      </c>
      <c r="AB69" s="267" t="s">
        <v>1769</v>
      </c>
      <c r="AC69" s="267" t="s">
        <v>3035</v>
      </c>
      <c r="AD69" s="267" t="s">
        <v>1770</v>
      </c>
      <c r="AE69" s="267" t="s">
        <v>1771</v>
      </c>
      <c r="AF69" s="267" t="s">
        <v>1383</v>
      </c>
      <c r="AG69" s="267" t="s">
        <v>1359</v>
      </c>
      <c r="AH69" s="267" t="s">
        <v>1772</v>
      </c>
    </row>
    <row r="70" spans="1:34" hidden="1" x14ac:dyDescent="0.25">
      <c r="A70" s="267">
        <v>242</v>
      </c>
      <c r="B70" s="267" t="s">
        <v>1028</v>
      </c>
      <c r="C70" s="267" t="s">
        <v>699</v>
      </c>
      <c r="D70" s="267" t="s">
        <v>7</v>
      </c>
      <c r="E70" s="267" t="s">
        <v>1336</v>
      </c>
      <c r="F70" s="267" t="s">
        <v>3036</v>
      </c>
      <c r="G70" s="267" t="s">
        <v>3037</v>
      </c>
      <c r="H70" s="267">
        <v>47763</v>
      </c>
      <c r="I70" s="268">
        <v>0</v>
      </c>
      <c r="K70" s="267" t="s">
        <v>1773</v>
      </c>
      <c r="L70" s="267" t="s">
        <v>659</v>
      </c>
      <c r="M70" s="267">
        <v>72601</v>
      </c>
      <c r="O70" s="268" t="s">
        <v>699</v>
      </c>
      <c r="P70" s="267" t="s">
        <v>700</v>
      </c>
      <c r="Q70" s="267" t="s">
        <v>1773</v>
      </c>
      <c r="R70" s="267" t="s">
        <v>1452</v>
      </c>
      <c r="S70" s="267" t="s">
        <v>1388</v>
      </c>
      <c r="T70" s="267" t="s">
        <v>1353</v>
      </c>
      <c r="U70" s="267" t="s">
        <v>639</v>
      </c>
      <c r="V70" s="267" t="s">
        <v>1388</v>
      </c>
      <c r="W70" s="267" t="s">
        <v>1354</v>
      </c>
      <c r="X70" s="267" t="s">
        <v>1327</v>
      </c>
      <c r="AB70" s="267" t="s">
        <v>1774</v>
      </c>
      <c r="AC70" s="267" t="s">
        <v>20</v>
      </c>
      <c r="AD70" s="267" t="s">
        <v>1775</v>
      </c>
      <c r="AE70" s="267" t="s">
        <v>1776</v>
      </c>
      <c r="AF70" s="267" t="s">
        <v>1393</v>
      </c>
      <c r="AG70" s="267" t="s">
        <v>1543</v>
      </c>
    </row>
    <row r="71" spans="1:34" hidden="1" x14ac:dyDescent="0.25">
      <c r="A71" s="267">
        <v>243</v>
      </c>
      <c r="B71" s="267" t="s">
        <v>1031</v>
      </c>
      <c r="C71" s="267" t="s">
        <v>680</v>
      </c>
      <c r="D71" s="267" t="s">
        <v>7</v>
      </c>
      <c r="E71" s="267" t="s">
        <v>1348</v>
      </c>
      <c r="F71" s="267" t="s">
        <v>1881</v>
      </c>
      <c r="G71" s="267" t="s">
        <v>3038</v>
      </c>
      <c r="H71" s="267">
        <v>10091</v>
      </c>
      <c r="I71" s="268">
        <v>0</v>
      </c>
      <c r="K71" s="267" t="s">
        <v>1777</v>
      </c>
      <c r="L71" s="267" t="s">
        <v>659</v>
      </c>
      <c r="M71" s="267">
        <v>72584</v>
      </c>
      <c r="N71" s="267" t="s">
        <v>757</v>
      </c>
      <c r="O71" s="268" t="s">
        <v>680</v>
      </c>
      <c r="P71" s="267" t="s">
        <v>1033</v>
      </c>
      <c r="Q71" s="267" t="s">
        <v>1777</v>
      </c>
      <c r="R71" s="267" t="s">
        <v>27</v>
      </c>
      <c r="S71" s="267" t="s">
        <v>1388</v>
      </c>
      <c r="T71" s="267" t="s">
        <v>1353</v>
      </c>
      <c r="U71" s="267" t="s">
        <v>639</v>
      </c>
      <c r="V71" s="267" t="s">
        <v>1388</v>
      </c>
      <c r="W71" s="267" t="s">
        <v>1354</v>
      </c>
      <c r="X71" s="267" t="s">
        <v>1327</v>
      </c>
      <c r="AB71" s="267" t="s">
        <v>1723</v>
      </c>
      <c r="AC71" s="267" t="s">
        <v>9</v>
      </c>
      <c r="AF71" s="267" t="s">
        <v>1358</v>
      </c>
      <c r="AG71" s="267" t="s">
        <v>1474</v>
      </c>
    </row>
    <row r="72" spans="1:34" hidden="1" x14ac:dyDescent="0.25">
      <c r="A72" s="267">
        <v>244</v>
      </c>
      <c r="B72" s="267" t="s">
        <v>1041</v>
      </c>
      <c r="C72" s="267" t="s">
        <v>1361</v>
      </c>
      <c r="D72" s="267" t="s">
        <v>7</v>
      </c>
      <c r="E72" s="267" t="s">
        <v>1305</v>
      </c>
      <c r="F72" s="267" t="s">
        <v>3039</v>
      </c>
      <c r="G72" s="267" t="s">
        <v>3040</v>
      </c>
      <c r="H72" s="267" t="s">
        <v>2929</v>
      </c>
      <c r="I72" s="268">
        <v>0</v>
      </c>
      <c r="K72" s="267" t="s">
        <v>1778</v>
      </c>
      <c r="L72" s="267" t="s">
        <v>659</v>
      </c>
      <c r="M72" s="267">
        <v>22711</v>
      </c>
      <c r="N72" s="267" t="s">
        <v>968</v>
      </c>
      <c r="O72" s="268" t="s">
        <v>1043</v>
      </c>
      <c r="P72" s="267" t="s">
        <v>969</v>
      </c>
      <c r="Q72" s="267" t="s">
        <v>1778</v>
      </c>
      <c r="R72" s="267" t="s">
        <v>1339</v>
      </c>
      <c r="S72" s="267" t="s">
        <v>1388</v>
      </c>
      <c r="T72" s="267" t="s">
        <v>1353</v>
      </c>
      <c r="U72" s="267" t="s">
        <v>639</v>
      </c>
      <c r="V72" s="267" t="s">
        <v>1388</v>
      </c>
      <c r="W72" s="267" t="s">
        <v>1354</v>
      </c>
      <c r="X72" s="267" t="s">
        <v>1343</v>
      </c>
      <c r="Z72" s="267" t="s">
        <v>765</v>
      </c>
      <c r="AB72" s="267" t="s">
        <v>1563</v>
      </c>
      <c r="AC72" s="267" t="s">
        <v>10</v>
      </c>
      <c r="AD72" s="267" t="s">
        <v>1779</v>
      </c>
      <c r="AE72" s="267" t="s">
        <v>1780</v>
      </c>
      <c r="AF72" s="267" t="s">
        <v>1359</v>
      </c>
      <c r="AG72" s="267" t="s">
        <v>1543</v>
      </c>
      <c r="AH72" s="267" t="s">
        <v>1781</v>
      </c>
    </row>
    <row r="73" spans="1:34" hidden="1" x14ac:dyDescent="0.25">
      <c r="A73" s="267">
        <v>246</v>
      </c>
      <c r="B73" s="267" t="s">
        <v>1049</v>
      </c>
      <c r="C73" s="267" t="s">
        <v>1782</v>
      </c>
      <c r="D73" s="267" t="s">
        <v>7</v>
      </c>
      <c r="E73" s="267" t="s">
        <v>1385</v>
      </c>
      <c r="F73" s="267" t="s">
        <v>3033</v>
      </c>
      <c r="G73" s="267" t="s">
        <v>3034</v>
      </c>
      <c r="H73" s="267" t="s">
        <v>2929</v>
      </c>
      <c r="I73" s="268">
        <v>0</v>
      </c>
      <c r="K73" s="267" t="s">
        <v>1783</v>
      </c>
      <c r="L73" s="267" t="s">
        <v>659</v>
      </c>
      <c r="M73" s="267" t="s">
        <v>1784</v>
      </c>
      <c r="N73" s="267" t="s">
        <v>658</v>
      </c>
      <c r="O73" s="268" t="s">
        <v>658</v>
      </c>
      <c r="P73" s="267" t="s">
        <v>1051</v>
      </c>
      <c r="Q73" s="267" t="s">
        <v>1783</v>
      </c>
      <c r="R73" s="267" t="s">
        <v>1785</v>
      </c>
      <c r="S73" s="267" t="s">
        <v>1388</v>
      </c>
      <c r="T73" s="267" t="s">
        <v>1353</v>
      </c>
      <c r="U73" s="267" t="s">
        <v>639</v>
      </c>
      <c r="V73" s="267" t="s">
        <v>1388</v>
      </c>
      <c r="W73" s="267" t="s">
        <v>1354</v>
      </c>
      <c r="X73" s="267" t="s">
        <v>1343</v>
      </c>
      <c r="Y73" s="267" t="s">
        <v>1397</v>
      </c>
      <c r="AA73" s="267" t="s">
        <v>1786</v>
      </c>
      <c r="AB73" s="267" t="s">
        <v>1769</v>
      </c>
      <c r="AC73" s="267" t="s">
        <v>3035</v>
      </c>
      <c r="AD73" s="267" t="s">
        <v>1770</v>
      </c>
      <c r="AE73" s="267" t="s">
        <v>23</v>
      </c>
      <c r="AF73" s="267" t="s">
        <v>72</v>
      </c>
      <c r="AG73" s="267" t="s">
        <v>1787</v>
      </c>
      <c r="AH73" s="267" t="s">
        <v>1788</v>
      </c>
    </row>
    <row r="74" spans="1:34" hidden="1" x14ac:dyDescent="0.25">
      <c r="A74" s="267">
        <v>248</v>
      </c>
      <c r="B74" s="267" t="s">
        <v>1057</v>
      </c>
      <c r="C74" s="267" t="s">
        <v>658</v>
      </c>
      <c r="D74" s="267" t="s">
        <v>7</v>
      </c>
      <c r="E74" s="267" t="s">
        <v>1385</v>
      </c>
      <c r="F74" s="267" t="s">
        <v>3033</v>
      </c>
      <c r="G74" s="267" t="s">
        <v>3034</v>
      </c>
      <c r="H74" s="267">
        <v>28263</v>
      </c>
      <c r="I74" s="268">
        <v>0</v>
      </c>
      <c r="K74" s="267" t="s">
        <v>1789</v>
      </c>
      <c r="L74" s="267" t="s">
        <v>659</v>
      </c>
      <c r="M74" s="267">
        <v>84609</v>
      </c>
      <c r="N74" s="267" t="s">
        <v>662</v>
      </c>
      <c r="O74" s="268" t="s">
        <v>662</v>
      </c>
      <c r="P74" s="267" t="s">
        <v>1051</v>
      </c>
      <c r="Q74" s="267" t="s">
        <v>1789</v>
      </c>
      <c r="R74" s="267" t="s">
        <v>1351</v>
      </c>
      <c r="S74" s="267" t="s">
        <v>1388</v>
      </c>
      <c r="T74" s="267" t="s">
        <v>1353</v>
      </c>
      <c r="U74" s="267" t="s">
        <v>639</v>
      </c>
      <c r="V74" s="267" t="s">
        <v>1388</v>
      </c>
      <c r="W74" s="267" t="s">
        <v>1354</v>
      </c>
      <c r="X74" s="267" t="s">
        <v>1327</v>
      </c>
      <c r="Y74" s="267" t="s">
        <v>1389</v>
      </c>
      <c r="Z74" s="267" t="s">
        <v>813</v>
      </c>
      <c r="AA74" s="267" t="s">
        <v>1790</v>
      </c>
      <c r="AB74" s="267" t="s">
        <v>1541</v>
      </c>
      <c r="AC74" s="267" t="s">
        <v>2984</v>
      </c>
      <c r="AD74" s="267" t="s">
        <v>1791</v>
      </c>
      <c r="AE74" s="267" t="s">
        <v>1792</v>
      </c>
      <c r="AF74" s="267" t="s">
        <v>72</v>
      </c>
      <c r="AG74" s="267" t="s">
        <v>1358</v>
      </c>
      <c r="AH74" s="267" t="s">
        <v>1793</v>
      </c>
    </row>
    <row r="75" spans="1:34" hidden="1" x14ac:dyDescent="0.25">
      <c r="A75" s="267">
        <v>253</v>
      </c>
      <c r="B75" s="267" t="s">
        <v>1060</v>
      </c>
      <c r="C75" s="267" t="s">
        <v>757</v>
      </c>
      <c r="D75" s="267" t="s">
        <v>7</v>
      </c>
      <c r="E75" s="267" t="s">
        <v>1348</v>
      </c>
      <c r="F75" s="267" t="s">
        <v>1881</v>
      </c>
      <c r="G75" s="267" t="s">
        <v>3038</v>
      </c>
      <c r="H75" s="267" t="s">
        <v>2929</v>
      </c>
      <c r="I75" s="268">
        <v>0</v>
      </c>
      <c r="K75" s="267" t="s">
        <v>1794</v>
      </c>
      <c r="L75" s="267" t="s">
        <v>659</v>
      </c>
      <c r="M75" s="267">
        <v>72584</v>
      </c>
      <c r="N75" s="267" t="s">
        <v>950</v>
      </c>
      <c r="O75" s="268" t="s">
        <v>757</v>
      </c>
      <c r="P75" s="267" t="s">
        <v>1062</v>
      </c>
      <c r="Q75" s="267" t="s">
        <v>1794</v>
      </c>
      <c r="R75" s="267">
        <v>2030</v>
      </c>
      <c r="S75" s="267" t="s">
        <v>1795</v>
      </c>
      <c r="T75" s="267" t="s">
        <v>1353</v>
      </c>
      <c r="U75" s="267" t="s">
        <v>639</v>
      </c>
      <c r="V75" s="267" t="s">
        <v>1795</v>
      </c>
      <c r="W75" s="267" t="s">
        <v>1354</v>
      </c>
      <c r="X75" s="267" t="s">
        <v>1327</v>
      </c>
      <c r="Y75" s="267" t="s">
        <v>1796</v>
      </c>
      <c r="Z75" s="267" t="s">
        <v>834</v>
      </c>
      <c r="AA75" s="267" t="s">
        <v>1797</v>
      </c>
      <c r="AB75" s="267" t="s">
        <v>1798</v>
      </c>
      <c r="AC75" s="267" t="s">
        <v>3041</v>
      </c>
      <c r="AD75" s="267" t="s">
        <v>1799</v>
      </c>
      <c r="AE75" s="267" t="s">
        <v>1800</v>
      </c>
      <c r="AF75" s="267" t="s">
        <v>1393</v>
      </c>
      <c r="AG75" s="267" t="s">
        <v>1801</v>
      </c>
    </row>
    <row r="76" spans="1:34" hidden="1" x14ac:dyDescent="0.25">
      <c r="A76" s="267">
        <v>254</v>
      </c>
      <c r="B76" s="267" t="s">
        <v>1067</v>
      </c>
      <c r="C76" s="267" t="s">
        <v>1069</v>
      </c>
      <c r="D76" s="267" t="s">
        <v>7</v>
      </c>
      <c r="E76" s="267" t="s">
        <v>1336</v>
      </c>
      <c r="F76" s="267" t="s">
        <v>3042</v>
      </c>
      <c r="G76" s="267" t="s">
        <v>3043</v>
      </c>
      <c r="H76" s="267">
        <v>68665</v>
      </c>
      <c r="I76" s="268">
        <v>0</v>
      </c>
      <c r="K76" s="267" t="s">
        <v>1025</v>
      </c>
      <c r="L76" s="267" t="s">
        <v>659</v>
      </c>
      <c r="M76" s="267">
        <v>84510</v>
      </c>
      <c r="N76" s="267" t="s">
        <v>699</v>
      </c>
      <c r="O76" s="268" t="s">
        <v>699</v>
      </c>
      <c r="P76" s="267" t="s">
        <v>1070</v>
      </c>
      <c r="Q76" s="267" t="s">
        <v>1025</v>
      </c>
      <c r="R76" s="267">
        <v>1930</v>
      </c>
      <c r="S76" s="267" t="s">
        <v>1388</v>
      </c>
      <c r="T76" s="267" t="s">
        <v>1353</v>
      </c>
      <c r="U76" s="267" t="s">
        <v>639</v>
      </c>
      <c r="V76" s="267" t="s">
        <v>1388</v>
      </c>
      <c r="W76" s="267" t="s">
        <v>1354</v>
      </c>
      <c r="X76" s="267" t="s">
        <v>1327</v>
      </c>
      <c r="Y76" s="267" t="s">
        <v>1802</v>
      </c>
      <c r="AA76" s="267" t="s">
        <v>1803</v>
      </c>
      <c r="AB76" s="267" t="s">
        <v>1618</v>
      </c>
      <c r="AC76" s="267" t="s">
        <v>19</v>
      </c>
      <c r="AD76" s="267" t="s">
        <v>1804</v>
      </c>
      <c r="AE76" s="267" t="s">
        <v>1804</v>
      </c>
      <c r="AF76" s="267" t="s">
        <v>72</v>
      </c>
      <c r="AG76" s="267" t="s">
        <v>1805</v>
      </c>
    </row>
    <row r="77" spans="1:34" hidden="1" x14ac:dyDescent="0.25">
      <c r="A77" s="267">
        <v>258</v>
      </c>
      <c r="B77" s="267" t="s">
        <v>1072</v>
      </c>
      <c r="C77" s="267" t="s">
        <v>1074</v>
      </c>
      <c r="D77" s="267" t="s">
        <v>7</v>
      </c>
      <c r="E77" s="267" t="s">
        <v>1348</v>
      </c>
      <c r="F77" s="267" t="s">
        <v>1881</v>
      </c>
      <c r="G77" s="267" t="s">
        <v>3038</v>
      </c>
      <c r="H77" s="267">
        <v>1745500</v>
      </c>
      <c r="I77" s="268">
        <v>0</v>
      </c>
      <c r="K77" s="267" t="s">
        <v>1806</v>
      </c>
      <c r="L77" s="267" t="s">
        <v>659</v>
      </c>
      <c r="M77" s="267">
        <v>72584</v>
      </c>
      <c r="N77" s="267" t="s">
        <v>772</v>
      </c>
      <c r="O77" s="268" t="s">
        <v>1074</v>
      </c>
      <c r="P77" s="267" t="s">
        <v>1075</v>
      </c>
      <c r="Q77" s="267" t="s">
        <v>1806</v>
      </c>
      <c r="R77" s="267">
        <v>1030</v>
      </c>
      <c r="S77" s="267" t="s">
        <v>1388</v>
      </c>
      <c r="T77" s="267" t="s">
        <v>1353</v>
      </c>
      <c r="U77" s="267" t="s">
        <v>639</v>
      </c>
      <c r="V77" s="267" t="s">
        <v>1388</v>
      </c>
      <c r="W77" s="267" t="s">
        <v>1354</v>
      </c>
      <c r="X77" s="267" t="s">
        <v>1327</v>
      </c>
      <c r="Y77" s="267" t="s">
        <v>1389</v>
      </c>
      <c r="AA77" s="267" t="s">
        <v>1807</v>
      </c>
      <c r="AB77" s="267" t="s">
        <v>1584</v>
      </c>
      <c r="AC77" s="267" t="s">
        <v>3</v>
      </c>
      <c r="AD77" s="267" t="s">
        <v>1585</v>
      </c>
      <c r="AE77" s="267" t="s">
        <v>1808</v>
      </c>
      <c r="AF77" s="267" t="s">
        <v>72</v>
      </c>
      <c r="AG77" s="267" t="s">
        <v>1359</v>
      </c>
    </row>
    <row r="78" spans="1:34" hidden="1" x14ac:dyDescent="0.25">
      <c r="A78" s="267">
        <v>259</v>
      </c>
      <c r="B78" s="267" t="s">
        <v>1809</v>
      </c>
      <c r="C78" s="267" t="s">
        <v>892</v>
      </c>
      <c r="D78" s="267" t="s">
        <v>7</v>
      </c>
      <c r="E78" s="267" t="s">
        <v>1336</v>
      </c>
      <c r="F78" s="267" t="s">
        <v>3044</v>
      </c>
      <c r="G78" s="267" t="s">
        <v>3045</v>
      </c>
      <c r="H78" s="267" t="s">
        <v>2929</v>
      </c>
      <c r="I78" s="268">
        <v>0</v>
      </c>
      <c r="K78" s="267" t="s">
        <v>1810</v>
      </c>
      <c r="L78" s="267" t="s">
        <v>1153</v>
      </c>
      <c r="M78" s="267">
        <v>2552</v>
      </c>
      <c r="N78" s="267" t="s">
        <v>906</v>
      </c>
      <c r="O78" s="268" t="s">
        <v>892</v>
      </c>
      <c r="P78" s="267" t="s">
        <v>875</v>
      </c>
      <c r="Q78" s="267" t="s">
        <v>1811</v>
      </c>
      <c r="R78" s="267" t="s">
        <v>1569</v>
      </c>
      <c r="S78" s="267" t="s">
        <v>1436</v>
      </c>
      <c r="T78" s="267" t="s">
        <v>1325</v>
      </c>
      <c r="U78" s="267" t="s">
        <v>639</v>
      </c>
      <c r="V78" s="267" t="s">
        <v>1436</v>
      </c>
      <c r="W78" s="267" t="s">
        <v>1311</v>
      </c>
      <c r="X78" s="267" t="s">
        <v>1327</v>
      </c>
      <c r="Y78" s="267" t="s">
        <v>1397</v>
      </c>
      <c r="AA78" s="267" t="s">
        <v>1812</v>
      </c>
      <c r="AB78" s="267" t="s">
        <v>1813</v>
      </c>
      <c r="AC78" s="267" t="s">
        <v>2278</v>
      </c>
      <c r="AD78" s="267" t="s">
        <v>1814</v>
      </c>
      <c r="AE78" s="267" t="s">
        <v>1814</v>
      </c>
      <c r="AF78" s="267" t="s">
        <v>1463</v>
      </c>
      <c r="AG78" s="267" t="s">
        <v>72</v>
      </c>
    </row>
    <row r="79" spans="1:34" hidden="1" x14ac:dyDescent="0.25">
      <c r="A79" s="267">
        <v>261</v>
      </c>
      <c r="B79" s="267" t="s">
        <v>1077</v>
      </c>
      <c r="C79" s="267" t="s">
        <v>1361</v>
      </c>
      <c r="D79" s="267" t="s">
        <v>7</v>
      </c>
      <c r="E79" s="267" t="s">
        <v>1305</v>
      </c>
      <c r="F79" s="267" t="s">
        <v>2982</v>
      </c>
      <c r="G79" s="267" t="s">
        <v>2983</v>
      </c>
      <c r="H79" s="267" t="s">
        <v>2929</v>
      </c>
      <c r="I79" s="268">
        <v>0</v>
      </c>
      <c r="K79" s="267" t="s">
        <v>1815</v>
      </c>
      <c r="L79" s="267" t="s">
        <v>659</v>
      </c>
      <c r="M79" s="267" t="s">
        <v>1816</v>
      </c>
      <c r="N79" s="267" t="s">
        <v>1361</v>
      </c>
      <c r="O79" s="268" t="s">
        <v>791</v>
      </c>
      <c r="P79" s="267" t="s">
        <v>1079</v>
      </c>
      <c r="Q79" s="267" t="s">
        <v>1815</v>
      </c>
      <c r="R79" s="267" t="s">
        <v>27</v>
      </c>
      <c r="S79" s="267" t="s">
        <v>1309</v>
      </c>
      <c r="T79" s="267" t="s">
        <v>1353</v>
      </c>
      <c r="U79" s="267" t="s">
        <v>639</v>
      </c>
      <c r="V79" s="267" t="s">
        <v>1309</v>
      </c>
      <c r="W79" s="267" t="s">
        <v>1443</v>
      </c>
      <c r="X79" s="267" t="s">
        <v>1312</v>
      </c>
      <c r="Y79" s="267" t="s">
        <v>1389</v>
      </c>
      <c r="Z79" s="267" t="s">
        <v>1817</v>
      </c>
      <c r="AA79" s="267" t="s">
        <v>1722</v>
      </c>
      <c r="AB79" s="267" t="s">
        <v>1818</v>
      </c>
      <c r="AC79" s="267" t="s">
        <v>2972</v>
      </c>
      <c r="AD79" s="267" t="s">
        <v>1819</v>
      </c>
      <c r="AE79" s="267" t="s">
        <v>1820</v>
      </c>
      <c r="AF79" s="267" t="s">
        <v>1821</v>
      </c>
      <c r="AG79" s="267" t="s">
        <v>1822</v>
      </c>
      <c r="AH79" s="267" t="s">
        <v>1823</v>
      </c>
    </row>
    <row r="80" spans="1:34" hidden="1" x14ac:dyDescent="0.25">
      <c r="A80" s="267">
        <v>263</v>
      </c>
      <c r="B80" s="267" t="s">
        <v>1081</v>
      </c>
      <c r="C80" s="267" t="s">
        <v>658</v>
      </c>
      <c r="D80" s="267" t="s">
        <v>7</v>
      </c>
      <c r="E80" s="267" t="s">
        <v>1385</v>
      </c>
      <c r="F80" s="267" t="s">
        <v>3046</v>
      </c>
      <c r="G80" s="267" t="s">
        <v>3047</v>
      </c>
      <c r="H80" s="267">
        <v>33710</v>
      </c>
      <c r="I80" s="268">
        <v>0</v>
      </c>
      <c r="K80" s="267" t="s">
        <v>1824</v>
      </c>
      <c r="L80" s="267" t="s">
        <v>659</v>
      </c>
      <c r="M80" s="267">
        <v>15765</v>
      </c>
      <c r="N80" s="267" t="s">
        <v>662</v>
      </c>
      <c r="O80" s="268" t="s">
        <v>662</v>
      </c>
      <c r="P80" s="267" t="s">
        <v>1051</v>
      </c>
      <c r="Q80" s="267" t="s">
        <v>1825</v>
      </c>
      <c r="R80" s="267">
        <v>1000</v>
      </c>
      <c r="S80" s="267" t="s">
        <v>1388</v>
      </c>
      <c r="T80" s="267" t="s">
        <v>1353</v>
      </c>
      <c r="U80" s="267" t="s">
        <v>639</v>
      </c>
      <c r="V80" s="267" t="s">
        <v>1388</v>
      </c>
      <c r="W80" s="267" t="s">
        <v>1354</v>
      </c>
      <c r="X80" s="267" t="s">
        <v>1327</v>
      </c>
      <c r="Y80" s="267" t="s">
        <v>1389</v>
      </c>
      <c r="AA80" s="267" t="s">
        <v>1826</v>
      </c>
      <c r="AB80" s="267" t="s">
        <v>1711</v>
      </c>
      <c r="AC80" s="267" t="s">
        <v>2976</v>
      </c>
      <c r="AD80" s="267" t="s">
        <v>1827</v>
      </c>
      <c r="AE80" s="267" t="s">
        <v>23</v>
      </c>
      <c r="AF80" s="267" t="s">
        <v>72</v>
      </c>
      <c r="AG80" s="267" t="s">
        <v>1474</v>
      </c>
      <c r="AH80" s="267" t="s">
        <v>1828</v>
      </c>
    </row>
    <row r="81" spans="1:34" hidden="1" x14ac:dyDescent="0.25">
      <c r="A81" s="267">
        <v>270</v>
      </c>
      <c r="B81" s="267" t="s">
        <v>1829</v>
      </c>
      <c r="C81" s="267" t="s">
        <v>981</v>
      </c>
      <c r="D81" s="267" t="s">
        <v>7</v>
      </c>
      <c r="E81" s="267" t="s">
        <v>1336</v>
      </c>
      <c r="F81" s="267" t="s">
        <v>3042</v>
      </c>
      <c r="G81" s="267" t="s">
        <v>3043</v>
      </c>
      <c r="H81" s="267" t="s">
        <v>2929</v>
      </c>
      <c r="I81" s="268">
        <v>0</v>
      </c>
      <c r="K81" s="267" t="s">
        <v>1830</v>
      </c>
      <c r="L81" s="267" t="s">
        <v>659</v>
      </c>
      <c r="M81" s="267">
        <v>84510</v>
      </c>
      <c r="N81" s="267" t="s">
        <v>1069</v>
      </c>
      <c r="O81" s="268" t="s">
        <v>981</v>
      </c>
      <c r="P81" s="267" t="s">
        <v>1831</v>
      </c>
      <c r="Q81" s="267" t="s">
        <v>1034</v>
      </c>
      <c r="R81" s="267" t="s">
        <v>1339</v>
      </c>
      <c r="S81" s="267" t="s">
        <v>1675</v>
      </c>
      <c r="T81" s="267" t="s">
        <v>1325</v>
      </c>
      <c r="U81" s="267" t="s">
        <v>639</v>
      </c>
      <c r="V81" s="267" t="s">
        <v>1675</v>
      </c>
      <c r="W81" s="267" t="s">
        <v>1311</v>
      </c>
      <c r="X81" s="267" t="s">
        <v>1365</v>
      </c>
      <c r="AB81" s="267" t="s">
        <v>1584</v>
      </c>
      <c r="AC81" s="267" t="s">
        <v>3</v>
      </c>
      <c r="AD81" s="267" t="s">
        <v>1832</v>
      </c>
      <c r="AE81" s="267" t="s">
        <v>1833</v>
      </c>
      <c r="AF81" s="267" t="s">
        <v>72</v>
      </c>
      <c r="AG81" s="267" t="s">
        <v>1834</v>
      </c>
      <c r="AH81" s="267" t="s">
        <v>1835</v>
      </c>
    </row>
    <row r="82" spans="1:34" hidden="1" x14ac:dyDescent="0.25">
      <c r="A82" s="267">
        <v>273</v>
      </c>
      <c r="B82" s="267" t="s">
        <v>1836</v>
      </c>
      <c r="C82" s="267" t="s">
        <v>929</v>
      </c>
      <c r="D82" s="267" t="s">
        <v>7</v>
      </c>
      <c r="E82" s="267" t="s">
        <v>1348</v>
      </c>
      <c r="F82" s="267" t="s">
        <v>3048</v>
      </c>
      <c r="G82" s="267" t="s">
        <v>3049</v>
      </c>
      <c r="H82" s="267">
        <v>24568</v>
      </c>
      <c r="I82" s="268">
        <v>0</v>
      </c>
      <c r="K82" s="267" t="s">
        <v>1837</v>
      </c>
      <c r="L82" s="267" t="s">
        <v>659</v>
      </c>
      <c r="M82" s="267">
        <v>72606</v>
      </c>
      <c r="N82" s="267" t="s">
        <v>1838</v>
      </c>
      <c r="O82" s="268" t="s">
        <v>929</v>
      </c>
      <c r="P82" s="267" t="s">
        <v>1839</v>
      </c>
      <c r="Q82" s="267" t="s">
        <v>1837</v>
      </c>
      <c r="R82" s="267">
        <v>1400</v>
      </c>
      <c r="S82" s="267" t="s">
        <v>1388</v>
      </c>
      <c r="T82" s="267" t="s">
        <v>1325</v>
      </c>
      <c r="U82" s="267" t="s">
        <v>687</v>
      </c>
      <c r="V82" s="267" t="s">
        <v>1388</v>
      </c>
      <c r="W82" s="267" t="s">
        <v>1354</v>
      </c>
      <c r="X82" s="267" t="s">
        <v>1327</v>
      </c>
      <c r="Y82" s="267" t="s">
        <v>1389</v>
      </c>
      <c r="Z82" s="267" t="s">
        <v>1004</v>
      </c>
      <c r="AA82" s="267" t="s">
        <v>1840</v>
      </c>
      <c r="AB82" s="267" t="s">
        <v>1677</v>
      </c>
      <c r="AC82" s="267" t="s">
        <v>2</v>
      </c>
      <c r="AD82" s="267" t="s">
        <v>1841</v>
      </c>
      <c r="AE82" s="267" t="s">
        <v>1842</v>
      </c>
      <c r="AF82" s="267" t="s">
        <v>1843</v>
      </c>
      <c r="AH82" s="267" t="s">
        <v>1844</v>
      </c>
    </row>
    <row r="83" spans="1:34" hidden="1" x14ac:dyDescent="0.25">
      <c r="A83" s="267">
        <v>274</v>
      </c>
      <c r="B83" s="267" t="s">
        <v>1845</v>
      </c>
      <c r="C83" s="267" t="s">
        <v>1846</v>
      </c>
      <c r="D83" s="267" t="s">
        <v>7</v>
      </c>
      <c r="E83" s="267" t="s">
        <v>1348</v>
      </c>
      <c r="F83" s="267" t="s">
        <v>3050</v>
      </c>
      <c r="G83" s="267" t="s">
        <v>3298</v>
      </c>
      <c r="H83" s="267" t="s">
        <v>2929</v>
      </c>
      <c r="I83" s="268">
        <v>0</v>
      </c>
      <c r="K83" s="267" t="s">
        <v>1847</v>
      </c>
      <c r="L83" s="267" t="s">
        <v>659</v>
      </c>
      <c r="M83" s="267">
        <v>15771</v>
      </c>
      <c r="N83" s="267" t="s">
        <v>1848</v>
      </c>
      <c r="O83" s="268" t="s">
        <v>1846</v>
      </c>
      <c r="P83" s="267" t="s">
        <v>1849</v>
      </c>
      <c r="Q83" s="267" t="s">
        <v>1847</v>
      </c>
      <c r="R83" s="267">
        <v>1000</v>
      </c>
      <c r="S83" s="267" t="s">
        <v>1309</v>
      </c>
      <c r="T83" s="267" t="s">
        <v>1850</v>
      </c>
      <c r="U83" s="267" t="s">
        <v>639</v>
      </c>
      <c r="V83" s="267" t="s">
        <v>1309</v>
      </c>
      <c r="W83" s="267" t="s">
        <v>1326</v>
      </c>
      <c r="X83" s="267" t="s">
        <v>1343</v>
      </c>
      <c r="Y83" s="267" t="s">
        <v>1609</v>
      </c>
      <c r="Z83" s="267" t="s">
        <v>1467</v>
      </c>
      <c r="AA83" s="267" t="s">
        <v>1851</v>
      </c>
      <c r="AB83" s="267" t="s">
        <v>1468</v>
      </c>
      <c r="AC83" s="267" t="s">
        <v>2389</v>
      </c>
      <c r="AD83" s="267" t="s">
        <v>1852</v>
      </c>
      <c r="AE83" s="267" t="s">
        <v>1853</v>
      </c>
      <c r="AF83" s="267" t="s">
        <v>1393</v>
      </c>
      <c r="AG83" s="267" t="s">
        <v>1316</v>
      </c>
    </row>
    <row r="84" spans="1:34" hidden="1" x14ac:dyDescent="0.25">
      <c r="A84" s="267">
        <v>278</v>
      </c>
      <c r="B84" s="267" t="s">
        <v>1087</v>
      </c>
      <c r="C84" s="267" t="s">
        <v>757</v>
      </c>
      <c r="D84" s="267" t="s">
        <v>7</v>
      </c>
      <c r="E84" s="267" t="s">
        <v>1348</v>
      </c>
      <c r="F84" s="267" t="s">
        <v>3048</v>
      </c>
      <c r="G84" s="267" t="s">
        <v>3049</v>
      </c>
      <c r="H84" s="267">
        <v>11215</v>
      </c>
      <c r="I84" s="268">
        <v>0</v>
      </c>
      <c r="K84" s="267" t="s">
        <v>1854</v>
      </c>
      <c r="L84" s="267" t="s">
        <v>659</v>
      </c>
      <c r="M84" s="267">
        <v>72606</v>
      </c>
      <c r="N84" s="267" t="s">
        <v>929</v>
      </c>
      <c r="O84" s="268" t="s">
        <v>757</v>
      </c>
      <c r="P84" s="267" t="s">
        <v>1089</v>
      </c>
      <c r="Q84" s="267" t="s">
        <v>1854</v>
      </c>
      <c r="R84" s="267" t="s">
        <v>1452</v>
      </c>
      <c r="S84" s="267" t="s">
        <v>1388</v>
      </c>
      <c r="T84" s="267" t="s">
        <v>1353</v>
      </c>
      <c r="U84" s="267" t="s">
        <v>639</v>
      </c>
      <c r="V84" s="267" t="s">
        <v>1388</v>
      </c>
      <c r="W84" s="267" t="s">
        <v>1354</v>
      </c>
      <c r="X84" s="267" t="s">
        <v>1327</v>
      </c>
      <c r="Y84" s="267" t="s">
        <v>1389</v>
      </c>
      <c r="Z84" s="267" t="s">
        <v>1855</v>
      </c>
      <c r="AA84" s="267" t="s">
        <v>1856</v>
      </c>
      <c r="AB84" s="267" t="s">
        <v>1723</v>
      </c>
      <c r="AC84" s="267" t="s">
        <v>9</v>
      </c>
      <c r="AD84" s="267" t="s">
        <v>1857</v>
      </c>
      <c r="AE84" s="267" t="s">
        <v>1857</v>
      </c>
      <c r="AF84" s="267" t="s">
        <v>1358</v>
      </c>
      <c r="AG84" s="267" t="s">
        <v>1474</v>
      </c>
    </row>
    <row r="85" spans="1:34" hidden="1" x14ac:dyDescent="0.25">
      <c r="A85" s="267">
        <v>279</v>
      </c>
      <c r="B85" s="267" t="s">
        <v>1092</v>
      </c>
      <c r="C85" s="267" t="s">
        <v>658</v>
      </c>
      <c r="D85" s="267" t="s">
        <v>7</v>
      </c>
      <c r="E85" s="267" t="s">
        <v>1385</v>
      </c>
      <c r="F85" s="267" t="s">
        <v>3046</v>
      </c>
      <c r="G85" s="267" t="s">
        <v>3047</v>
      </c>
      <c r="H85" s="267">
        <v>28616</v>
      </c>
      <c r="I85" s="268">
        <v>0</v>
      </c>
      <c r="K85" s="267" t="s">
        <v>1085</v>
      </c>
      <c r="L85" s="267" t="s">
        <v>659</v>
      </c>
      <c r="M85" s="267">
        <v>15765</v>
      </c>
      <c r="N85" s="267" t="s">
        <v>662</v>
      </c>
      <c r="O85" s="268" t="s">
        <v>662</v>
      </c>
      <c r="P85" s="267" t="s">
        <v>1051</v>
      </c>
      <c r="Q85" s="267" t="s">
        <v>1006</v>
      </c>
      <c r="R85" s="267" t="s">
        <v>1785</v>
      </c>
      <c r="S85" s="267" t="s">
        <v>1388</v>
      </c>
      <c r="T85" s="267" t="s">
        <v>1353</v>
      </c>
      <c r="U85" s="267" t="s">
        <v>639</v>
      </c>
      <c r="V85" s="267" t="s">
        <v>1388</v>
      </c>
      <c r="W85" s="267" t="s">
        <v>1354</v>
      </c>
      <c r="X85" s="267" t="s">
        <v>1327</v>
      </c>
      <c r="Y85" s="267" t="s">
        <v>1397</v>
      </c>
      <c r="AB85" s="267" t="s">
        <v>1541</v>
      </c>
      <c r="AC85" s="267" t="s">
        <v>2984</v>
      </c>
      <c r="AD85" s="267" t="s">
        <v>1858</v>
      </c>
      <c r="AE85" s="267" t="s">
        <v>23</v>
      </c>
      <c r="AF85" s="267" t="s">
        <v>72</v>
      </c>
      <c r="AG85" s="267" t="s">
        <v>1358</v>
      </c>
      <c r="AH85" s="267" t="s">
        <v>23</v>
      </c>
    </row>
    <row r="86" spans="1:34" hidden="1" x14ac:dyDescent="0.25">
      <c r="A86" s="267">
        <v>282</v>
      </c>
      <c r="B86" s="267" t="s">
        <v>1859</v>
      </c>
      <c r="C86" s="267" t="s">
        <v>1838</v>
      </c>
      <c r="D86" s="267" t="s">
        <v>7</v>
      </c>
      <c r="E86" s="267" t="s">
        <v>1348</v>
      </c>
      <c r="F86" s="267" t="s">
        <v>3048</v>
      </c>
      <c r="G86" s="267" t="s">
        <v>3049</v>
      </c>
      <c r="H86" s="267" t="s">
        <v>2929</v>
      </c>
      <c r="I86" s="268">
        <v>0</v>
      </c>
      <c r="K86" s="267" t="s">
        <v>1860</v>
      </c>
      <c r="L86" s="267" t="s">
        <v>659</v>
      </c>
      <c r="M86" s="267">
        <v>72606</v>
      </c>
      <c r="N86" s="267" t="s">
        <v>772</v>
      </c>
      <c r="O86" s="268" t="s">
        <v>1838</v>
      </c>
      <c r="P86" s="267" t="s">
        <v>1849</v>
      </c>
      <c r="Q86" s="267" t="s">
        <v>1860</v>
      </c>
      <c r="R86" s="267">
        <v>1000</v>
      </c>
      <c r="S86" s="267" t="s">
        <v>1861</v>
      </c>
      <c r="T86" s="267" t="s">
        <v>1862</v>
      </c>
      <c r="U86" s="267" t="s">
        <v>639</v>
      </c>
      <c r="V86" s="267" t="s">
        <v>1861</v>
      </c>
      <c r="W86" s="267" t="s">
        <v>1311</v>
      </c>
      <c r="X86" s="267" t="s">
        <v>1327</v>
      </c>
      <c r="Y86" s="267" t="s">
        <v>1863</v>
      </c>
      <c r="Z86" s="267" t="s">
        <v>1864</v>
      </c>
      <c r="AA86" s="267" t="s">
        <v>1865</v>
      </c>
      <c r="AB86" s="267" t="s">
        <v>2546</v>
      </c>
      <c r="AC86" s="267" t="s">
        <v>2981</v>
      </c>
      <c r="AD86" s="267" t="s">
        <v>1866</v>
      </c>
      <c r="AG86" s="267" t="s">
        <v>1463</v>
      </c>
    </row>
    <row r="87" spans="1:34" hidden="1" x14ac:dyDescent="0.25">
      <c r="A87" s="267">
        <v>283</v>
      </c>
      <c r="B87" s="267" t="s">
        <v>1867</v>
      </c>
      <c r="C87" s="267" t="s">
        <v>658</v>
      </c>
      <c r="D87" s="267" t="s">
        <v>7</v>
      </c>
      <c r="E87" s="267" t="s">
        <v>1385</v>
      </c>
      <c r="F87" s="267" t="s">
        <v>3046</v>
      </c>
      <c r="G87" s="267" t="s">
        <v>3047</v>
      </c>
      <c r="H87" s="267" t="s">
        <v>2929</v>
      </c>
      <c r="I87" s="268">
        <v>0</v>
      </c>
      <c r="K87" s="267" t="s">
        <v>1868</v>
      </c>
      <c r="L87" s="267" t="s">
        <v>659</v>
      </c>
      <c r="M87" s="267">
        <v>15765</v>
      </c>
      <c r="N87" s="267" t="s">
        <v>1425</v>
      </c>
      <c r="O87" s="268" t="s">
        <v>658</v>
      </c>
      <c r="P87" s="267" t="s">
        <v>1869</v>
      </c>
      <c r="Q87" s="267" t="s">
        <v>1868</v>
      </c>
      <c r="R87" s="267">
        <v>1830</v>
      </c>
      <c r="S87" s="267" t="s">
        <v>1870</v>
      </c>
      <c r="T87" s="267" t="s">
        <v>72</v>
      </c>
      <c r="U87" s="267" t="s">
        <v>639</v>
      </c>
      <c r="V87" s="267" t="s">
        <v>1352</v>
      </c>
      <c r="W87" s="267" t="s">
        <v>1326</v>
      </c>
      <c r="X87" s="267" t="s">
        <v>1546</v>
      </c>
      <c r="Y87" s="267" t="s">
        <v>1397</v>
      </c>
      <c r="Z87" s="267" t="s">
        <v>846</v>
      </c>
      <c r="AA87" s="267" t="s">
        <v>1871</v>
      </c>
      <c r="AB87" s="267" t="s">
        <v>1872</v>
      </c>
      <c r="AC87" s="267" t="s">
        <v>2276</v>
      </c>
      <c r="AD87" s="267" t="s">
        <v>1873</v>
      </c>
      <c r="AE87" s="267" t="s">
        <v>1874</v>
      </c>
      <c r="AF87" s="267" t="s">
        <v>72</v>
      </c>
      <c r="AG87" s="267" t="s">
        <v>1543</v>
      </c>
      <c r="AH87" s="267" t="s">
        <v>1875</v>
      </c>
    </row>
    <row r="88" spans="1:34" hidden="1" x14ac:dyDescent="0.25">
      <c r="A88" s="267">
        <v>286</v>
      </c>
      <c r="B88" s="267" t="s">
        <v>1096</v>
      </c>
      <c r="C88" s="267" t="s">
        <v>658</v>
      </c>
      <c r="D88" s="267" t="s">
        <v>7</v>
      </c>
      <c r="E88" s="267" t="s">
        <v>1385</v>
      </c>
      <c r="F88" s="267" t="s">
        <v>3051</v>
      </c>
      <c r="G88" s="267" t="s">
        <v>3052</v>
      </c>
      <c r="H88" s="267">
        <v>22224</v>
      </c>
      <c r="I88" s="268">
        <v>0</v>
      </c>
      <c r="K88" s="267" t="s">
        <v>1876</v>
      </c>
      <c r="L88" s="267" t="s">
        <v>659</v>
      </c>
      <c r="M88" s="267">
        <v>72957</v>
      </c>
      <c r="N88" s="267" t="s">
        <v>701</v>
      </c>
      <c r="O88" s="268" t="s">
        <v>658</v>
      </c>
      <c r="P88" s="267" t="s">
        <v>1051</v>
      </c>
      <c r="Q88" s="267" t="s">
        <v>1876</v>
      </c>
      <c r="R88" s="267">
        <v>1800</v>
      </c>
      <c r="S88" s="267" t="s">
        <v>1388</v>
      </c>
      <c r="T88" s="267" t="s">
        <v>1353</v>
      </c>
      <c r="U88" s="267" t="s">
        <v>639</v>
      </c>
      <c r="V88" s="267" t="s">
        <v>1388</v>
      </c>
      <c r="W88" s="267" t="s">
        <v>1354</v>
      </c>
      <c r="X88" s="267" t="s">
        <v>1327</v>
      </c>
      <c r="Y88" s="267" t="s">
        <v>1389</v>
      </c>
      <c r="Z88" s="267" t="s">
        <v>974</v>
      </c>
      <c r="AA88" s="267" t="s">
        <v>1877</v>
      </c>
      <c r="AB88" s="267" t="s">
        <v>1769</v>
      </c>
      <c r="AC88" s="267" t="s">
        <v>3035</v>
      </c>
      <c r="AD88" s="267" t="s">
        <v>1878</v>
      </c>
      <c r="AE88" s="267" t="s">
        <v>23</v>
      </c>
      <c r="AF88" s="267" t="s">
        <v>72</v>
      </c>
      <c r="AG88" s="267" t="s">
        <v>1394</v>
      </c>
      <c r="AH88" s="267" t="s">
        <v>1879</v>
      </c>
    </row>
    <row r="89" spans="1:34" hidden="1" x14ac:dyDescent="0.25">
      <c r="A89" s="267">
        <v>290</v>
      </c>
      <c r="B89" s="267" t="s">
        <v>1105</v>
      </c>
      <c r="C89" s="267" t="s">
        <v>1069</v>
      </c>
      <c r="D89" s="267" t="s">
        <v>7</v>
      </c>
      <c r="E89" s="267" t="s">
        <v>1336</v>
      </c>
      <c r="F89" s="267" t="s">
        <v>1881</v>
      </c>
      <c r="G89" s="267" t="s">
        <v>3038</v>
      </c>
      <c r="H89" s="267" t="s">
        <v>2929</v>
      </c>
      <c r="I89" s="268">
        <v>0</v>
      </c>
      <c r="K89" s="267" t="s">
        <v>1880</v>
      </c>
      <c r="L89" s="267" t="s">
        <v>659</v>
      </c>
      <c r="M89" s="267" t="s">
        <v>1881</v>
      </c>
      <c r="N89" s="267" t="s">
        <v>1030</v>
      </c>
      <c r="O89" s="268" t="s">
        <v>698</v>
      </c>
      <c r="P89" s="267" t="s">
        <v>1070</v>
      </c>
      <c r="Q89" s="267" t="s">
        <v>1880</v>
      </c>
      <c r="R89" s="267">
        <v>1330</v>
      </c>
      <c r="S89" s="267" t="s">
        <v>1388</v>
      </c>
      <c r="T89" s="267" t="s">
        <v>1353</v>
      </c>
      <c r="U89" s="267" t="s">
        <v>639</v>
      </c>
      <c r="V89" s="267" t="s">
        <v>1388</v>
      </c>
      <c r="W89" s="267" t="s">
        <v>1354</v>
      </c>
      <c r="X89" s="267" t="s">
        <v>1327</v>
      </c>
      <c r="Z89" s="267" t="s">
        <v>698</v>
      </c>
      <c r="AB89" s="267" t="s">
        <v>1882</v>
      </c>
      <c r="AC89" s="267" t="s">
        <v>3053</v>
      </c>
      <c r="AD89" s="267" t="s">
        <v>1883</v>
      </c>
      <c r="AE89" s="267" t="s">
        <v>27</v>
      </c>
      <c r="AF89" s="267" t="s">
        <v>1358</v>
      </c>
      <c r="AG89" s="267" t="s">
        <v>1566</v>
      </c>
    </row>
    <row r="90" spans="1:34" hidden="1" x14ac:dyDescent="0.25">
      <c r="A90" s="267">
        <v>291</v>
      </c>
      <c r="B90" s="267" t="s">
        <v>1884</v>
      </c>
      <c r="C90" s="267" t="s">
        <v>1782</v>
      </c>
      <c r="D90" s="267" t="s">
        <v>7</v>
      </c>
      <c r="E90" s="267" t="s">
        <v>1385</v>
      </c>
      <c r="F90" s="267" t="s">
        <v>3051</v>
      </c>
      <c r="G90" s="267" t="s">
        <v>3052</v>
      </c>
      <c r="H90" s="267">
        <v>22254</v>
      </c>
      <c r="I90" s="268">
        <v>0</v>
      </c>
      <c r="K90" s="267" t="s">
        <v>1885</v>
      </c>
      <c r="L90" s="267" t="s">
        <v>659</v>
      </c>
      <c r="M90" s="267">
        <v>1</v>
      </c>
      <c r="N90" s="267" t="s">
        <v>1601</v>
      </c>
      <c r="O90" s="268" t="s">
        <v>974</v>
      </c>
      <c r="P90" s="267" t="s">
        <v>1886</v>
      </c>
      <c r="Q90" s="267" t="s">
        <v>1885</v>
      </c>
      <c r="R90" s="267">
        <v>1430</v>
      </c>
      <c r="S90" s="267" t="s">
        <v>1388</v>
      </c>
      <c r="T90" s="267" t="s">
        <v>72</v>
      </c>
      <c r="U90" s="267" t="s">
        <v>687</v>
      </c>
      <c r="V90" s="267" t="s">
        <v>1388</v>
      </c>
      <c r="W90" s="267" t="s">
        <v>1354</v>
      </c>
      <c r="X90" s="267" t="s">
        <v>1327</v>
      </c>
      <c r="Y90" s="267" t="s">
        <v>1389</v>
      </c>
      <c r="AA90" s="267" t="s">
        <v>1887</v>
      </c>
      <c r="AB90" s="267" t="s">
        <v>1769</v>
      </c>
      <c r="AC90" s="267" t="s">
        <v>3035</v>
      </c>
      <c r="AD90" s="267" t="s">
        <v>1888</v>
      </c>
      <c r="AE90" s="267" t="s">
        <v>1889</v>
      </c>
      <c r="AF90" s="267" t="s">
        <v>1333</v>
      </c>
      <c r="AG90" s="267" t="s">
        <v>1890</v>
      </c>
      <c r="AH90" s="267" t="s">
        <v>1891</v>
      </c>
    </row>
    <row r="91" spans="1:34" hidden="1" x14ac:dyDescent="0.25">
      <c r="A91" s="267">
        <v>293</v>
      </c>
      <c r="B91" s="267" t="s">
        <v>1112</v>
      </c>
      <c r="C91" s="267" t="s">
        <v>658</v>
      </c>
      <c r="D91" s="267" t="s">
        <v>7</v>
      </c>
      <c r="E91" s="267" t="s">
        <v>1385</v>
      </c>
      <c r="F91" s="267" t="s">
        <v>3051</v>
      </c>
      <c r="G91" s="267" t="s">
        <v>3052</v>
      </c>
      <c r="H91" s="267" t="s">
        <v>2929</v>
      </c>
      <c r="I91" s="268">
        <v>0</v>
      </c>
      <c r="K91" s="267" t="s">
        <v>1892</v>
      </c>
      <c r="L91" s="267" t="s">
        <v>659</v>
      </c>
      <c r="M91" s="267">
        <v>72957</v>
      </c>
      <c r="N91" s="267" t="s">
        <v>662</v>
      </c>
      <c r="O91" s="268" t="s">
        <v>658</v>
      </c>
      <c r="P91" s="267" t="s">
        <v>680</v>
      </c>
      <c r="Q91" s="267" t="s">
        <v>1892</v>
      </c>
      <c r="R91" s="267" t="s">
        <v>1377</v>
      </c>
      <c r="S91" s="267" t="s">
        <v>1388</v>
      </c>
      <c r="T91" s="267" t="s">
        <v>1353</v>
      </c>
      <c r="U91" s="267" t="s">
        <v>639</v>
      </c>
      <c r="V91" s="267" t="s">
        <v>1388</v>
      </c>
      <c r="W91" s="267" t="s">
        <v>1354</v>
      </c>
      <c r="X91" s="267" t="s">
        <v>1327</v>
      </c>
      <c r="Y91" s="267" t="s">
        <v>1389</v>
      </c>
      <c r="Z91" s="267" t="s">
        <v>1893</v>
      </c>
      <c r="AA91" s="267" t="s">
        <v>1894</v>
      </c>
      <c r="AB91" s="267" t="s">
        <v>1895</v>
      </c>
      <c r="AC91" s="267" t="s">
        <v>626</v>
      </c>
      <c r="AD91" s="267" t="s">
        <v>1896</v>
      </c>
      <c r="AE91" s="267" t="s">
        <v>1473</v>
      </c>
      <c r="AF91" s="267" t="s">
        <v>72</v>
      </c>
      <c r="AG91" s="267" t="s">
        <v>1358</v>
      </c>
      <c r="AH91" s="267" t="s">
        <v>1897</v>
      </c>
    </row>
    <row r="92" spans="1:34" hidden="1" x14ac:dyDescent="0.25">
      <c r="A92" s="267">
        <v>298</v>
      </c>
      <c r="B92" s="267" t="s">
        <v>1898</v>
      </c>
      <c r="C92" s="267" t="s">
        <v>950</v>
      </c>
      <c r="D92" s="267" t="s">
        <v>7</v>
      </c>
      <c r="E92" s="267" t="s">
        <v>1348</v>
      </c>
      <c r="F92" s="267" t="s">
        <v>3051</v>
      </c>
      <c r="G92" s="267" t="s">
        <v>3052</v>
      </c>
      <c r="H92" s="267">
        <v>42841</v>
      </c>
      <c r="I92" s="268">
        <v>0</v>
      </c>
      <c r="K92" s="267" t="s">
        <v>1899</v>
      </c>
      <c r="L92" s="267" t="s">
        <v>1247</v>
      </c>
      <c r="M92" s="267">
        <v>72597</v>
      </c>
      <c r="N92" s="267" t="s">
        <v>771</v>
      </c>
      <c r="O92" s="268" t="s">
        <v>679</v>
      </c>
      <c r="P92" s="267" t="s">
        <v>1900</v>
      </c>
      <c r="Q92" s="267" t="s">
        <v>1899</v>
      </c>
      <c r="R92" s="267">
        <v>1800</v>
      </c>
      <c r="S92" s="267" t="s">
        <v>1388</v>
      </c>
      <c r="T92" s="267" t="s">
        <v>1353</v>
      </c>
      <c r="U92" s="267" t="s">
        <v>687</v>
      </c>
      <c r="V92" s="267" t="s">
        <v>1388</v>
      </c>
      <c r="W92" s="267" t="s">
        <v>1354</v>
      </c>
      <c r="X92" s="267" t="s">
        <v>1327</v>
      </c>
      <c r="Y92" s="267" t="s">
        <v>1389</v>
      </c>
      <c r="AA92" s="267" t="s">
        <v>1901</v>
      </c>
      <c r="AB92" s="267" t="s">
        <v>1584</v>
      </c>
      <c r="AC92" s="267" t="s">
        <v>3</v>
      </c>
      <c r="AD92" s="267" t="s">
        <v>1902</v>
      </c>
      <c r="AE92" s="267" t="s">
        <v>1903</v>
      </c>
      <c r="AF92" s="267" t="s">
        <v>1904</v>
      </c>
      <c r="AH92" s="267" t="s">
        <v>1905</v>
      </c>
    </row>
    <row r="93" spans="1:34" hidden="1" x14ac:dyDescent="0.25">
      <c r="A93" s="267">
        <v>301</v>
      </c>
      <c r="B93" s="267" t="s">
        <v>1906</v>
      </c>
      <c r="C93" s="267" t="s">
        <v>1513</v>
      </c>
      <c r="D93" s="267" t="s">
        <v>7</v>
      </c>
      <c r="E93" s="267" t="s">
        <v>1385</v>
      </c>
      <c r="F93" s="267" t="s">
        <v>3051</v>
      </c>
      <c r="G93" s="267" t="s">
        <v>3052</v>
      </c>
      <c r="H93" s="267" t="s">
        <v>2929</v>
      </c>
      <c r="I93" s="268">
        <v>0</v>
      </c>
      <c r="K93" s="267" t="s">
        <v>919</v>
      </c>
      <c r="L93" s="267" t="s">
        <v>659</v>
      </c>
      <c r="M93" s="267">
        <v>72597</v>
      </c>
      <c r="N93" s="267" t="s">
        <v>658</v>
      </c>
      <c r="O93" s="268" t="s">
        <v>1513</v>
      </c>
      <c r="P93" s="267" t="s">
        <v>1163</v>
      </c>
      <c r="Q93" s="267" t="s">
        <v>919</v>
      </c>
      <c r="R93" s="267" t="s">
        <v>1907</v>
      </c>
      <c r="S93" s="267" t="s">
        <v>1388</v>
      </c>
      <c r="T93" s="267" t="s">
        <v>72</v>
      </c>
      <c r="U93" s="267" t="s">
        <v>687</v>
      </c>
      <c r="V93" s="267" t="s">
        <v>1388</v>
      </c>
      <c r="W93" s="267" t="s">
        <v>1354</v>
      </c>
      <c r="X93" s="267" t="s">
        <v>1327</v>
      </c>
      <c r="Y93" s="267" t="s">
        <v>1389</v>
      </c>
      <c r="Z93" s="267" t="s">
        <v>1178</v>
      </c>
      <c r="AA93" s="267" t="s">
        <v>1908</v>
      </c>
      <c r="AB93" s="267" t="s">
        <v>1895</v>
      </c>
      <c r="AC93" s="267" t="s">
        <v>626</v>
      </c>
      <c r="AD93" s="267" t="s">
        <v>1909</v>
      </c>
      <c r="AE93" s="267" t="s">
        <v>27</v>
      </c>
      <c r="AF93" s="267" t="s">
        <v>72</v>
      </c>
      <c r="AG93" s="267" t="s">
        <v>1358</v>
      </c>
    </row>
    <row r="94" spans="1:34" hidden="1" x14ac:dyDescent="0.25">
      <c r="A94" s="267">
        <v>302</v>
      </c>
      <c r="B94" s="267" t="s">
        <v>1910</v>
      </c>
      <c r="C94" s="267" t="s">
        <v>699</v>
      </c>
      <c r="D94" s="267" t="s">
        <v>7</v>
      </c>
      <c r="E94" s="267" t="s">
        <v>1336</v>
      </c>
      <c r="F94" s="267" t="s">
        <v>3054</v>
      </c>
      <c r="G94" s="267" t="s">
        <v>3055</v>
      </c>
      <c r="H94" s="267">
        <v>73495</v>
      </c>
      <c r="I94" s="268">
        <v>0</v>
      </c>
      <c r="K94" s="267" t="s">
        <v>1911</v>
      </c>
      <c r="L94" s="267" t="s">
        <v>659</v>
      </c>
      <c r="M94" s="267">
        <v>1823</v>
      </c>
      <c r="N94" s="267" t="s">
        <v>1069</v>
      </c>
      <c r="O94" s="268" t="s">
        <v>699</v>
      </c>
      <c r="P94" s="267" t="s">
        <v>1912</v>
      </c>
      <c r="Q94" s="267" t="s">
        <v>1911</v>
      </c>
      <c r="R94" s="267">
        <v>1700</v>
      </c>
      <c r="S94" s="267" t="s">
        <v>1388</v>
      </c>
      <c r="T94" s="267" t="s">
        <v>1325</v>
      </c>
      <c r="U94" s="267" t="s">
        <v>639</v>
      </c>
      <c r="V94" s="267" t="s">
        <v>1388</v>
      </c>
      <c r="W94" s="267" t="s">
        <v>1354</v>
      </c>
      <c r="X94" s="267" t="s">
        <v>1327</v>
      </c>
      <c r="Z94" s="267" t="s">
        <v>1913</v>
      </c>
      <c r="AA94" s="267" t="s">
        <v>1914</v>
      </c>
      <c r="AB94" s="267" t="s">
        <v>2288</v>
      </c>
      <c r="AC94" s="267" t="s">
        <v>18</v>
      </c>
      <c r="AD94" s="267" t="s">
        <v>1915</v>
      </c>
      <c r="AE94" s="267" t="s">
        <v>1916</v>
      </c>
      <c r="AF94" s="267" t="s">
        <v>1917</v>
      </c>
      <c r="AG94" s="267" t="s">
        <v>72</v>
      </c>
      <c r="AH94" s="267" t="s">
        <v>1918</v>
      </c>
    </row>
    <row r="95" spans="1:34" hidden="1" x14ac:dyDescent="0.25">
      <c r="A95" s="267">
        <v>308</v>
      </c>
      <c r="B95" s="267" t="s">
        <v>1116</v>
      </c>
      <c r="C95" s="267" t="s">
        <v>681</v>
      </c>
      <c r="D95" s="267" t="s">
        <v>7</v>
      </c>
      <c r="E95" s="267" t="s">
        <v>1385</v>
      </c>
      <c r="F95" s="267" t="s">
        <v>3051</v>
      </c>
      <c r="G95" s="267" t="s">
        <v>3052</v>
      </c>
      <c r="H95" s="267">
        <v>36230</v>
      </c>
      <c r="I95" s="268">
        <v>0</v>
      </c>
      <c r="K95" s="267" t="s">
        <v>1919</v>
      </c>
      <c r="L95" s="267" t="s">
        <v>659</v>
      </c>
      <c r="M95" s="267">
        <v>72597</v>
      </c>
      <c r="N95" s="267" t="s">
        <v>658</v>
      </c>
      <c r="O95" s="268" t="s">
        <v>1119</v>
      </c>
      <c r="P95" s="267" t="s">
        <v>1120</v>
      </c>
      <c r="Q95" s="267" t="s">
        <v>1919</v>
      </c>
      <c r="R95" s="267" t="s">
        <v>1498</v>
      </c>
      <c r="S95" s="267" t="s">
        <v>1388</v>
      </c>
      <c r="T95" s="267" t="s">
        <v>1353</v>
      </c>
      <c r="U95" s="267" t="s">
        <v>639</v>
      </c>
      <c r="V95" s="267" t="s">
        <v>1388</v>
      </c>
      <c r="W95" s="267" t="s">
        <v>1354</v>
      </c>
      <c r="X95" s="267" t="s">
        <v>1327</v>
      </c>
      <c r="Y95" s="267" t="s">
        <v>1397</v>
      </c>
      <c r="Z95" s="267" t="s">
        <v>1119</v>
      </c>
      <c r="AA95" s="267" t="s">
        <v>1920</v>
      </c>
      <c r="AB95" s="267" t="s">
        <v>1711</v>
      </c>
      <c r="AC95" s="267" t="s">
        <v>2976</v>
      </c>
      <c r="AD95" s="267" t="s">
        <v>1921</v>
      </c>
      <c r="AE95" s="267" t="s">
        <v>1922</v>
      </c>
      <c r="AF95" s="267" t="s">
        <v>1369</v>
      </c>
      <c r="AG95" s="267" t="s">
        <v>1463</v>
      </c>
    </row>
    <row r="96" spans="1:34" hidden="1" x14ac:dyDescent="0.25">
      <c r="A96" s="267">
        <v>311</v>
      </c>
      <c r="B96" s="267" t="s">
        <v>1923</v>
      </c>
      <c r="C96" s="267" t="s">
        <v>1924</v>
      </c>
      <c r="D96" s="267" t="s">
        <v>7</v>
      </c>
      <c r="E96" s="267" t="s">
        <v>1385</v>
      </c>
      <c r="F96" s="267" t="s">
        <v>3051</v>
      </c>
      <c r="G96" s="267" t="s">
        <v>3052</v>
      </c>
      <c r="H96" s="267" t="s">
        <v>2929</v>
      </c>
      <c r="I96" s="268">
        <v>0</v>
      </c>
      <c r="K96" s="267" t="s">
        <v>1925</v>
      </c>
      <c r="L96" s="267" t="s">
        <v>659</v>
      </c>
      <c r="M96" s="267">
        <v>72597</v>
      </c>
      <c r="N96" s="267" t="s">
        <v>658</v>
      </c>
      <c r="O96" s="268" t="s">
        <v>1926</v>
      </c>
      <c r="P96" s="267" t="s">
        <v>1927</v>
      </c>
      <c r="Q96" s="267" t="s">
        <v>1925</v>
      </c>
      <c r="R96" s="267" t="s">
        <v>1452</v>
      </c>
      <c r="S96" s="267" t="s">
        <v>1310</v>
      </c>
      <c r="T96" s="267" t="s">
        <v>1325</v>
      </c>
      <c r="U96" s="267" t="s">
        <v>687</v>
      </c>
      <c r="V96" s="267" t="s">
        <v>1310</v>
      </c>
      <c r="W96" s="267" t="s">
        <v>1635</v>
      </c>
      <c r="X96" s="267" t="s">
        <v>1327</v>
      </c>
      <c r="Y96" s="267" t="s">
        <v>1389</v>
      </c>
      <c r="Z96" s="267" t="s">
        <v>1928</v>
      </c>
      <c r="AA96" s="267" t="s">
        <v>1929</v>
      </c>
      <c r="AB96" s="267" t="s">
        <v>1930</v>
      </c>
      <c r="AC96" s="267" t="s">
        <v>2277</v>
      </c>
      <c r="AD96" s="267" t="s">
        <v>1931</v>
      </c>
      <c r="AE96" s="267" t="s">
        <v>1932</v>
      </c>
      <c r="AF96" s="267" t="s">
        <v>1933</v>
      </c>
      <c r="AG96" s="267" t="s">
        <v>1934</v>
      </c>
    </row>
    <row r="97" spans="1:34" hidden="1" x14ac:dyDescent="0.25">
      <c r="A97" s="267">
        <v>314</v>
      </c>
      <c r="B97" s="267" t="s">
        <v>1124</v>
      </c>
      <c r="C97" s="267" t="s">
        <v>658</v>
      </c>
      <c r="D97" s="267" t="s">
        <v>7</v>
      </c>
      <c r="E97" s="267" t="s">
        <v>1385</v>
      </c>
      <c r="F97" s="267" t="s">
        <v>3051</v>
      </c>
      <c r="G97" s="267" t="s">
        <v>3052</v>
      </c>
      <c r="H97" s="267">
        <v>38362</v>
      </c>
      <c r="I97" s="268">
        <v>0</v>
      </c>
      <c r="K97" s="267" t="s">
        <v>1935</v>
      </c>
      <c r="L97" s="267" t="s">
        <v>659</v>
      </c>
      <c r="M97" s="267">
        <v>3111</v>
      </c>
      <c r="N97" s="267" t="s">
        <v>662</v>
      </c>
      <c r="O97" s="268" t="s">
        <v>662</v>
      </c>
      <c r="P97" s="267" t="s">
        <v>1051</v>
      </c>
      <c r="Q97" s="267" t="s">
        <v>1935</v>
      </c>
      <c r="R97" s="267">
        <v>2000</v>
      </c>
      <c r="S97" s="267" t="s">
        <v>1388</v>
      </c>
      <c r="T97" s="267" t="s">
        <v>1353</v>
      </c>
      <c r="U97" s="267" t="s">
        <v>639</v>
      </c>
      <c r="V97" s="267" t="s">
        <v>1388</v>
      </c>
      <c r="W97" s="267" t="s">
        <v>1354</v>
      </c>
      <c r="X97" s="267" t="s">
        <v>1327</v>
      </c>
      <c r="AB97" s="267" t="s">
        <v>2286</v>
      </c>
      <c r="AC97" s="267" t="s">
        <v>3056</v>
      </c>
      <c r="AD97" s="267" t="s">
        <v>1936</v>
      </c>
      <c r="AE97" s="267" t="s">
        <v>1937</v>
      </c>
      <c r="AF97" s="267" t="s">
        <v>72</v>
      </c>
      <c r="AG97" s="267" t="s">
        <v>1938</v>
      </c>
    </row>
    <row r="98" spans="1:34" hidden="1" x14ac:dyDescent="0.25">
      <c r="A98" s="267">
        <v>316</v>
      </c>
      <c r="B98" s="267" t="s">
        <v>1129</v>
      </c>
      <c r="C98" s="267" t="s">
        <v>658</v>
      </c>
      <c r="D98" s="267" t="s">
        <v>7</v>
      </c>
      <c r="E98" s="267" t="s">
        <v>1385</v>
      </c>
      <c r="F98" s="267" t="s">
        <v>3057</v>
      </c>
      <c r="G98" s="267" t="s">
        <v>3058</v>
      </c>
      <c r="H98" s="267">
        <v>34127</v>
      </c>
      <c r="I98" s="268">
        <v>0</v>
      </c>
      <c r="K98" s="267" t="s">
        <v>1939</v>
      </c>
      <c r="L98" s="267" t="s">
        <v>659</v>
      </c>
      <c r="M98" s="267">
        <v>15822</v>
      </c>
      <c r="N98" s="267" t="s">
        <v>662</v>
      </c>
      <c r="O98" s="268" t="s">
        <v>658</v>
      </c>
      <c r="P98" s="267" t="s">
        <v>1051</v>
      </c>
      <c r="Q98" s="267" t="s">
        <v>1939</v>
      </c>
      <c r="R98" s="267" t="s">
        <v>1940</v>
      </c>
      <c r="S98" s="267" t="s">
        <v>1388</v>
      </c>
      <c r="T98" s="267" t="s">
        <v>1353</v>
      </c>
      <c r="U98" s="267" t="s">
        <v>639</v>
      </c>
      <c r="V98" s="267" t="s">
        <v>1388</v>
      </c>
      <c r="W98" s="267" t="s">
        <v>1354</v>
      </c>
      <c r="X98" s="267" t="s">
        <v>1327</v>
      </c>
      <c r="Z98" s="267" t="s">
        <v>1119</v>
      </c>
      <c r="AB98" s="267" t="s">
        <v>1711</v>
      </c>
      <c r="AC98" s="267" t="s">
        <v>2976</v>
      </c>
      <c r="AD98" s="267" t="s">
        <v>1941</v>
      </c>
      <c r="AE98" s="267" t="s">
        <v>1942</v>
      </c>
      <c r="AF98" s="267" t="s">
        <v>72</v>
      </c>
      <c r="AG98" s="267" t="s">
        <v>1359</v>
      </c>
      <c r="AH98" s="267" t="s">
        <v>23</v>
      </c>
    </row>
    <row r="99" spans="1:34" hidden="1" x14ac:dyDescent="0.25">
      <c r="A99" s="267">
        <v>319</v>
      </c>
      <c r="B99" s="267" t="s">
        <v>1137</v>
      </c>
      <c r="C99" s="267" t="s">
        <v>1069</v>
      </c>
      <c r="D99" s="267" t="s">
        <v>7</v>
      </c>
      <c r="E99" s="267" t="s">
        <v>1336</v>
      </c>
      <c r="F99" s="267" t="s">
        <v>1944</v>
      </c>
      <c r="G99" s="267" t="s">
        <v>3059</v>
      </c>
      <c r="H99" s="267">
        <v>74968</v>
      </c>
      <c r="I99" s="268">
        <v>0</v>
      </c>
      <c r="K99" s="267" t="s">
        <v>1943</v>
      </c>
      <c r="L99" s="267" t="s">
        <v>659</v>
      </c>
      <c r="M99" s="267" t="s">
        <v>1944</v>
      </c>
      <c r="N99" s="267" t="s">
        <v>1945</v>
      </c>
      <c r="O99" s="268" t="s">
        <v>1069</v>
      </c>
      <c r="P99" s="267" t="s">
        <v>1070</v>
      </c>
      <c r="Q99" s="267" t="s">
        <v>1943</v>
      </c>
      <c r="R99" s="267">
        <v>2200</v>
      </c>
      <c r="S99" s="267" t="s">
        <v>1388</v>
      </c>
      <c r="T99" s="267" t="s">
        <v>1353</v>
      </c>
      <c r="U99" s="267" t="s">
        <v>639</v>
      </c>
      <c r="V99" s="267" t="s">
        <v>1388</v>
      </c>
      <c r="W99" s="267" t="s">
        <v>1354</v>
      </c>
      <c r="X99" s="267" t="s">
        <v>1327</v>
      </c>
      <c r="Y99" s="267" t="s">
        <v>1397</v>
      </c>
      <c r="AA99" s="267" t="s">
        <v>1946</v>
      </c>
      <c r="AB99" s="267" t="s">
        <v>2288</v>
      </c>
      <c r="AC99" s="267" t="s">
        <v>18</v>
      </c>
      <c r="AD99" s="267" t="s">
        <v>1947</v>
      </c>
      <c r="AE99" s="267" t="s">
        <v>1948</v>
      </c>
      <c r="AF99" s="267" t="s">
        <v>72</v>
      </c>
      <c r="AG99" s="267" t="s">
        <v>1359</v>
      </c>
      <c r="AH99" s="267" t="s">
        <v>1949</v>
      </c>
    </row>
    <row r="100" spans="1:34" hidden="1" x14ac:dyDescent="0.25">
      <c r="A100" s="267">
        <v>320</v>
      </c>
      <c r="B100" s="267" t="s">
        <v>1140</v>
      </c>
      <c r="C100" s="267" t="s">
        <v>681</v>
      </c>
      <c r="D100" s="267" t="s">
        <v>7</v>
      </c>
      <c r="E100" s="267" t="s">
        <v>1385</v>
      </c>
      <c r="F100" s="267" t="s">
        <v>3051</v>
      </c>
      <c r="G100" s="267" t="s">
        <v>3052</v>
      </c>
      <c r="H100" s="267">
        <v>38860</v>
      </c>
      <c r="I100" s="268">
        <v>0</v>
      </c>
      <c r="K100" s="267" t="s">
        <v>1950</v>
      </c>
      <c r="L100" s="267" t="s">
        <v>659</v>
      </c>
      <c r="M100" s="267">
        <v>72597</v>
      </c>
      <c r="N100" s="267" t="s">
        <v>1321</v>
      </c>
      <c r="O100" s="268" t="s">
        <v>662</v>
      </c>
      <c r="P100" s="267" t="s">
        <v>701</v>
      </c>
      <c r="Q100" s="267" t="s">
        <v>1950</v>
      </c>
      <c r="R100" s="267">
        <v>1200</v>
      </c>
      <c r="S100" s="267" t="s">
        <v>1388</v>
      </c>
      <c r="T100" s="267" t="s">
        <v>1353</v>
      </c>
      <c r="U100" s="267" t="s">
        <v>639</v>
      </c>
      <c r="V100" s="267" t="s">
        <v>1388</v>
      </c>
      <c r="W100" s="267" t="s">
        <v>1354</v>
      </c>
      <c r="X100" s="267" t="s">
        <v>1327</v>
      </c>
      <c r="Z100" s="267" t="s">
        <v>1540</v>
      </c>
      <c r="AA100" s="267" t="s">
        <v>1951</v>
      </c>
      <c r="AB100" s="267" t="s">
        <v>2546</v>
      </c>
      <c r="AC100" s="267" t="s">
        <v>2981</v>
      </c>
      <c r="AD100" s="267" t="s">
        <v>1952</v>
      </c>
      <c r="AE100" s="267" t="s">
        <v>1953</v>
      </c>
      <c r="AF100" s="267" t="s">
        <v>1393</v>
      </c>
      <c r="AG100" s="267" t="s">
        <v>1358</v>
      </c>
      <c r="AH100" s="267" t="s">
        <v>1954</v>
      </c>
    </row>
    <row r="101" spans="1:34" hidden="1" x14ac:dyDescent="0.25">
      <c r="A101" s="267">
        <v>323</v>
      </c>
      <c r="B101" s="267" t="s">
        <v>1145</v>
      </c>
      <c r="C101" s="267" t="s">
        <v>658</v>
      </c>
      <c r="D101" s="267" t="s">
        <v>7</v>
      </c>
      <c r="E101" s="267" t="s">
        <v>1385</v>
      </c>
      <c r="F101" s="267" t="s">
        <v>3060</v>
      </c>
      <c r="G101" s="267" t="s">
        <v>3061</v>
      </c>
      <c r="H101" s="267" t="s">
        <v>2929</v>
      </c>
      <c r="I101" s="268">
        <v>0</v>
      </c>
      <c r="K101" s="267" t="s">
        <v>1955</v>
      </c>
      <c r="L101" s="267" t="s">
        <v>659</v>
      </c>
      <c r="M101" s="267">
        <v>15863</v>
      </c>
      <c r="N101" s="267" t="s">
        <v>774</v>
      </c>
      <c r="O101" s="268" t="s">
        <v>774</v>
      </c>
      <c r="P101" s="267" t="s">
        <v>1147</v>
      </c>
      <c r="Q101" s="267" t="s">
        <v>1955</v>
      </c>
      <c r="R101" s="267">
        <v>1100</v>
      </c>
      <c r="S101" s="267" t="s">
        <v>1388</v>
      </c>
      <c r="T101" s="267" t="s">
        <v>1353</v>
      </c>
      <c r="U101" s="267" t="s">
        <v>639</v>
      </c>
      <c r="V101" s="267" t="s">
        <v>1388</v>
      </c>
      <c r="W101" s="267" t="s">
        <v>1354</v>
      </c>
      <c r="X101" s="267" t="s">
        <v>1546</v>
      </c>
      <c r="Y101" s="267" t="s">
        <v>1389</v>
      </c>
      <c r="Z101" s="267" t="s">
        <v>846</v>
      </c>
      <c r="AA101" s="267" t="s">
        <v>1956</v>
      </c>
      <c r="AB101" s="267" t="s">
        <v>1555</v>
      </c>
      <c r="AC101" s="267" t="s">
        <v>3000</v>
      </c>
      <c r="AD101" s="267" t="s">
        <v>1957</v>
      </c>
      <c r="AE101" s="267" t="s">
        <v>1958</v>
      </c>
      <c r="AF101" s="267" t="s">
        <v>72</v>
      </c>
      <c r="AG101" s="267" t="s">
        <v>1959</v>
      </c>
    </row>
    <row r="102" spans="1:34" x14ac:dyDescent="0.25">
      <c r="A102" s="267">
        <v>324</v>
      </c>
      <c r="B102" s="267" t="s">
        <v>1960</v>
      </c>
      <c r="C102" s="267" t="s">
        <v>1961</v>
      </c>
      <c r="D102" s="267" t="s">
        <v>7</v>
      </c>
      <c r="E102" s="267" t="s">
        <v>1348</v>
      </c>
      <c r="F102" s="267" t="s">
        <v>1980</v>
      </c>
      <c r="G102" s="267" t="s">
        <v>3062</v>
      </c>
      <c r="H102" s="267">
        <v>21029</v>
      </c>
      <c r="I102" s="268">
        <v>0</v>
      </c>
      <c r="K102" s="267" t="s">
        <v>1962</v>
      </c>
      <c r="L102" s="267" t="s">
        <v>1153</v>
      </c>
      <c r="M102" s="267">
        <v>15860</v>
      </c>
      <c r="N102" s="267" t="s">
        <v>1963</v>
      </c>
      <c r="O102" s="268" t="s">
        <v>1961</v>
      </c>
      <c r="P102" s="267" t="s">
        <v>800</v>
      </c>
      <c r="Q102" s="267" t="s">
        <v>1962</v>
      </c>
      <c r="R102" s="267">
        <v>2030</v>
      </c>
      <c r="S102" s="267" t="s">
        <v>1388</v>
      </c>
      <c r="T102" s="267" t="s">
        <v>72</v>
      </c>
      <c r="U102" s="267" t="s">
        <v>687</v>
      </c>
      <c r="V102" s="267" t="s">
        <v>1388</v>
      </c>
      <c r="W102" s="267" t="s">
        <v>1354</v>
      </c>
      <c r="X102" s="267" t="s">
        <v>1327</v>
      </c>
      <c r="Z102" s="267" t="s">
        <v>1964</v>
      </c>
      <c r="AA102" s="267" t="s">
        <v>1965</v>
      </c>
      <c r="AB102" s="267" t="s">
        <v>1614</v>
      </c>
      <c r="AC102" s="267" t="s">
        <v>4</v>
      </c>
      <c r="AD102" s="267" t="s">
        <v>1966</v>
      </c>
      <c r="AG102" s="267" t="s">
        <v>1383</v>
      </c>
      <c r="AH102" s="267" t="s">
        <v>1967</v>
      </c>
    </row>
    <row r="103" spans="1:34" hidden="1" x14ac:dyDescent="0.25">
      <c r="A103" s="267">
        <v>326</v>
      </c>
      <c r="B103" s="267" t="s">
        <v>1152</v>
      </c>
      <c r="C103" s="267" t="s">
        <v>766</v>
      </c>
      <c r="D103" s="267" t="s">
        <v>7</v>
      </c>
      <c r="E103" s="267" t="s">
        <v>1348</v>
      </c>
      <c r="F103" s="267" t="s">
        <v>1944</v>
      </c>
      <c r="G103" s="267" t="s">
        <v>3059</v>
      </c>
      <c r="H103" s="267" t="s">
        <v>2930</v>
      </c>
      <c r="I103" s="268">
        <v>0</v>
      </c>
      <c r="K103" s="267" t="s">
        <v>1968</v>
      </c>
      <c r="L103" s="267" t="s">
        <v>659</v>
      </c>
      <c r="M103" s="267">
        <v>1913</v>
      </c>
      <c r="N103" s="267" t="s">
        <v>701</v>
      </c>
      <c r="O103" s="268" t="s">
        <v>679</v>
      </c>
      <c r="P103" s="267" t="s">
        <v>1156</v>
      </c>
      <c r="Q103" s="267" t="s">
        <v>1968</v>
      </c>
      <c r="R103" s="267">
        <v>2230</v>
      </c>
      <c r="S103" s="267" t="s">
        <v>1388</v>
      </c>
      <c r="T103" s="267" t="s">
        <v>1353</v>
      </c>
      <c r="U103" s="267" t="s">
        <v>639</v>
      </c>
      <c r="V103" s="267" t="s">
        <v>1388</v>
      </c>
      <c r="W103" s="267" t="s">
        <v>1354</v>
      </c>
      <c r="X103" s="267" t="s">
        <v>1327</v>
      </c>
      <c r="Y103" s="267" t="s">
        <v>1716</v>
      </c>
      <c r="Z103" s="267" t="s">
        <v>766</v>
      </c>
      <c r="AA103" s="267" t="s">
        <v>1969</v>
      </c>
      <c r="AB103" s="267" t="s">
        <v>1723</v>
      </c>
      <c r="AC103" s="267" t="s">
        <v>9</v>
      </c>
      <c r="AF103" s="267" t="s">
        <v>1393</v>
      </c>
      <c r="AG103" s="267" t="s">
        <v>1557</v>
      </c>
    </row>
    <row r="104" spans="1:34" hidden="1" x14ac:dyDescent="0.25">
      <c r="A104" s="267">
        <v>327</v>
      </c>
      <c r="B104" s="267" t="s">
        <v>1160</v>
      </c>
      <c r="C104" s="267" t="s">
        <v>717</v>
      </c>
      <c r="D104" s="267" t="s">
        <v>7</v>
      </c>
      <c r="E104" s="267" t="s">
        <v>1348</v>
      </c>
      <c r="F104" s="267" t="s">
        <v>3063</v>
      </c>
      <c r="G104" s="267" t="s">
        <v>3064</v>
      </c>
      <c r="H104" s="267">
        <v>25034</v>
      </c>
      <c r="I104" s="268">
        <v>0</v>
      </c>
      <c r="K104" s="267" t="s">
        <v>1970</v>
      </c>
      <c r="L104" s="267" t="s">
        <v>1153</v>
      </c>
      <c r="M104" s="267">
        <v>2247</v>
      </c>
      <c r="N104" s="267" t="s">
        <v>1971</v>
      </c>
      <c r="O104" s="268" t="s">
        <v>717</v>
      </c>
      <c r="P104" s="267" t="s">
        <v>1163</v>
      </c>
      <c r="Q104" s="267" t="s">
        <v>1970</v>
      </c>
      <c r="R104" s="267" t="s">
        <v>1452</v>
      </c>
      <c r="S104" s="267" t="s">
        <v>1388</v>
      </c>
      <c r="T104" s="267" t="s">
        <v>1353</v>
      </c>
      <c r="U104" s="267" t="s">
        <v>687</v>
      </c>
      <c r="V104" s="267" t="s">
        <v>1388</v>
      </c>
      <c r="W104" s="267" t="s">
        <v>1354</v>
      </c>
      <c r="X104" s="267" t="s">
        <v>1327</v>
      </c>
      <c r="Y104" s="267" t="s">
        <v>1389</v>
      </c>
      <c r="Z104" s="267" t="s">
        <v>1004</v>
      </c>
      <c r="AB104" s="267" t="s">
        <v>1677</v>
      </c>
      <c r="AC104" s="267" t="s">
        <v>2</v>
      </c>
      <c r="AF104" s="267" t="s">
        <v>72</v>
      </c>
    </row>
    <row r="105" spans="1:34" hidden="1" x14ac:dyDescent="0.25">
      <c r="A105" s="267">
        <v>328</v>
      </c>
      <c r="B105" s="267" t="s">
        <v>1972</v>
      </c>
      <c r="C105" s="267" t="s">
        <v>658</v>
      </c>
      <c r="D105" s="267" t="s">
        <v>7</v>
      </c>
      <c r="E105" s="267" t="s">
        <v>1385</v>
      </c>
      <c r="F105" s="267" t="s">
        <v>3065</v>
      </c>
      <c r="G105" s="267" t="s">
        <v>3066</v>
      </c>
      <c r="H105" s="267" t="s">
        <v>2929</v>
      </c>
      <c r="I105" s="268">
        <v>0</v>
      </c>
      <c r="K105" s="267" t="s">
        <v>1973</v>
      </c>
      <c r="L105" s="267" t="s">
        <v>659</v>
      </c>
      <c r="M105" s="267">
        <v>15837</v>
      </c>
      <c r="O105" s="268" t="s">
        <v>658</v>
      </c>
      <c r="P105" s="267" t="s">
        <v>1051</v>
      </c>
      <c r="Q105" s="267" t="s">
        <v>1974</v>
      </c>
      <c r="R105" s="267">
        <v>1000</v>
      </c>
      <c r="S105" s="267" t="s">
        <v>1388</v>
      </c>
      <c r="T105" s="267" t="s">
        <v>72</v>
      </c>
      <c r="U105" s="267" t="s">
        <v>687</v>
      </c>
      <c r="V105" s="267" t="s">
        <v>1388</v>
      </c>
      <c r="W105" s="267" t="s">
        <v>1354</v>
      </c>
      <c r="X105" s="267" t="s">
        <v>1327</v>
      </c>
      <c r="Y105" s="267" t="s">
        <v>1975</v>
      </c>
      <c r="Z105" s="267" t="s">
        <v>1094</v>
      </c>
      <c r="AA105" s="267" t="s">
        <v>1976</v>
      </c>
      <c r="AB105" s="267" t="s">
        <v>1541</v>
      </c>
      <c r="AC105" s="267" t="s">
        <v>2984</v>
      </c>
      <c r="AD105" s="267" t="s">
        <v>1791</v>
      </c>
      <c r="AE105" s="267" t="s">
        <v>23</v>
      </c>
      <c r="AG105" s="267" t="s">
        <v>1977</v>
      </c>
      <c r="AH105" s="267" t="s">
        <v>1978</v>
      </c>
    </row>
    <row r="106" spans="1:34" x14ac:dyDescent="0.25">
      <c r="A106" s="267">
        <v>329</v>
      </c>
      <c r="B106" s="267" t="s">
        <v>1164</v>
      </c>
      <c r="C106" s="267" t="s">
        <v>781</v>
      </c>
      <c r="D106" s="267" t="s">
        <v>7</v>
      </c>
      <c r="E106" s="267" t="s">
        <v>1348</v>
      </c>
      <c r="F106" s="267" t="s">
        <v>1980</v>
      </c>
      <c r="G106" s="267" t="s">
        <v>3062</v>
      </c>
      <c r="H106" s="267">
        <v>21106</v>
      </c>
      <c r="I106" s="268">
        <v>0</v>
      </c>
      <c r="K106" s="267" t="s">
        <v>1979</v>
      </c>
      <c r="L106" s="267" t="s">
        <v>659</v>
      </c>
      <c r="M106" s="267" t="s">
        <v>1980</v>
      </c>
      <c r="O106" s="268" t="s">
        <v>781</v>
      </c>
      <c r="P106" s="267" t="s">
        <v>1167</v>
      </c>
      <c r="Q106" s="267" t="s">
        <v>1979</v>
      </c>
      <c r="R106" s="267">
        <v>1030</v>
      </c>
      <c r="S106" s="267" t="s">
        <v>1388</v>
      </c>
      <c r="T106" s="267" t="s">
        <v>1353</v>
      </c>
      <c r="U106" s="267" t="s">
        <v>687</v>
      </c>
      <c r="V106" s="267" t="s">
        <v>1388</v>
      </c>
      <c r="W106" s="267" t="s">
        <v>1354</v>
      </c>
      <c r="X106" s="267" t="s">
        <v>1327</v>
      </c>
      <c r="Y106" s="267" t="s">
        <v>1389</v>
      </c>
      <c r="Z106" s="267" t="s">
        <v>1981</v>
      </c>
      <c r="AB106" s="267" t="s">
        <v>1614</v>
      </c>
      <c r="AC106" s="267" t="s">
        <v>4</v>
      </c>
      <c r="AF106" s="267" t="s">
        <v>1982</v>
      </c>
      <c r="AG106" s="267" t="s">
        <v>1543</v>
      </c>
    </row>
    <row r="107" spans="1:34" hidden="1" x14ac:dyDescent="0.25">
      <c r="A107" s="267">
        <v>331</v>
      </c>
      <c r="B107" s="267" t="s">
        <v>1169</v>
      </c>
      <c r="C107" s="267" t="s">
        <v>680</v>
      </c>
      <c r="D107" s="267" t="s">
        <v>7</v>
      </c>
      <c r="E107" s="267" t="s">
        <v>1348</v>
      </c>
      <c r="F107" s="267" t="s">
        <v>1944</v>
      </c>
      <c r="G107" s="267" t="s">
        <v>3059</v>
      </c>
      <c r="H107" s="267">
        <v>1012133</v>
      </c>
      <c r="I107" s="268">
        <v>0</v>
      </c>
      <c r="K107" s="267" t="s">
        <v>1983</v>
      </c>
      <c r="L107" s="267" t="s">
        <v>659</v>
      </c>
      <c r="M107" s="267" t="s">
        <v>1944</v>
      </c>
      <c r="N107" s="267" t="s">
        <v>1838</v>
      </c>
      <c r="O107" s="268" t="s">
        <v>680</v>
      </c>
      <c r="P107" s="267" t="s">
        <v>994</v>
      </c>
      <c r="Q107" s="267" t="s">
        <v>1983</v>
      </c>
      <c r="R107" s="267">
        <v>2000</v>
      </c>
      <c r="S107" s="267" t="s">
        <v>1388</v>
      </c>
      <c r="T107" s="267" t="s">
        <v>1353</v>
      </c>
      <c r="U107" s="267" t="s">
        <v>639</v>
      </c>
      <c r="V107" s="267" t="s">
        <v>1388</v>
      </c>
      <c r="W107" s="267" t="s">
        <v>1354</v>
      </c>
      <c r="X107" s="267" t="s">
        <v>1327</v>
      </c>
      <c r="AB107" s="267" t="s">
        <v>1723</v>
      </c>
      <c r="AC107" s="267" t="s">
        <v>9</v>
      </c>
      <c r="AD107" s="267" t="s">
        <v>1984</v>
      </c>
      <c r="AE107" s="267" t="s">
        <v>27</v>
      </c>
      <c r="AG107" s="267" t="s">
        <v>1543</v>
      </c>
    </row>
    <row r="108" spans="1:34" x14ac:dyDescent="0.25">
      <c r="A108" s="267">
        <v>332</v>
      </c>
      <c r="B108" s="267" t="s">
        <v>1174</v>
      </c>
      <c r="C108" s="267" t="s">
        <v>781</v>
      </c>
      <c r="D108" s="267" t="s">
        <v>7</v>
      </c>
      <c r="E108" s="267" t="s">
        <v>1348</v>
      </c>
      <c r="F108" s="267" t="s">
        <v>1980</v>
      </c>
      <c r="G108" s="267" t="s">
        <v>3062</v>
      </c>
      <c r="H108" s="267">
        <v>21180</v>
      </c>
      <c r="I108" s="268">
        <v>0</v>
      </c>
      <c r="K108" s="267" t="s">
        <v>1121</v>
      </c>
      <c r="L108" s="267" t="s">
        <v>1153</v>
      </c>
      <c r="M108" s="267">
        <v>15860</v>
      </c>
      <c r="N108" s="267" t="s">
        <v>701</v>
      </c>
      <c r="O108" s="268" t="s">
        <v>781</v>
      </c>
      <c r="P108" s="267" t="s">
        <v>1051</v>
      </c>
      <c r="Q108" s="267" t="s">
        <v>1121</v>
      </c>
      <c r="R108" s="267">
        <v>1200</v>
      </c>
      <c r="S108" s="267" t="s">
        <v>1388</v>
      </c>
      <c r="T108" s="267" t="s">
        <v>1353</v>
      </c>
      <c r="U108" s="267" t="s">
        <v>687</v>
      </c>
      <c r="V108" s="267" t="s">
        <v>1388</v>
      </c>
      <c r="W108" s="267" t="s">
        <v>1354</v>
      </c>
      <c r="X108" s="267" t="s">
        <v>1327</v>
      </c>
      <c r="Y108" s="267" t="s">
        <v>1328</v>
      </c>
      <c r="Z108" s="267" t="s">
        <v>955</v>
      </c>
      <c r="AB108" s="267" t="s">
        <v>1614</v>
      </c>
      <c r="AC108" s="267" t="s">
        <v>4</v>
      </c>
      <c r="AF108" s="267" t="s">
        <v>1383</v>
      </c>
    </row>
    <row r="109" spans="1:34" hidden="1" x14ac:dyDescent="0.25">
      <c r="A109" s="267">
        <v>333</v>
      </c>
      <c r="B109" s="267" t="s">
        <v>1985</v>
      </c>
      <c r="C109" s="267" t="s">
        <v>698</v>
      </c>
      <c r="D109" s="267" t="s">
        <v>7</v>
      </c>
      <c r="E109" s="267" t="s">
        <v>1336</v>
      </c>
      <c r="F109" s="267" t="s">
        <v>1944</v>
      </c>
      <c r="G109" s="267" t="s">
        <v>3059</v>
      </c>
      <c r="I109" s="268">
        <v>0</v>
      </c>
      <c r="K109" s="267" t="s">
        <v>1986</v>
      </c>
      <c r="L109" s="267" t="s">
        <v>1153</v>
      </c>
      <c r="M109" s="267">
        <v>1913</v>
      </c>
      <c r="N109" s="267" t="s">
        <v>699</v>
      </c>
      <c r="O109" s="268" t="s">
        <v>698</v>
      </c>
      <c r="P109" s="267" t="s">
        <v>700</v>
      </c>
      <c r="Q109" s="267" t="s">
        <v>1986</v>
      </c>
      <c r="U109" s="267" t="s">
        <v>639</v>
      </c>
    </row>
    <row r="110" spans="1:34" hidden="1" x14ac:dyDescent="0.25">
      <c r="A110" s="267">
        <v>336</v>
      </c>
      <c r="B110" s="267" t="s">
        <v>1176</v>
      </c>
      <c r="C110" s="267" t="s">
        <v>662</v>
      </c>
      <c r="D110" s="267" t="s">
        <v>7</v>
      </c>
      <c r="E110" s="267" t="s">
        <v>1385</v>
      </c>
      <c r="F110" s="267" t="s">
        <v>3051</v>
      </c>
      <c r="G110" s="267" t="s">
        <v>3052</v>
      </c>
      <c r="H110" s="267" t="s">
        <v>2929</v>
      </c>
      <c r="I110" s="268">
        <v>0</v>
      </c>
      <c r="K110" s="267" t="s">
        <v>1987</v>
      </c>
      <c r="L110" s="267" t="s">
        <v>659</v>
      </c>
      <c r="M110" s="267">
        <v>72597</v>
      </c>
      <c r="N110" s="267" t="s">
        <v>658</v>
      </c>
      <c r="O110" s="268" t="s">
        <v>662</v>
      </c>
      <c r="P110" s="267" t="s">
        <v>1179</v>
      </c>
      <c r="Q110" s="267" t="s">
        <v>1987</v>
      </c>
      <c r="R110" s="267" t="s">
        <v>1452</v>
      </c>
      <c r="S110" s="267" t="s">
        <v>1388</v>
      </c>
      <c r="T110" s="267" t="s">
        <v>1353</v>
      </c>
      <c r="U110" s="267" t="s">
        <v>687</v>
      </c>
      <c r="V110" s="267" t="s">
        <v>1388</v>
      </c>
      <c r="W110" s="267" t="s">
        <v>1354</v>
      </c>
      <c r="X110" s="267" t="s">
        <v>1327</v>
      </c>
      <c r="Y110" s="267" t="s">
        <v>1389</v>
      </c>
      <c r="Z110" s="267" t="s">
        <v>1178</v>
      </c>
      <c r="AA110" s="267" t="s">
        <v>1988</v>
      </c>
      <c r="AB110" s="267" t="s">
        <v>1895</v>
      </c>
      <c r="AC110" s="267" t="s">
        <v>626</v>
      </c>
      <c r="AD110" s="267" t="s">
        <v>1989</v>
      </c>
      <c r="AE110" s="267" t="s">
        <v>1473</v>
      </c>
      <c r="AF110" s="267" t="s">
        <v>72</v>
      </c>
      <c r="AG110" s="267" t="s">
        <v>1358</v>
      </c>
    </row>
    <row r="111" spans="1:34" hidden="1" x14ac:dyDescent="0.25">
      <c r="A111" s="267">
        <v>345</v>
      </c>
      <c r="B111" s="267" t="s">
        <v>1182</v>
      </c>
      <c r="C111" s="267" t="s">
        <v>699</v>
      </c>
      <c r="D111" s="267" t="s">
        <v>7</v>
      </c>
      <c r="E111" s="267" t="s">
        <v>1336</v>
      </c>
      <c r="F111" s="267" t="s">
        <v>3067</v>
      </c>
      <c r="G111" s="267" t="s">
        <v>3068</v>
      </c>
      <c r="H111" s="267">
        <v>65264</v>
      </c>
      <c r="I111" s="268">
        <v>0</v>
      </c>
      <c r="K111" s="267" t="s">
        <v>1990</v>
      </c>
      <c r="L111" s="267" t="s">
        <v>659</v>
      </c>
      <c r="M111" s="267">
        <v>15865</v>
      </c>
      <c r="N111" s="267" t="s">
        <v>698</v>
      </c>
      <c r="O111" s="268" t="s">
        <v>699</v>
      </c>
      <c r="P111" s="267" t="s">
        <v>1185</v>
      </c>
      <c r="Q111" s="267" t="s">
        <v>1990</v>
      </c>
      <c r="R111" s="267">
        <v>1530</v>
      </c>
      <c r="S111" s="267" t="s">
        <v>1388</v>
      </c>
      <c r="T111" s="267" t="s">
        <v>1353</v>
      </c>
      <c r="U111" s="267" t="s">
        <v>639</v>
      </c>
      <c r="V111" s="267" t="s">
        <v>1388</v>
      </c>
      <c r="W111" s="267" t="s">
        <v>1354</v>
      </c>
      <c r="X111" s="267" t="s">
        <v>1327</v>
      </c>
      <c r="AA111" s="267" t="s">
        <v>1991</v>
      </c>
      <c r="AB111" s="267" t="s">
        <v>1992</v>
      </c>
      <c r="AC111" s="267" t="s">
        <v>22</v>
      </c>
      <c r="AD111" s="267" t="s">
        <v>1993</v>
      </c>
      <c r="AE111" s="267" t="s">
        <v>27</v>
      </c>
      <c r="AG111" s="267" t="s">
        <v>1457</v>
      </c>
    </row>
    <row r="112" spans="1:34" hidden="1" x14ac:dyDescent="0.25">
      <c r="A112" s="267">
        <v>346</v>
      </c>
      <c r="B112" s="267" t="s">
        <v>1188</v>
      </c>
      <c r="C112" s="267" t="s">
        <v>1190</v>
      </c>
      <c r="D112" s="267" t="s">
        <v>7</v>
      </c>
      <c r="E112" s="267" t="s">
        <v>1348</v>
      </c>
      <c r="F112" s="267" t="s">
        <v>1944</v>
      </c>
      <c r="G112" s="267" t="s">
        <v>3059</v>
      </c>
      <c r="H112" s="267" t="s">
        <v>2929</v>
      </c>
      <c r="I112" s="268">
        <v>0</v>
      </c>
      <c r="K112" s="267" t="s">
        <v>1994</v>
      </c>
      <c r="L112" s="267" t="s">
        <v>659</v>
      </c>
      <c r="M112" s="267">
        <v>1913</v>
      </c>
      <c r="N112" s="267" t="s">
        <v>1190</v>
      </c>
      <c r="O112" s="268" t="s">
        <v>1190</v>
      </c>
      <c r="P112" s="267" t="s">
        <v>800</v>
      </c>
      <c r="Q112" s="267" t="s">
        <v>1995</v>
      </c>
      <c r="R112" s="267" t="s">
        <v>27</v>
      </c>
      <c r="S112" s="267" t="s">
        <v>1310</v>
      </c>
      <c r="T112" s="267" t="s">
        <v>1353</v>
      </c>
      <c r="U112" s="267" t="s">
        <v>639</v>
      </c>
      <c r="V112" s="267" t="s">
        <v>1310</v>
      </c>
      <c r="W112" s="267" t="s">
        <v>1635</v>
      </c>
      <c r="X112" s="267" t="s">
        <v>1312</v>
      </c>
      <c r="Z112" s="267" t="s">
        <v>980</v>
      </c>
      <c r="AA112" s="267" t="s">
        <v>1996</v>
      </c>
      <c r="AB112" s="267" t="s">
        <v>1997</v>
      </c>
      <c r="AC112" s="267" t="s">
        <v>2274</v>
      </c>
      <c r="AD112" s="267" t="s">
        <v>1998</v>
      </c>
      <c r="AE112" s="267" t="s">
        <v>1999</v>
      </c>
      <c r="AF112" s="267" t="s">
        <v>1502</v>
      </c>
      <c r="AG112" s="267" t="s">
        <v>1566</v>
      </c>
      <c r="AH112" s="267" t="s">
        <v>27</v>
      </c>
    </row>
    <row r="113" spans="1:34" hidden="1" x14ac:dyDescent="0.25">
      <c r="A113" s="267">
        <v>347</v>
      </c>
      <c r="B113" s="267" t="s">
        <v>1193</v>
      </c>
      <c r="C113" s="267" t="s">
        <v>680</v>
      </c>
      <c r="D113" s="267" t="s">
        <v>7</v>
      </c>
      <c r="E113" s="267" t="s">
        <v>1348</v>
      </c>
      <c r="F113" s="267" t="s">
        <v>1881</v>
      </c>
      <c r="G113" s="267" t="s">
        <v>3038</v>
      </c>
      <c r="H113" s="267">
        <v>1062275</v>
      </c>
      <c r="I113" s="268">
        <v>0</v>
      </c>
      <c r="K113" s="267" t="s">
        <v>2000</v>
      </c>
      <c r="L113" s="267" t="s">
        <v>659</v>
      </c>
      <c r="M113" s="267">
        <v>72584</v>
      </c>
      <c r="O113" s="268" t="s">
        <v>680</v>
      </c>
      <c r="P113" s="267" t="s">
        <v>1195</v>
      </c>
      <c r="Q113" s="267" t="s">
        <v>2000</v>
      </c>
      <c r="R113" s="267" t="s">
        <v>1516</v>
      </c>
      <c r="S113" s="267" t="s">
        <v>1388</v>
      </c>
      <c r="T113" s="267" t="s">
        <v>1353</v>
      </c>
      <c r="U113" s="267" t="s">
        <v>639</v>
      </c>
      <c r="V113" s="267" t="s">
        <v>1388</v>
      </c>
      <c r="W113" s="267" t="s">
        <v>1354</v>
      </c>
      <c r="X113" s="267" t="s">
        <v>1327</v>
      </c>
      <c r="AB113" s="267" t="s">
        <v>1723</v>
      </c>
      <c r="AC113" s="267" t="s">
        <v>9</v>
      </c>
      <c r="AD113" s="267" t="s">
        <v>2001</v>
      </c>
      <c r="AE113" s="267" t="s">
        <v>23</v>
      </c>
      <c r="AF113" s="267" t="s">
        <v>1393</v>
      </c>
      <c r="AG113" s="267" t="s">
        <v>1543</v>
      </c>
      <c r="AH113" s="267" t="s">
        <v>2002</v>
      </c>
    </row>
    <row r="114" spans="1:34" hidden="1" x14ac:dyDescent="0.25">
      <c r="A114" s="267">
        <v>352</v>
      </c>
      <c r="B114" s="267" t="s">
        <v>1202</v>
      </c>
      <c r="C114" s="267" t="s">
        <v>765</v>
      </c>
      <c r="D114" s="267" t="s">
        <v>7</v>
      </c>
      <c r="E114" s="267" t="s">
        <v>1305</v>
      </c>
      <c r="F114" s="267" t="s">
        <v>3069</v>
      </c>
      <c r="G114" s="267" t="s">
        <v>3070</v>
      </c>
      <c r="H114" s="267" t="s">
        <v>2929</v>
      </c>
      <c r="I114" s="268">
        <v>0</v>
      </c>
      <c r="K114" s="267" t="s">
        <v>2003</v>
      </c>
      <c r="L114" s="267" t="s">
        <v>1153</v>
      </c>
      <c r="M114" s="267" t="s">
        <v>2004</v>
      </c>
      <c r="N114" s="267" t="s">
        <v>1043</v>
      </c>
      <c r="O114" s="268" t="s">
        <v>1043</v>
      </c>
      <c r="P114" s="267" t="s">
        <v>863</v>
      </c>
      <c r="Q114" s="267" t="s">
        <v>2003</v>
      </c>
      <c r="R114" s="267" t="s">
        <v>27</v>
      </c>
      <c r="S114" s="267" t="s">
        <v>1309</v>
      </c>
      <c r="T114" s="267" t="s">
        <v>1353</v>
      </c>
      <c r="U114" s="267" t="s">
        <v>639</v>
      </c>
      <c r="V114" s="267" t="s">
        <v>1309</v>
      </c>
      <c r="W114" s="267" t="s">
        <v>1354</v>
      </c>
      <c r="X114" s="267" t="s">
        <v>1327</v>
      </c>
      <c r="AA114" s="267" t="s">
        <v>2005</v>
      </c>
      <c r="AB114" s="267" t="s">
        <v>1818</v>
      </c>
      <c r="AC114" s="267" t="s">
        <v>2972</v>
      </c>
      <c r="AD114" s="267" t="s">
        <v>27</v>
      </c>
      <c r="AE114" s="267" t="s">
        <v>27</v>
      </c>
      <c r="AF114" s="267" t="s">
        <v>2006</v>
      </c>
      <c r="AG114" s="267" t="s">
        <v>1474</v>
      </c>
      <c r="AH114" s="267" t="s">
        <v>2007</v>
      </c>
    </row>
    <row r="115" spans="1:34" hidden="1" x14ac:dyDescent="0.25">
      <c r="A115" s="267">
        <v>354</v>
      </c>
      <c r="B115" s="267" t="s">
        <v>1211</v>
      </c>
      <c r="C115" s="267" t="s">
        <v>679</v>
      </c>
      <c r="D115" s="267" t="s">
        <v>7</v>
      </c>
      <c r="E115" s="267" t="s">
        <v>1348</v>
      </c>
      <c r="F115" s="267" t="s">
        <v>1881</v>
      </c>
      <c r="G115" s="267" t="s">
        <v>3038</v>
      </c>
      <c r="H115" s="267">
        <v>1062537</v>
      </c>
      <c r="I115" s="268">
        <v>0</v>
      </c>
      <c r="K115" s="267" t="s">
        <v>2008</v>
      </c>
      <c r="L115" s="267" t="s">
        <v>659</v>
      </c>
      <c r="M115" s="267">
        <v>72584</v>
      </c>
      <c r="N115" s="267" t="s">
        <v>680</v>
      </c>
      <c r="O115" s="268" t="s">
        <v>679</v>
      </c>
      <c r="P115" s="267" t="s">
        <v>1195</v>
      </c>
      <c r="Q115" s="267" t="s">
        <v>2008</v>
      </c>
      <c r="R115" s="267" t="s">
        <v>1452</v>
      </c>
      <c r="S115" s="267" t="s">
        <v>1388</v>
      </c>
      <c r="T115" s="267" t="s">
        <v>1353</v>
      </c>
      <c r="U115" s="267" t="s">
        <v>639</v>
      </c>
      <c r="V115" s="267" t="s">
        <v>1388</v>
      </c>
      <c r="W115" s="267" t="s">
        <v>1354</v>
      </c>
      <c r="X115" s="267" t="s">
        <v>1327</v>
      </c>
      <c r="AB115" s="267" t="s">
        <v>1723</v>
      </c>
      <c r="AC115" s="267" t="s">
        <v>9</v>
      </c>
      <c r="AD115" s="267" t="s">
        <v>2009</v>
      </c>
      <c r="AE115" s="267" t="s">
        <v>27</v>
      </c>
      <c r="AF115" s="267" t="s">
        <v>1393</v>
      </c>
      <c r="AG115" s="267" t="s">
        <v>2010</v>
      </c>
    </row>
    <row r="116" spans="1:34" hidden="1" x14ac:dyDescent="0.25">
      <c r="A116" s="267">
        <v>355</v>
      </c>
      <c r="B116" s="267" t="s">
        <v>1220</v>
      </c>
      <c r="C116" s="267" t="s">
        <v>679</v>
      </c>
      <c r="D116" s="267" t="s">
        <v>7</v>
      </c>
      <c r="E116" s="267" t="s">
        <v>1348</v>
      </c>
      <c r="F116" s="267" t="s">
        <v>1881</v>
      </c>
      <c r="G116" s="267" t="s">
        <v>3038</v>
      </c>
      <c r="H116" s="267">
        <v>1062397</v>
      </c>
      <c r="I116" s="268">
        <v>0</v>
      </c>
      <c r="K116" s="267" t="s">
        <v>2011</v>
      </c>
      <c r="L116" s="267" t="s">
        <v>659</v>
      </c>
      <c r="M116" s="267">
        <v>72584</v>
      </c>
      <c r="N116" s="267" t="s">
        <v>680</v>
      </c>
      <c r="O116" s="268" t="s">
        <v>679</v>
      </c>
      <c r="P116" s="267" t="s">
        <v>1195</v>
      </c>
      <c r="Q116" s="267" t="s">
        <v>2011</v>
      </c>
      <c r="R116" s="267" t="s">
        <v>1516</v>
      </c>
      <c r="S116" s="267" t="s">
        <v>1388</v>
      </c>
      <c r="T116" s="267" t="s">
        <v>1353</v>
      </c>
      <c r="U116" s="267" t="s">
        <v>639</v>
      </c>
      <c r="V116" s="267" t="s">
        <v>1388</v>
      </c>
      <c r="W116" s="267" t="s">
        <v>1354</v>
      </c>
      <c r="X116" s="267" t="s">
        <v>1327</v>
      </c>
      <c r="AB116" s="267" t="s">
        <v>1723</v>
      </c>
      <c r="AC116" s="267" t="s">
        <v>9</v>
      </c>
      <c r="AD116" s="267" t="s">
        <v>2012</v>
      </c>
      <c r="AE116" s="267" t="s">
        <v>2013</v>
      </c>
      <c r="AF116" s="267" t="s">
        <v>1393</v>
      </c>
      <c r="AG116" s="267" t="s">
        <v>1658</v>
      </c>
      <c r="AH116" s="267" t="s">
        <v>2014</v>
      </c>
    </row>
    <row r="117" spans="1:34" hidden="1" x14ac:dyDescent="0.25">
      <c r="A117" s="267">
        <v>358</v>
      </c>
      <c r="B117" s="267" t="s">
        <v>1227</v>
      </c>
      <c r="C117" s="267" t="s">
        <v>658</v>
      </c>
      <c r="D117" s="267" t="s">
        <v>7</v>
      </c>
      <c r="E117" s="267" t="s">
        <v>1385</v>
      </c>
      <c r="F117" s="267" t="s">
        <v>3051</v>
      </c>
      <c r="G117" s="267" t="s">
        <v>3052</v>
      </c>
      <c r="H117" s="267" t="s">
        <v>2929</v>
      </c>
      <c r="I117" s="268">
        <v>0</v>
      </c>
      <c r="K117" s="267" t="s">
        <v>2015</v>
      </c>
      <c r="L117" s="267" t="s">
        <v>1165</v>
      </c>
      <c r="M117" s="267">
        <v>3111</v>
      </c>
      <c r="N117" s="267" t="s">
        <v>662</v>
      </c>
      <c r="O117" s="268" t="s">
        <v>2020</v>
      </c>
      <c r="P117" s="267" t="s">
        <v>1195</v>
      </c>
      <c r="Q117" s="267" t="s">
        <v>2016</v>
      </c>
      <c r="R117" s="267" t="s">
        <v>1452</v>
      </c>
      <c r="S117" s="267" t="s">
        <v>1388</v>
      </c>
      <c r="T117" s="267" t="s">
        <v>1353</v>
      </c>
      <c r="U117" s="267" t="s">
        <v>639</v>
      </c>
      <c r="V117" s="267" t="s">
        <v>1388</v>
      </c>
      <c r="W117" s="267" t="s">
        <v>1354</v>
      </c>
      <c r="X117" s="267" t="s">
        <v>1327</v>
      </c>
      <c r="Y117" s="267" t="s">
        <v>1802</v>
      </c>
      <c r="Z117" s="267" t="s">
        <v>974</v>
      </c>
      <c r="AB117" s="267" t="s">
        <v>1769</v>
      </c>
      <c r="AC117" s="267" t="s">
        <v>3035</v>
      </c>
      <c r="AD117" s="267" t="s">
        <v>2017</v>
      </c>
      <c r="AE117" s="267" t="s">
        <v>2017</v>
      </c>
      <c r="AF117" s="267" t="s">
        <v>1474</v>
      </c>
      <c r="AG117" s="267" t="s">
        <v>1566</v>
      </c>
      <c r="AH117" s="267" t="s">
        <v>2018</v>
      </c>
    </row>
    <row r="118" spans="1:34" hidden="1" x14ac:dyDescent="0.25">
      <c r="A118" s="267">
        <v>361</v>
      </c>
      <c r="B118" s="267" t="s">
        <v>1234</v>
      </c>
      <c r="C118" s="267" t="s">
        <v>766</v>
      </c>
      <c r="D118" s="267" t="s">
        <v>7</v>
      </c>
      <c r="E118" s="267" t="s">
        <v>1348</v>
      </c>
      <c r="F118" s="267" t="s">
        <v>1881</v>
      </c>
      <c r="G118" s="267" t="s">
        <v>3038</v>
      </c>
      <c r="H118" s="267">
        <v>1244386</v>
      </c>
      <c r="I118" s="268">
        <v>0</v>
      </c>
      <c r="K118" s="267" t="s">
        <v>2019</v>
      </c>
      <c r="L118" s="267" t="s">
        <v>1153</v>
      </c>
      <c r="M118" s="267">
        <v>2445</v>
      </c>
      <c r="N118" s="267" t="s">
        <v>2020</v>
      </c>
      <c r="O118" s="268" t="s">
        <v>717</v>
      </c>
      <c r="P118" s="267" t="s">
        <v>1001</v>
      </c>
      <c r="Q118" s="267" t="s">
        <v>2019</v>
      </c>
      <c r="R118" s="267">
        <v>2230</v>
      </c>
      <c r="S118" s="267" t="s">
        <v>1388</v>
      </c>
      <c r="T118" s="267" t="s">
        <v>1353</v>
      </c>
      <c r="U118" s="267" t="s">
        <v>639</v>
      </c>
      <c r="V118" s="267" t="s">
        <v>1388</v>
      </c>
      <c r="W118" s="267" t="s">
        <v>1354</v>
      </c>
      <c r="X118" s="267" t="s">
        <v>1343</v>
      </c>
      <c r="Y118" s="267" t="s">
        <v>1397</v>
      </c>
      <c r="Z118" s="267" t="s">
        <v>1159</v>
      </c>
      <c r="AA118" s="267" t="s">
        <v>2021</v>
      </c>
      <c r="AB118" s="267" t="s">
        <v>1723</v>
      </c>
      <c r="AC118" s="267" t="s">
        <v>9</v>
      </c>
      <c r="AF118" s="267" t="s">
        <v>2022</v>
      </c>
      <c r="AG118" s="267" t="s">
        <v>2023</v>
      </c>
    </row>
    <row r="119" spans="1:34" hidden="1" x14ac:dyDescent="0.25">
      <c r="A119" s="267">
        <v>362</v>
      </c>
      <c r="B119" s="267" t="s">
        <v>1242</v>
      </c>
      <c r="C119" s="267" t="s">
        <v>658</v>
      </c>
      <c r="D119" s="267" t="s">
        <v>7</v>
      </c>
      <c r="E119" s="267" t="s">
        <v>1385</v>
      </c>
      <c r="F119" s="267" t="s">
        <v>3071</v>
      </c>
      <c r="G119" s="267" t="s">
        <v>3072</v>
      </c>
      <c r="H119" s="267">
        <v>1234227</v>
      </c>
      <c r="I119" s="268">
        <v>0</v>
      </c>
      <c r="K119" s="267" t="s">
        <v>2024</v>
      </c>
      <c r="L119" s="267" t="s">
        <v>1153</v>
      </c>
      <c r="M119" s="267">
        <v>15896</v>
      </c>
      <c r="N119" s="267" t="s">
        <v>662</v>
      </c>
      <c r="O119" s="268" t="s">
        <v>662</v>
      </c>
      <c r="P119" s="267" t="s">
        <v>1147</v>
      </c>
      <c r="Q119" s="267" t="s">
        <v>2024</v>
      </c>
      <c r="R119" s="267" t="s">
        <v>2025</v>
      </c>
      <c r="S119" s="267" t="s">
        <v>1388</v>
      </c>
      <c r="T119" s="267" t="s">
        <v>1353</v>
      </c>
      <c r="U119" s="267" t="s">
        <v>639</v>
      </c>
      <c r="V119" s="267" t="s">
        <v>1388</v>
      </c>
      <c r="W119" s="267" t="s">
        <v>1354</v>
      </c>
      <c r="X119" s="267" t="s">
        <v>1327</v>
      </c>
      <c r="Y119" s="267" t="s">
        <v>1802</v>
      </c>
      <c r="Z119" s="267" t="s">
        <v>1119</v>
      </c>
      <c r="AA119" s="267" t="s">
        <v>2026</v>
      </c>
      <c r="AB119" s="267" t="s">
        <v>1711</v>
      </c>
      <c r="AC119" s="267" t="s">
        <v>2976</v>
      </c>
      <c r="AD119" s="267" t="s">
        <v>2027</v>
      </c>
      <c r="AE119" s="267" t="s">
        <v>23</v>
      </c>
      <c r="AF119" s="267" t="s">
        <v>1650</v>
      </c>
      <c r="AG119" s="267" t="s">
        <v>1474</v>
      </c>
      <c r="AH119" s="267" t="s">
        <v>2028</v>
      </c>
    </row>
    <row r="120" spans="1:34" hidden="1" x14ac:dyDescent="0.25">
      <c r="A120" s="267">
        <v>363</v>
      </c>
      <c r="B120" s="267" t="s">
        <v>2029</v>
      </c>
      <c r="C120" s="267" t="s">
        <v>1037</v>
      </c>
      <c r="D120" s="267" t="s">
        <v>7</v>
      </c>
      <c r="E120" s="267" t="s">
        <v>1348</v>
      </c>
      <c r="F120" s="267" t="s">
        <v>1980</v>
      </c>
      <c r="G120" s="267" t="s">
        <v>3062</v>
      </c>
      <c r="H120" s="267">
        <v>65651</v>
      </c>
      <c r="I120" s="268">
        <v>0</v>
      </c>
      <c r="K120" s="267" t="s">
        <v>2030</v>
      </c>
      <c r="L120" s="267" t="s">
        <v>1247</v>
      </c>
      <c r="M120" s="267" t="s">
        <v>1980</v>
      </c>
      <c r="N120" s="267" t="s">
        <v>1043</v>
      </c>
      <c r="O120" s="268" t="s">
        <v>1037</v>
      </c>
      <c r="P120" s="267" t="s">
        <v>1195</v>
      </c>
      <c r="Q120" s="267" t="s">
        <v>2030</v>
      </c>
      <c r="R120" s="267" t="s">
        <v>1785</v>
      </c>
      <c r="S120" s="267" t="s">
        <v>1388</v>
      </c>
      <c r="T120" s="267" t="s">
        <v>1862</v>
      </c>
      <c r="U120" s="267" t="s">
        <v>639</v>
      </c>
      <c r="V120" s="267" t="s">
        <v>1388</v>
      </c>
      <c r="W120" s="267" t="s">
        <v>1354</v>
      </c>
      <c r="X120" s="267" t="s">
        <v>1365</v>
      </c>
      <c r="Y120" s="267" t="s">
        <v>1397</v>
      </c>
      <c r="Z120" s="267" t="s">
        <v>967</v>
      </c>
      <c r="AA120" s="267" t="s">
        <v>2031</v>
      </c>
      <c r="AB120" s="267" t="s">
        <v>1563</v>
      </c>
      <c r="AC120" s="267" t="s">
        <v>10</v>
      </c>
      <c r="AD120" s="267" t="s">
        <v>2032</v>
      </c>
      <c r="AE120" s="267" t="s">
        <v>2033</v>
      </c>
      <c r="AF120" s="267" t="s">
        <v>72</v>
      </c>
    </row>
    <row r="121" spans="1:34" hidden="1" x14ac:dyDescent="0.25">
      <c r="A121" s="267">
        <v>364</v>
      </c>
      <c r="B121" s="267" t="s">
        <v>2034</v>
      </c>
      <c r="C121" s="267" t="s">
        <v>765</v>
      </c>
      <c r="D121" s="267" t="s">
        <v>7</v>
      </c>
      <c r="E121" s="267" t="s">
        <v>1749</v>
      </c>
      <c r="F121" s="267" t="s">
        <v>3069</v>
      </c>
      <c r="G121" s="267" t="s">
        <v>3070</v>
      </c>
      <c r="H121" s="267" t="s">
        <v>2929</v>
      </c>
      <c r="I121" s="268">
        <v>0</v>
      </c>
      <c r="K121" s="267" t="s">
        <v>2035</v>
      </c>
      <c r="L121" s="267" t="s">
        <v>1153</v>
      </c>
      <c r="M121" s="267">
        <v>1117</v>
      </c>
      <c r="N121" s="267" t="s">
        <v>1043</v>
      </c>
      <c r="O121" s="268" t="s">
        <v>1043</v>
      </c>
      <c r="P121" s="267" t="s">
        <v>2036</v>
      </c>
      <c r="Q121" s="267" t="s">
        <v>2035</v>
      </c>
      <c r="R121" s="267">
        <v>1600</v>
      </c>
      <c r="S121" s="267" t="s">
        <v>1388</v>
      </c>
      <c r="T121" s="267" t="s">
        <v>1353</v>
      </c>
      <c r="U121" s="267" t="s">
        <v>687</v>
      </c>
      <c r="V121" s="267" t="s">
        <v>1388</v>
      </c>
      <c r="W121" s="267" t="s">
        <v>1354</v>
      </c>
      <c r="X121" s="267" t="s">
        <v>1327</v>
      </c>
      <c r="Y121" s="267" t="s">
        <v>1389</v>
      </c>
      <c r="Z121" s="267" t="s">
        <v>2037</v>
      </c>
      <c r="AA121" s="267" t="s">
        <v>2038</v>
      </c>
      <c r="AB121" s="267" t="s">
        <v>2039</v>
      </c>
      <c r="AC121" s="267" t="s">
        <v>21</v>
      </c>
      <c r="AD121" s="267" t="s">
        <v>2040</v>
      </c>
      <c r="AE121" s="267" t="s">
        <v>27</v>
      </c>
      <c r="AF121" s="267" t="s">
        <v>1358</v>
      </c>
      <c r="AG121" s="267" t="s">
        <v>1359</v>
      </c>
      <c r="AH121" s="267" t="s">
        <v>2041</v>
      </c>
    </row>
    <row r="122" spans="1:34" hidden="1" x14ac:dyDescent="0.25">
      <c r="A122" s="267">
        <v>365</v>
      </c>
      <c r="B122" s="267" t="s">
        <v>1246</v>
      </c>
      <c r="C122" s="267" t="s">
        <v>1037</v>
      </c>
      <c r="D122" s="267" t="s">
        <v>7</v>
      </c>
      <c r="E122" s="267" t="s">
        <v>1348</v>
      </c>
      <c r="F122" s="267" t="s">
        <v>1980</v>
      </c>
      <c r="G122" s="267" t="s">
        <v>3062</v>
      </c>
      <c r="H122" s="267" t="s">
        <v>2929</v>
      </c>
      <c r="I122" s="268">
        <v>0</v>
      </c>
      <c r="K122" s="267" t="s">
        <v>2042</v>
      </c>
      <c r="L122" s="267" t="s">
        <v>1247</v>
      </c>
      <c r="M122" s="267" t="s">
        <v>1980</v>
      </c>
      <c r="N122" s="267" t="s">
        <v>774</v>
      </c>
      <c r="O122" s="268" t="s">
        <v>1037</v>
      </c>
      <c r="P122" s="267" t="s">
        <v>1249</v>
      </c>
      <c r="Q122" s="267" t="s">
        <v>2042</v>
      </c>
      <c r="R122" s="267" t="s">
        <v>1695</v>
      </c>
      <c r="S122" s="267" t="s">
        <v>1388</v>
      </c>
      <c r="T122" s="267" t="s">
        <v>1353</v>
      </c>
      <c r="U122" s="267" t="s">
        <v>639</v>
      </c>
      <c r="V122" s="267" t="s">
        <v>1388</v>
      </c>
      <c r="W122" s="267" t="s">
        <v>1354</v>
      </c>
      <c r="X122" s="267" t="s">
        <v>1327</v>
      </c>
      <c r="Y122" s="267" t="s">
        <v>1313</v>
      </c>
      <c r="Z122" s="267" t="s">
        <v>967</v>
      </c>
      <c r="AA122" s="267" t="s">
        <v>2043</v>
      </c>
      <c r="AB122" s="267" t="s">
        <v>1563</v>
      </c>
      <c r="AC122" s="267" t="s">
        <v>10</v>
      </c>
      <c r="AD122" s="267" t="s">
        <v>2044</v>
      </c>
      <c r="AE122" s="267" t="s">
        <v>2045</v>
      </c>
      <c r="AF122" s="267" t="s">
        <v>1474</v>
      </c>
      <c r="AG122" s="267" t="s">
        <v>1359</v>
      </c>
      <c r="AH122" s="267" t="s">
        <v>2046</v>
      </c>
    </row>
    <row r="123" spans="1:34" hidden="1" x14ac:dyDescent="0.25">
      <c r="A123" s="267">
        <v>366</v>
      </c>
      <c r="B123" s="267" t="s">
        <v>2047</v>
      </c>
      <c r="C123" s="267" t="s">
        <v>658</v>
      </c>
      <c r="D123" s="267" t="s">
        <v>7</v>
      </c>
      <c r="E123" s="267" t="s">
        <v>1385</v>
      </c>
      <c r="F123" s="267" t="s">
        <v>3073</v>
      </c>
      <c r="G123" s="267" t="s">
        <v>3074</v>
      </c>
      <c r="H123" s="267">
        <v>1076313</v>
      </c>
      <c r="I123" s="268">
        <v>0</v>
      </c>
      <c r="K123" s="267" t="s">
        <v>2048</v>
      </c>
      <c r="L123" s="267" t="s">
        <v>1247</v>
      </c>
      <c r="M123" s="267">
        <v>15845</v>
      </c>
      <c r="N123" s="267" t="s">
        <v>662</v>
      </c>
      <c r="O123" s="268" t="s">
        <v>662</v>
      </c>
      <c r="Q123" s="267" t="s">
        <v>2048</v>
      </c>
      <c r="R123" s="267" t="s">
        <v>1569</v>
      </c>
      <c r="S123" s="267" t="s">
        <v>1388</v>
      </c>
      <c r="T123" s="267" t="s">
        <v>1353</v>
      </c>
      <c r="U123" s="267" t="s">
        <v>639</v>
      </c>
      <c r="V123" s="267" t="s">
        <v>1388</v>
      </c>
      <c r="W123" s="267" t="s">
        <v>1354</v>
      </c>
      <c r="X123" s="267" t="s">
        <v>1327</v>
      </c>
      <c r="Y123" s="267" t="s">
        <v>1397</v>
      </c>
      <c r="Z123" s="267" t="s">
        <v>813</v>
      </c>
      <c r="AA123" s="267" t="s">
        <v>2049</v>
      </c>
      <c r="AB123" s="267" t="s">
        <v>1711</v>
      </c>
      <c r="AC123" s="267" t="s">
        <v>2976</v>
      </c>
      <c r="AD123" s="267" t="s">
        <v>2050</v>
      </c>
      <c r="AE123" s="267" t="s">
        <v>23</v>
      </c>
      <c r="AF123" s="267" t="s">
        <v>1650</v>
      </c>
      <c r="AG123" s="267" t="s">
        <v>1474</v>
      </c>
      <c r="AH123" s="267" t="s">
        <v>2051</v>
      </c>
    </row>
    <row r="124" spans="1:34" hidden="1" x14ac:dyDescent="0.25">
      <c r="A124" s="267">
        <v>368</v>
      </c>
      <c r="B124" s="267" t="s">
        <v>2052</v>
      </c>
      <c r="C124" s="267" t="s">
        <v>1037</v>
      </c>
      <c r="D124" s="267" t="s">
        <v>7</v>
      </c>
      <c r="E124" s="267" t="s">
        <v>1348</v>
      </c>
      <c r="F124" s="267" t="s">
        <v>3075</v>
      </c>
      <c r="G124" s="267" t="s">
        <v>3076</v>
      </c>
      <c r="H124" s="267">
        <v>1194178</v>
      </c>
      <c r="I124" s="268">
        <v>0</v>
      </c>
      <c r="K124" s="267" t="s">
        <v>2053</v>
      </c>
      <c r="L124" s="267" t="s">
        <v>659</v>
      </c>
      <c r="M124" s="267">
        <v>6359</v>
      </c>
      <c r="O124" s="268" t="s">
        <v>1037</v>
      </c>
      <c r="P124" s="267" t="s">
        <v>2054</v>
      </c>
      <c r="Q124" s="267" t="s">
        <v>2053</v>
      </c>
      <c r="R124" s="267">
        <v>1200</v>
      </c>
      <c r="S124" s="267" t="s">
        <v>1388</v>
      </c>
      <c r="T124" s="267" t="s">
        <v>1353</v>
      </c>
      <c r="U124" s="267" t="s">
        <v>639</v>
      </c>
      <c r="V124" s="267" t="s">
        <v>1388</v>
      </c>
      <c r="W124" s="267" t="s">
        <v>1354</v>
      </c>
      <c r="X124" s="267" t="s">
        <v>1327</v>
      </c>
      <c r="Y124" s="267" t="s">
        <v>1389</v>
      </c>
      <c r="Z124" s="267" t="s">
        <v>1004</v>
      </c>
      <c r="AA124" s="267" t="s">
        <v>2055</v>
      </c>
      <c r="AB124" s="267" t="s">
        <v>1677</v>
      </c>
      <c r="AC124" s="267" t="s">
        <v>2</v>
      </c>
      <c r="AD124" s="267" t="s">
        <v>2056</v>
      </c>
      <c r="AE124" s="267" t="s">
        <v>2057</v>
      </c>
      <c r="AF124" s="267" t="s">
        <v>1474</v>
      </c>
      <c r="AG124" s="267" t="s">
        <v>72</v>
      </c>
    </row>
    <row r="125" spans="1:34" hidden="1" x14ac:dyDescent="0.25">
      <c r="A125" s="267">
        <v>369</v>
      </c>
      <c r="B125" s="267" t="s">
        <v>2058</v>
      </c>
      <c r="C125" s="267" t="s">
        <v>2059</v>
      </c>
      <c r="D125" s="267" t="s">
        <v>7</v>
      </c>
      <c r="E125" s="267" t="s">
        <v>1348</v>
      </c>
      <c r="F125" s="267" t="s">
        <v>2061</v>
      </c>
      <c r="G125" s="267" t="s">
        <v>3077</v>
      </c>
      <c r="H125" s="267" t="s">
        <v>2929</v>
      </c>
      <c r="I125" s="268">
        <v>0</v>
      </c>
      <c r="K125" s="267" t="s">
        <v>2060</v>
      </c>
      <c r="L125" s="267" t="s">
        <v>659</v>
      </c>
      <c r="M125" s="267">
        <v>1914</v>
      </c>
      <c r="N125" s="267" t="s">
        <v>1848</v>
      </c>
      <c r="O125" s="268" t="s">
        <v>679</v>
      </c>
      <c r="P125" s="267" t="s">
        <v>2062</v>
      </c>
      <c r="Q125" s="267" t="s">
        <v>2060</v>
      </c>
      <c r="R125" s="267" t="s">
        <v>1516</v>
      </c>
      <c r="S125" s="267" t="s">
        <v>1309</v>
      </c>
      <c r="T125" s="267" t="s">
        <v>1353</v>
      </c>
      <c r="U125" s="267" t="s">
        <v>639</v>
      </c>
      <c r="V125" s="267" t="s">
        <v>1309</v>
      </c>
      <c r="W125" s="267" t="s">
        <v>1354</v>
      </c>
      <c r="X125" s="267" t="s">
        <v>1327</v>
      </c>
      <c r="Y125" s="267" t="s">
        <v>1389</v>
      </c>
      <c r="Z125" s="267" t="s">
        <v>2059</v>
      </c>
      <c r="AA125" s="267" t="s">
        <v>26</v>
      </c>
      <c r="AB125" s="267" t="s">
        <v>2291</v>
      </c>
      <c r="AC125" s="267" t="s">
        <v>2390</v>
      </c>
      <c r="AD125" s="267" t="s">
        <v>2729</v>
      </c>
      <c r="AE125" s="267" t="s">
        <v>23</v>
      </c>
      <c r="AF125" s="267" t="s">
        <v>1843</v>
      </c>
      <c r="AG125" s="267" t="s">
        <v>1566</v>
      </c>
      <c r="AH125" s="267" t="s">
        <v>2730</v>
      </c>
    </row>
    <row r="126" spans="1:34" hidden="1" x14ac:dyDescent="0.25">
      <c r="A126" s="267">
        <v>371</v>
      </c>
      <c r="B126" s="267" t="s">
        <v>2063</v>
      </c>
      <c r="C126" s="267" t="s">
        <v>658</v>
      </c>
      <c r="D126" s="267" t="s">
        <v>7</v>
      </c>
      <c r="E126" s="267" t="s">
        <v>1385</v>
      </c>
      <c r="F126" s="267" t="s">
        <v>2982</v>
      </c>
      <c r="G126" s="267" t="s">
        <v>2983</v>
      </c>
      <c r="H126" s="267" t="s">
        <v>2929</v>
      </c>
      <c r="I126" s="268">
        <v>0</v>
      </c>
      <c r="K126" s="267" t="s">
        <v>2064</v>
      </c>
      <c r="L126" s="267" t="s">
        <v>1247</v>
      </c>
      <c r="M126" s="267">
        <v>111111</v>
      </c>
      <c r="N126" s="267" t="s">
        <v>662</v>
      </c>
      <c r="O126" s="268" t="s">
        <v>658</v>
      </c>
      <c r="Q126" s="267" t="s">
        <v>2065</v>
      </c>
      <c r="R126" s="267">
        <v>2400</v>
      </c>
      <c r="S126" s="267" t="s">
        <v>1388</v>
      </c>
      <c r="T126" s="267" t="s">
        <v>1353</v>
      </c>
      <c r="U126" s="267" t="s">
        <v>639</v>
      </c>
      <c r="V126" s="267" t="s">
        <v>1388</v>
      </c>
      <c r="W126" s="267" t="s">
        <v>1354</v>
      </c>
      <c r="X126" s="267" t="s">
        <v>1312</v>
      </c>
      <c r="Y126" s="267" t="s">
        <v>2066</v>
      </c>
      <c r="Z126" s="267" t="s">
        <v>846</v>
      </c>
      <c r="AA126" s="267" t="s">
        <v>2067</v>
      </c>
      <c r="AB126" s="267" t="s">
        <v>1555</v>
      </c>
      <c r="AC126" s="267" t="s">
        <v>3000</v>
      </c>
      <c r="AD126" s="267" t="s">
        <v>1473</v>
      </c>
      <c r="AE126" s="267" t="s">
        <v>1473</v>
      </c>
      <c r="AF126" s="267" t="s">
        <v>72</v>
      </c>
      <c r="AG126" s="267" t="s">
        <v>1358</v>
      </c>
      <c r="AH126" s="267" t="s">
        <v>1473</v>
      </c>
    </row>
    <row r="127" spans="1:34" hidden="1" x14ac:dyDescent="0.25">
      <c r="A127" s="267">
        <v>374</v>
      </c>
      <c r="B127" s="267" t="s">
        <v>2068</v>
      </c>
      <c r="C127" s="267" t="s">
        <v>1321</v>
      </c>
      <c r="D127" s="267" t="s">
        <v>7</v>
      </c>
      <c r="E127" s="267" t="s">
        <v>1319</v>
      </c>
      <c r="F127" s="267" t="s">
        <v>2982</v>
      </c>
      <c r="G127" s="267" t="s">
        <v>2983</v>
      </c>
      <c r="H127" s="267" t="s">
        <v>2929</v>
      </c>
      <c r="I127" s="268">
        <v>0</v>
      </c>
      <c r="K127" s="267" t="s">
        <v>704</v>
      </c>
      <c r="L127" s="267" t="s">
        <v>659</v>
      </c>
      <c r="M127" s="267">
        <v>111</v>
      </c>
      <c r="N127" s="267" t="s">
        <v>2070</v>
      </c>
      <c r="O127" s="268" t="s">
        <v>1321</v>
      </c>
      <c r="P127" s="267" t="s">
        <v>2071</v>
      </c>
      <c r="Q127" s="267" t="s">
        <v>704</v>
      </c>
      <c r="R127" s="267">
        <v>1200</v>
      </c>
      <c r="S127" s="267" t="s">
        <v>1525</v>
      </c>
      <c r="T127" s="267" t="s">
        <v>72</v>
      </c>
      <c r="U127" s="267" t="s">
        <v>687</v>
      </c>
      <c r="V127" s="267" t="s">
        <v>2072</v>
      </c>
      <c r="W127" s="267" t="s">
        <v>1525</v>
      </c>
      <c r="X127" s="267" t="s">
        <v>1327</v>
      </c>
      <c r="Y127" s="267" t="s">
        <v>1389</v>
      </c>
      <c r="AB127" s="267" t="s">
        <v>2546</v>
      </c>
      <c r="AC127" s="267" t="s">
        <v>2981</v>
      </c>
      <c r="AD127" s="267" t="s">
        <v>2073</v>
      </c>
      <c r="AE127" s="267" t="s">
        <v>2074</v>
      </c>
      <c r="AF127" s="267" t="s">
        <v>2075</v>
      </c>
      <c r="AG127" s="267" t="s">
        <v>1463</v>
      </c>
      <c r="AH127" s="267" t="s">
        <v>2076</v>
      </c>
    </row>
    <row r="128" spans="1:34" hidden="1" x14ac:dyDescent="0.25">
      <c r="A128" s="267">
        <v>375</v>
      </c>
      <c r="B128" s="267" t="s">
        <v>1253</v>
      </c>
      <c r="C128" s="267" t="s">
        <v>875</v>
      </c>
      <c r="D128" s="267" t="s">
        <v>7</v>
      </c>
      <c r="E128" s="267" t="s">
        <v>1336</v>
      </c>
      <c r="F128" s="267" t="s">
        <v>3078</v>
      </c>
      <c r="G128" s="267" t="s">
        <v>3079</v>
      </c>
      <c r="H128" s="267">
        <v>70789</v>
      </c>
      <c r="I128" s="268">
        <v>0</v>
      </c>
      <c r="K128" s="267" t="s">
        <v>2077</v>
      </c>
      <c r="L128" s="267" t="s">
        <v>1153</v>
      </c>
      <c r="M128" s="267">
        <v>6370</v>
      </c>
      <c r="N128" s="267" t="s">
        <v>875</v>
      </c>
      <c r="O128" s="268" t="s">
        <v>875</v>
      </c>
      <c r="P128" s="267" t="s">
        <v>699</v>
      </c>
      <c r="Q128" s="267" t="s">
        <v>2077</v>
      </c>
      <c r="R128" s="267" t="s">
        <v>27</v>
      </c>
      <c r="S128" s="267" t="s">
        <v>1388</v>
      </c>
      <c r="T128" s="267" t="s">
        <v>1353</v>
      </c>
      <c r="U128" s="267" t="s">
        <v>639</v>
      </c>
      <c r="V128" s="267" t="s">
        <v>1388</v>
      </c>
      <c r="W128" s="267" t="s">
        <v>1354</v>
      </c>
      <c r="X128" s="267" t="s">
        <v>1327</v>
      </c>
      <c r="Y128" s="267" t="s">
        <v>1328</v>
      </c>
      <c r="AA128" s="267" t="s">
        <v>27</v>
      </c>
      <c r="AB128" s="267" t="s">
        <v>1618</v>
      </c>
      <c r="AC128" s="267" t="s">
        <v>19</v>
      </c>
      <c r="AD128" s="267" t="s">
        <v>2078</v>
      </c>
      <c r="AE128" s="267" t="s">
        <v>27</v>
      </c>
      <c r="AF128" s="267" t="s">
        <v>1463</v>
      </c>
      <c r="AG128" s="267" t="s">
        <v>1474</v>
      </c>
    </row>
    <row r="129" spans="1:34" hidden="1" x14ac:dyDescent="0.25">
      <c r="A129" s="267">
        <v>376</v>
      </c>
      <c r="B129" s="267" t="s">
        <v>2079</v>
      </c>
      <c r="C129" s="267" t="s">
        <v>1037</v>
      </c>
      <c r="D129" s="267" t="s">
        <v>7</v>
      </c>
      <c r="E129" s="267" t="s">
        <v>1348</v>
      </c>
      <c r="F129" s="267" t="s">
        <v>3078</v>
      </c>
      <c r="G129" s="267" t="s">
        <v>3079</v>
      </c>
      <c r="H129" s="267" t="s">
        <v>2929</v>
      </c>
      <c r="I129" s="268">
        <v>0</v>
      </c>
      <c r="K129" s="267" t="s">
        <v>2080</v>
      </c>
      <c r="L129" s="267" t="s">
        <v>1153</v>
      </c>
      <c r="M129" s="267">
        <v>6370</v>
      </c>
      <c r="O129" s="268" t="s">
        <v>680</v>
      </c>
      <c r="P129" s="267" t="s">
        <v>2054</v>
      </c>
      <c r="Q129" s="267" t="s">
        <v>2080</v>
      </c>
      <c r="R129" s="267" t="s">
        <v>27</v>
      </c>
      <c r="S129" s="267" t="s">
        <v>1388</v>
      </c>
      <c r="T129" s="267" t="s">
        <v>72</v>
      </c>
      <c r="U129" s="267" t="s">
        <v>639</v>
      </c>
      <c r="V129" s="267" t="s">
        <v>1388</v>
      </c>
      <c r="W129" s="267" t="s">
        <v>1354</v>
      </c>
      <c r="X129" s="267" t="s">
        <v>1327</v>
      </c>
      <c r="AB129" s="267" t="s">
        <v>1584</v>
      </c>
      <c r="AC129" s="267" t="s">
        <v>3</v>
      </c>
      <c r="AD129" s="267" t="s">
        <v>1473</v>
      </c>
      <c r="AE129" s="267" t="s">
        <v>1473</v>
      </c>
      <c r="AF129" s="267" t="s">
        <v>1650</v>
      </c>
      <c r="AG129" s="267" t="s">
        <v>1543</v>
      </c>
    </row>
    <row r="130" spans="1:34" hidden="1" x14ac:dyDescent="0.25">
      <c r="A130" s="267">
        <v>377</v>
      </c>
      <c r="B130" s="267" t="s">
        <v>2081</v>
      </c>
      <c r="C130" s="267" t="s">
        <v>1270</v>
      </c>
      <c r="D130" s="267" t="s">
        <v>7</v>
      </c>
      <c r="E130" s="267" t="s">
        <v>1348</v>
      </c>
      <c r="F130" s="267" t="s">
        <v>1881</v>
      </c>
      <c r="G130" s="267" t="s">
        <v>3038</v>
      </c>
      <c r="H130" s="267">
        <v>1248760</v>
      </c>
      <c r="I130" s="268">
        <v>0</v>
      </c>
      <c r="K130" s="267" t="s">
        <v>1231</v>
      </c>
      <c r="L130" s="267" t="s">
        <v>1247</v>
      </c>
      <c r="M130" s="267">
        <v>2445</v>
      </c>
      <c r="O130" s="268" t="s">
        <v>680</v>
      </c>
      <c r="P130" s="267" t="s">
        <v>2054</v>
      </c>
      <c r="Q130" s="267" t="s">
        <v>2077</v>
      </c>
      <c r="R130" s="267" t="s">
        <v>1907</v>
      </c>
      <c r="S130" s="267" t="s">
        <v>1388</v>
      </c>
      <c r="T130" s="267" t="s">
        <v>72</v>
      </c>
      <c r="U130" s="267" t="s">
        <v>639</v>
      </c>
      <c r="V130" s="267" t="s">
        <v>1388</v>
      </c>
      <c r="W130" s="267" t="s">
        <v>1354</v>
      </c>
      <c r="X130" s="267" t="s">
        <v>1327</v>
      </c>
      <c r="AB130" s="267" t="s">
        <v>1584</v>
      </c>
      <c r="AC130" s="267" t="s">
        <v>3</v>
      </c>
      <c r="AD130" s="267" t="s">
        <v>2082</v>
      </c>
      <c r="AE130" s="267" t="s">
        <v>27</v>
      </c>
      <c r="AF130" s="267" t="s">
        <v>2083</v>
      </c>
      <c r="AG130" s="267" t="s">
        <v>1566</v>
      </c>
    </row>
    <row r="131" spans="1:34" hidden="1" x14ac:dyDescent="0.25">
      <c r="A131" s="267">
        <v>378</v>
      </c>
      <c r="B131" s="267" t="s">
        <v>1260</v>
      </c>
      <c r="C131" s="267" t="s">
        <v>2084</v>
      </c>
      <c r="D131" s="267" t="s">
        <v>7</v>
      </c>
      <c r="E131" s="267" t="s">
        <v>1336</v>
      </c>
      <c r="F131" s="267" t="s">
        <v>2086</v>
      </c>
      <c r="G131" s="267" t="s">
        <v>3080</v>
      </c>
      <c r="H131" s="267" t="s">
        <v>2929</v>
      </c>
      <c r="I131" s="268">
        <v>0</v>
      </c>
      <c r="K131" s="267" t="s">
        <v>2085</v>
      </c>
      <c r="L131" s="267" t="s">
        <v>659</v>
      </c>
      <c r="M131" s="267" t="s">
        <v>2086</v>
      </c>
      <c r="N131" s="267" t="s">
        <v>875</v>
      </c>
      <c r="O131" s="268" t="s">
        <v>875</v>
      </c>
      <c r="P131" s="267" t="s">
        <v>1262</v>
      </c>
      <c r="Q131" s="267" t="s">
        <v>2085</v>
      </c>
      <c r="R131" s="267" t="s">
        <v>27</v>
      </c>
      <c r="S131" s="267" t="s">
        <v>1388</v>
      </c>
      <c r="T131" s="267" t="s">
        <v>1353</v>
      </c>
      <c r="U131" s="267" t="s">
        <v>639</v>
      </c>
      <c r="V131" s="267" t="s">
        <v>1388</v>
      </c>
      <c r="W131" s="267" t="s">
        <v>1354</v>
      </c>
      <c r="X131" s="267" t="s">
        <v>1327</v>
      </c>
      <c r="AB131" s="267" t="s">
        <v>1992</v>
      </c>
      <c r="AC131" s="267" t="s">
        <v>22</v>
      </c>
      <c r="AD131" s="267" t="s">
        <v>2087</v>
      </c>
      <c r="AE131" s="267" t="s">
        <v>2088</v>
      </c>
      <c r="AF131" s="267" t="s">
        <v>1463</v>
      </c>
      <c r="AG131" s="267" t="s">
        <v>1359</v>
      </c>
    </row>
    <row r="132" spans="1:34" hidden="1" x14ac:dyDescent="0.25">
      <c r="A132" s="267">
        <v>382</v>
      </c>
      <c r="B132" s="267" t="s">
        <v>1264</v>
      </c>
      <c r="C132" s="267" t="s">
        <v>658</v>
      </c>
      <c r="D132" s="267" t="s">
        <v>7</v>
      </c>
      <c r="E132" s="267" t="s">
        <v>1385</v>
      </c>
      <c r="F132" s="267" t="s">
        <v>3082</v>
      </c>
      <c r="G132" s="267" t="s">
        <v>3083</v>
      </c>
      <c r="H132" s="267" t="s">
        <v>2929</v>
      </c>
      <c r="I132" s="268">
        <v>0</v>
      </c>
      <c r="K132" s="267" t="s">
        <v>2090</v>
      </c>
      <c r="L132" s="267" t="s">
        <v>1165</v>
      </c>
      <c r="M132" s="267">
        <v>6383</v>
      </c>
      <c r="N132" s="267" t="s">
        <v>2020</v>
      </c>
      <c r="O132" s="268" t="s">
        <v>662</v>
      </c>
      <c r="P132" s="267" t="s">
        <v>1195</v>
      </c>
      <c r="Q132" s="267" t="s">
        <v>2091</v>
      </c>
      <c r="R132" s="267" t="s">
        <v>1652</v>
      </c>
      <c r="S132" s="267" t="s">
        <v>1576</v>
      </c>
      <c r="T132" s="267" t="s">
        <v>1353</v>
      </c>
      <c r="U132" s="267" t="s">
        <v>639</v>
      </c>
      <c r="V132" s="267" t="s">
        <v>1576</v>
      </c>
      <c r="W132" s="267" t="s">
        <v>1354</v>
      </c>
      <c r="X132" s="267" t="s">
        <v>1327</v>
      </c>
      <c r="Y132" s="267" t="s">
        <v>1397</v>
      </c>
      <c r="Z132" s="267" t="s">
        <v>1893</v>
      </c>
      <c r="AA132" s="267" t="s">
        <v>2092</v>
      </c>
      <c r="AB132" s="267" t="s">
        <v>2093</v>
      </c>
      <c r="AC132" s="267" t="s">
        <v>3084</v>
      </c>
      <c r="AD132" s="267" t="s">
        <v>2094</v>
      </c>
      <c r="AE132" s="267" t="s">
        <v>1473</v>
      </c>
      <c r="AF132" s="267" t="s">
        <v>72</v>
      </c>
      <c r="AG132" s="267" t="s">
        <v>1457</v>
      </c>
      <c r="AH132" s="267" t="s">
        <v>1473</v>
      </c>
    </row>
    <row r="133" spans="1:34" hidden="1" x14ac:dyDescent="0.25">
      <c r="A133" s="267">
        <v>383</v>
      </c>
      <c r="B133" s="267" t="s">
        <v>2095</v>
      </c>
      <c r="C133" s="267" t="s">
        <v>658</v>
      </c>
      <c r="D133" s="267" t="s">
        <v>7</v>
      </c>
      <c r="E133" s="267" t="s">
        <v>1385</v>
      </c>
      <c r="F133" s="267" t="s">
        <v>3082</v>
      </c>
      <c r="G133" s="267" t="s">
        <v>3083</v>
      </c>
      <c r="H133" s="267" t="s">
        <v>2929</v>
      </c>
      <c r="I133" s="268">
        <v>0</v>
      </c>
      <c r="K133" s="267" t="s">
        <v>2089</v>
      </c>
      <c r="L133" s="267" t="s">
        <v>1247</v>
      </c>
      <c r="M133" s="267">
        <v>72727</v>
      </c>
      <c r="N133" s="267" t="s">
        <v>662</v>
      </c>
      <c r="O133" s="268" t="s">
        <v>662</v>
      </c>
      <c r="Q133" s="267" t="s">
        <v>2096</v>
      </c>
      <c r="R133" s="267">
        <v>1330</v>
      </c>
      <c r="S133" s="267" t="s">
        <v>1388</v>
      </c>
      <c r="T133" s="267" t="s">
        <v>1353</v>
      </c>
      <c r="U133" s="267" t="s">
        <v>639</v>
      </c>
      <c r="V133" s="267" t="s">
        <v>1388</v>
      </c>
      <c r="W133" s="267" t="s">
        <v>1354</v>
      </c>
      <c r="X133" s="267" t="s">
        <v>1327</v>
      </c>
      <c r="Y133" s="267" t="s">
        <v>1389</v>
      </c>
      <c r="Z133" s="267" t="s">
        <v>1178</v>
      </c>
      <c r="AA133" s="267" t="s">
        <v>2097</v>
      </c>
      <c r="AB133" s="267" t="s">
        <v>1895</v>
      </c>
      <c r="AC133" s="267" t="s">
        <v>626</v>
      </c>
      <c r="AD133" s="267" t="s">
        <v>2098</v>
      </c>
      <c r="AE133" s="267" t="s">
        <v>1473</v>
      </c>
      <c r="AF133" s="267" t="s">
        <v>1566</v>
      </c>
      <c r="AG133" s="267" t="s">
        <v>1359</v>
      </c>
      <c r="AH133" s="267" t="s">
        <v>2099</v>
      </c>
    </row>
    <row r="134" spans="1:34" hidden="1" x14ac:dyDescent="0.25">
      <c r="A134" s="267">
        <v>384</v>
      </c>
      <c r="B134" s="267" t="s">
        <v>2100</v>
      </c>
      <c r="C134" s="267" t="s">
        <v>950</v>
      </c>
      <c r="D134" s="267" t="s">
        <v>7</v>
      </c>
      <c r="E134" s="267" t="s">
        <v>1348</v>
      </c>
      <c r="F134" s="267" t="s">
        <v>2982</v>
      </c>
      <c r="G134" s="267" t="s">
        <v>2983</v>
      </c>
      <c r="H134" s="267" t="s">
        <v>2929</v>
      </c>
      <c r="I134" s="268">
        <v>0</v>
      </c>
      <c r="K134" s="267" t="s">
        <v>2101</v>
      </c>
      <c r="L134" s="267" t="s">
        <v>659</v>
      </c>
      <c r="M134" s="267">
        <v>1</v>
      </c>
      <c r="N134" s="267" t="s">
        <v>899</v>
      </c>
      <c r="O134" s="268" t="s">
        <v>950</v>
      </c>
      <c r="P134" s="267" t="s">
        <v>2102</v>
      </c>
      <c r="Q134" s="267" t="s">
        <v>2101</v>
      </c>
      <c r="R134" s="267">
        <v>1500</v>
      </c>
      <c r="S134" s="267" t="s">
        <v>1310</v>
      </c>
      <c r="T134" s="267" t="s">
        <v>72</v>
      </c>
      <c r="U134" s="267" t="s">
        <v>639</v>
      </c>
      <c r="V134" s="267" t="s">
        <v>1310</v>
      </c>
      <c r="W134" s="267" t="s">
        <v>1635</v>
      </c>
      <c r="X134" s="267" t="s">
        <v>1327</v>
      </c>
      <c r="Y134" s="267" t="s">
        <v>2103</v>
      </c>
      <c r="Z134" s="267" t="s">
        <v>2810</v>
      </c>
      <c r="AA134" s="267" t="s">
        <v>2105</v>
      </c>
      <c r="AB134" s="267" t="s">
        <v>2546</v>
      </c>
      <c r="AC134" s="267" t="s">
        <v>2981</v>
      </c>
      <c r="AD134" s="267" t="s">
        <v>2106</v>
      </c>
      <c r="AE134" s="267" t="s">
        <v>2107</v>
      </c>
      <c r="AF134" s="267" t="s">
        <v>1333</v>
      </c>
      <c r="AG134" s="267" t="s">
        <v>2108</v>
      </c>
    </row>
    <row r="135" spans="1:34" hidden="1" x14ac:dyDescent="0.25">
      <c r="A135" s="267">
        <v>386</v>
      </c>
      <c r="B135" s="267" t="s">
        <v>1268</v>
      </c>
      <c r="C135" s="267" t="s">
        <v>1069</v>
      </c>
      <c r="D135" s="267" t="s">
        <v>7</v>
      </c>
      <c r="E135" s="267" t="s">
        <v>1385</v>
      </c>
      <c r="F135" s="267" t="s">
        <v>2110</v>
      </c>
      <c r="G135" s="267" t="s">
        <v>3081</v>
      </c>
      <c r="H135" s="267" t="s">
        <v>2929</v>
      </c>
      <c r="I135" s="268">
        <v>0</v>
      </c>
      <c r="K135" s="267" t="s">
        <v>2109</v>
      </c>
      <c r="L135" s="267" t="s">
        <v>1247</v>
      </c>
      <c r="M135" s="267" t="s">
        <v>2110</v>
      </c>
      <c r="N135" s="267" t="s">
        <v>2020</v>
      </c>
      <c r="O135" s="268" t="s">
        <v>1270</v>
      </c>
      <c r="P135" s="267" t="s">
        <v>1271</v>
      </c>
      <c r="Q135" s="267" t="s">
        <v>2109</v>
      </c>
      <c r="R135" s="267">
        <v>1130</v>
      </c>
      <c r="S135" s="267" t="s">
        <v>1576</v>
      </c>
      <c r="T135" s="267" t="s">
        <v>1353</v>
      </c>
      <c r="U135" s="267" t="s">
        <v>639</v>
      </c>
      <c r="V135" s="267" t="s">
        <v>1576</v>
      </c>
      <c r="W135" s="267" t="s">
        <v>1354</v>
      </c>
      <c r="X135" s="267" t="s">
        <v>1327</v>
      </c>
      <c r="Y135" s="267" t="s">
        <v>1328</v>
      </c>
      <c r="AB135" s="267" t="s">
        <v>2111</v>
      </c>
      <c r="AC135" s="267" t="s">
        <v>3085</v>
      </c>
      <c r="AD135" s="267" t="s">
        <v>2112</v>
      </c>
      <c r="AE135" s="267" t="s">
        <v>2113</v>
      </c>
      <c r="AF135" s="267" t="s">
        <v>1393</v>
      </c>
      <c r="AG135" s="267" t="s">
        <v>1474</v>
      </c>
    </row>
    <row r="136" spans="1:34" hidden="1" x14ac:dyDescent="0.25">
      <c r="A136" s="267">
        <v>389</v>
      </c>
      <c r="B136" s="267" t="s">
        <v>2114</v>
      </c>
      <c r="C136" s="267" t="s">
        <v>2115</v>
      </c>
      <c r="D136" s="267" t="s">
        <v>7</v>
      </c>
      <c r="E136" s="267" t="s">
        <v>1319</v>
      </c>
      <c r="F136" s="267" t="s">
        <v>3086</v>
      </c>
      <c r="G136" s="267" t="s">
        <v>3087</v>
      </c>
      <c r="H136" s="267" t="s">
        <v>2929</v>
      </c>
      <c r="I136" s="268">
        <v>0</v>
      </c>
      <c r="K136" s="267" t="s">
        <v>2116</v>
      </c>
      <c r="L136" s="267" t="s">
        <v>659</v>
      </c>
      <c r="M136" s="267">
        <v>6388</v>
      </c>
      <c r="N136" s="267" t="s">
        <v>1321</v>
      </c>
      <c r="O136" s="268" t="s">
        <v>1588</v>
      </c>
      <c r="P136" s="267" t="s">
        <v>1704</v>
      </c>
      <c r="Q136" s="267" t="s">
        <v>2116</v>
      </c>
      <c r="R136" s="267">
        <v>1630</v>
      </c>
      <c r="S136" s="267" t="s">
        <v>1352</v>
      </c>
      <c r="T136" s="267" t="s">
        <v>1353</v>
      </c>
      <c r="U136" s="267" t="s">
        <v>687</v>
      </c>
      <c r="V136" s="267" t="s">
        <v>1352</v>
      </c>
      <c r="W136" s="267" t="s">
        <v>1354</v>
      </c>
      <c r="X136" s="267" t="s">
        <v>1327</v>
      </c>
      <c r="Y136" s="267" t="s">
        <v>1389</v>
      </c>
      <c r="Z136" s="267" t="s">
        <v>1646</v>
      </c>
      <c r="AA136" s="267" t="s">
        <v>2686</v>
      </c>
      <c r="AB136" s="267" t="s">
        <v>2546</v>
      </c>
      <c r="AC136" s="267" t="s">
        <v>2981</v>
      </c>
      <c r="AD136" s="267" t="s">
        <v>2117</v>
      </c>
      <c r="AE136" s="267" t="s">
        <v>27</v>
      </c>
      <c r="AF136" s="267" t="s">
        <v>1890</v>
      </c>
      <c r="AG136" s="267" t="s">
        <v>2687</v>
      </c>
      <c r="AH136" s="267" t="s">
        <v>27</v>
      </c>
    </row>
    <row r="137" spans="1:34" x14ac:dyDescent="0.25">
      <c r="A137" s="267">
        <v>391</v>
      </c>
      <c r="B137" s="267" t="s">
        <v>1273</v>
      </c>
      <c r="C137" s="267" t="s">
        <v>781</v>
      </c>
      <c r="D137" s="267" t="s">
        <v>7</v>
      </c>
      <c r="E137" s="267" t="s">
        <v>1348</v>
      </c>
      <c r="F137" s="267" t="s">
        <v>2982</v>
      </c>
      <c r="G137" s="267" t="s">
        <v>2983</v>
      </c>
      <c r="H137" s="267">
        <v>1358318</v>
      </c>
      <c r="I137" s="268">
        <v>0</v>
      </c>
      <c r="K137" s="267" t="s">
        <v>1266</v>
      </c>
      <c r="L137" s="267" t="s">
        <v>659</v>
      </c>
      <c r="M137" s="267">
        <v>1</v>
      </c>
      <c r="N137" s="267" t="s">
        <v>800</v>
      </c>
      <c r="O137" s="268" t="s">
        <v>1037</v>
      </c>
      <c r="P137" s="267" t="s">
        <v>1275</v>
      </c>
      <c r="Q137" s="267" t="s">
        <v>2118</v>
      </c>
      <c r="R137" s="267">
        <v>1130</v>
      </c>
      <c r="S137" s="267" t="s">
        <v>1388</v>
      </c>
      <c r="T137" s="267" t="s">
        <v>1353</v>
      </c>
      <c r="U137" s="267" t="s">
        <v>687</v>
      </c>
      <c r="V137" s="267" t="s">
        <v>1388</v>
      </c>
      <c r="W137" s="267" t="s">
        <v>1354</v>
      </c>
      <c r="X137" s="267" t="s">
        <v>1327</v>
      </c>
      <c r="Y137" s="267" t="s">
        <v>1389</v>
      </c>
      <c r="Z137" s="267" t="s">
        <v>1981</v>
      </c>
      <c r="AB137" s="267" t="s">
        <v>1614</v>
      </c>
      <c r="AC137" s="267" t="s">
        <v>4</v>
      </c>
      <c r="AD137" s="267" t="s">
        <v>2119</v>
      </c>
      <c r="AE137" s="267" t="s">
        <v>2120</v>
      </c>
      <c r="AF137" s="267" t="s">
        <v>1393</v>
      </c>
      <c r="AG137" s="267" t="s">
        <v>1801</v>
      </c>
    </row>
    <row r="138" spans="1:34" hidden="1" x14ac:dyDescent="0.25">
      <c r="A138" s="267">
        <v>394</v>
      </c>
      <c r="B138" s="267" t="s">
        <v>2684</v>
      </c>
      <c r="C138" s="267" t="s">
        <v>690</v>
      </c>
      <c r="D138" s="267" t="s">
        <v>7</v>
      </c>
      <c r="E138" s="267" t="s">
        <v>1385</v>
      </c>
      <c r="F138" s="267" t="s">
        <v>2982</v>
      </c>
      <c r="G138" s="267" t="s">
        <v>2983</v>
      </c>
      <c r="H138" s="267" t="s">
        <v>2929</v>
      </c>
      <c r="I138" s="268">
        <v>0</v>
      </c>
      <c r="K138" s="267" t="s">
        <v>2685</v>
      </c>
      <c r="L138" s="267" t="s">
        <v>1247</v>
      </c>
      <c r="M138" s="267">
        <v>1</v>
      </c>
      <c r="N138" s="267" t="s">
        <v>2244</v>
      </c>
      <c r="O138" s="268" t="s">
        <v>690</v>
      </c>
      <c r="P138" s="267" t="s">
        <v>1104</v>
      </c>
      <c r="Q138" s="267" t="s">
        <v>2685</v>
      </c>
      <c r="U138" s="267" t="s">
        <v>639</v>
      </c>
    </row>
    <row r="139" spans="1:34" x14ac:dyDescent="0.25">
      <c r="A139" s="267">
        <v>398</v>
      </c>
      <c r="B139" s="267" t="s">
        <v>2700</v>
      </c>
      <c r="C139" s="267" t="s">
        <v>1848</v>
      </c>
      <c r="D139" s="267" t="s">
        <v>7</v>
      </c>
      <c r="E139" s="267" t="s">
        <v>1348</v>
      </c>
      <c r="F139" s="267" t="s">
        <v>2702</v>
      </c>
      <c r="G139" s="267" t="s">
        <v>3088</v>
      </c>
      <c r="H139" s="267">
        <v>1264325</v>
      </c>
      <c r="I139" s="268">
        <v>0</v>
      </c>
      <c r="K139" s="267" t="s">
        <v>2701</v>
      </c>
      <c r="L139" s="267" t="s">
        <v>1165</v>
      </c>
      <c r="M139" s="267">
        <v>6392</v>
      </c>
      <c r="N139" s="267" t="s">
        <v>766</v>
      </c>
      <c r="O139" s="268" t="s">
        <v>717</v>
      </c>
      <c r="P139" s="267" t="s">
        <v>2703</v>
      </c>
      <c r="Q139" s="267" t="s">
        <v>2704</v>
      </c>
      <c r="R139" s="267" t="s">
        <v>1516</v>
      </c>
      <c r="S139" s="267" t="s">
        <v>1388</v>
      </c>
      <c r="T139" s="267" t="s">
        <v>1353</v>
      </c>
      <c r="U139" s="267" t="s">
        <v>639</v>
      </c>
      <c r="V139" s="267" t="s">
        <v>1388</v>
      </c>
      <c r="W139" s="267" t="s">
        <v>1354</v>
      </c>
      <c r="X139" s="267" t="s">
        <v>1327</v>
      </c>
      <c r="Y139" s="267" t="s">
        <v>1389</v>
      </c>
      <c r="AB139" s="267" t="s">
        <v>1614</v>
      </c>
      <c r="AC139" s="267" t="s">
        <v>4</v>
      </c>
      <c r="AD139" s="267" t="s">
        <v>2705</v>
      </c>
      <c r="AE139" s="267" t="s">
        <v>2706</v>
      </c>
      <c r="AF139" s="267" t="s">
        <v>1393</v>
      </c>
      <c r="AG139" s="267" t="s">
        <v>1414</v>
      </c>
    </row>
    <row r="140" spans="1:34" customFormat="1" ht="45" hidden="1" x14ac:dyDescent="0.25">
      <c r="A140">
        <v>399</v>
      </c>
      <c r="B140" t="s">
        <v>2707</v>
      </c>
      <c r="C140" t="s">
        <v>2059</v>
      </c>
      <c r="D140" t="s">
        <v>7</v>
      </c>
      <c r="E140" t="s">
        <v>1336</v>
      </c>
      <c r="F140" t="s">
        <v>3089</v>
      </c>
      <c r="G140" t="s">
        <v>3090</v>
      </c>
      <c r="H140" t="s">
        <v>2929</v>
      </c>
      <c r="I140" s="134">
        <v>0</v>
      </c>
      <c r="K140" t="s">
        <v>2708</v>
      </c>
      <c r="L140" t="s">
        <v>659</v>
      </c>
      <c r="M140">
        <v>84863</v>
      </c>
      <c r="N140" t="s">
        <v>1069</v>
      </c>
      <c r="O140" s="134" t="s">
        <v>2709</v>
      </c>
      <c r="P140" t="s">
        <v>2710</v>
      </c>
      <c r="Q140" t="s">
        <v>2708</v>
      </c>
      <c r="R140" t="s">
        <v>2711</v>
      </c>
      <c r="S140" t="s">
        <v>1388</v>
      </c>
      <c r="T140" t="s">
        <v>72</v>
      </c>
      <c r="U140" t="s">
        <v>639</v>
      </c>
      <c r="V140" t="s">
        <v>1388</v>
      </c>
      <c r="W140" t="s">
        <v>1354</v>
      </c>
      <c r="X140" t="s">
        <v>1327</v>
      </c>
      <c r="Y140" t="s">
        <v>1716</v>
      </c>
      <c r="Z140" t="s">
        <v>1913</v>
      </c>
      <c r="AA140" t="s">
        <v>2712</v>
      </c>
      <c r="AB140" t="s">
        <v>2288</v>
      </c>
      <c r="AC140" t="s">
        <v>18</v>
      </c>
      <c r="AD140" s="273" t="s">
        <v>2713</v>
      </c>
      <c r="AE140" s="273"/>
      <c r="AF140" t="s">
        <v>72</v>
      </c>
      <c r="AG140" t="s">
        <v>1566</v>
      </c>
      <c r="AH140" t="s">
        <v>2714</v>
      </c>
    </row>
    <row r="141" spans="1:34" customFormat="1" hidden="1" x14ac:dyDescent="0.25">
      <c r="A141">
        <v>401</v>
      </c>
      <c r="B141" t="s">
        <v>2731</v>
      </c>
      <c r="C141" t="s">
        <v>1670</v>
      </c>
      <c r="D141" t="s">
        <v>7</v>
      </c>
      <c r="E141" t="s">
        <v>1336</v>
      </c>
      <c r="F141" t="s">
        <v>2733</v>
      </c>
      <c r="G141" t="s">
        <v>3091</v>
      </c>
      <c r="H141">
        <v>71644</v>
      </c>
      <c r="I141" s="134">
        <v>0</v>
      </c>
      <c r="K141" t="s">
        <v>2732</v>
      </c>
      <c r="L141" t="s">
        <v>659</v>
      </c>
      <c r="M141">
        <v>6393</v>
      </c>
      <c r="N141" t="s">
        <v>699</v>
      </c>
      <c r="O141" s="134" t="s">
        <v>699</v>
      </c>
      <c r="P141" t="s">
        <v>2734</v>
      </c>
      <c r="Q141" t="s">
        <v>2732</v>
      </c>
      <c r="R141">
        <v>1830</v>
      </c>
      <c r="S141" t="s">
        <v>1388</v>
      </c>
      <c r="T141" t="s">
        <v>1353</v>
      </c>
      <c r="U141" t="s">
        <v>639</v>
      </c>
      <c r="V141" t="s">
        <v>1388</v>
      </c>
      <c r="W141" t="s">
        <v>1354</v>
      </c>
      <c r="X141" t="s">
        <v>1327</v>
      </c>
      <c r="Y141" t="s">
        <v>1328</v>
      </c>
      <c r="Z141" t="s">
        <v>2735</v>
      </c>
      <c r="AB141" t="s">
        <v>1618</v>
      </c>
      <c r="AC141" t="s">
        <v>19</v>
      </c>
      <c r="AD141" s="273" t="s">
        <v>2736</v>
      </c>
      <c r="AE141" s="273" t="s">
        <v>2737</v>
      </c>
      <c r="AF141" t="s">
        <v>1358</v>
      </c>
      <c r="AG141" t="s">
        <v>1566</v>
      </c>
      <c r="AH141" t="s">
        <v>3299</v>
      </c>
    </row>
    <row r="142" spans="1:34" customFormat="1" ht="30" hidden="1" x14ac:dyDescent="0.25">
      <c r="A142">
        <v>405</v>
      </c>
      <c r="B142" t="s">
        <v>2751</v>
      </c>
      <c r="C142" t="s">
        <v>950</v>
      </c>
      <c r="D142" t="s">
        <v>7</v>
      </c>
      <c r="E142" t="s">
        <v>1348</v>
      </c>
      <c r="H142">
        <v>1</v>
      </c>
      <c r="I142" s="134">
        <v>0</v>
      </c>
      <c r="K142" t="s">
        <v>2717</v>
      </c>
      <c r="L142" t="s">
        <v>659</v>
      </c>
      <c r="M142">
        <v>6377</v>
      </c>
      <c r="N142" t="s">
        <v>2718</v>
      </c>
      <c r="O142" s="134" t="s">
        <v>950</v>
      </c>
      <c r="P142" t="s">
        <v>2752</v>
      </c>
      <c r="Q142" t="s">
        <v>2717</v>
      </c>
      <c r="R142">
        <v>1600</v>
      </c>
      <c r="S142" t="s">
        <v>1340</v>
      </c>
      <c r="T142" t="s">
        <v>72</v>
      </c>
      <c r="U142" t="s">
        <v>639</v>
      </c>
      <c r="V142" t="s">
        <v>1340</v>
      </c>
      <c r="W142" t="s">
        <v>1342</v>
      </c>
      <c r="X142" t="s">
        <v>1343</v>
      </c>
      <c r="Y142" t="s">
        <v>1328</v>
      </c>
      <c r="Z142" t="s">
        <v>1534</v>
      </c>
      <c r="AA142" t="s">
        <v>2753</v>
      </c>
      <c r="AB142" t="s">
        <v>2546</v>
      </c>
      <c r="AC142" t="s">
        <v>2981</v>
      </c>
      <c r="AD142" s="273" t="s">
        <v>2754</v>
      </c>
      <c r="AE142" s="273" t="s">
        <v>2755</v>
      </c>
      <c r="AF142" t="s">
        <v>1495</v>
      </c>
      <c r="AG142" t="s">
        <v>1488</v>
      </c>
      <c r="AH142" t="s">
        <v>2756</v>
      </c>
    </row>
    <row r="143" spans="1:34" customFormat="1" hidden="1" x14ac:dyDescent="0.25">
      <c r="A143">
        <v>406</v>
      </c>
      <c r="B143" t="s">
        <v>2811</v>
      </c>
      <c r="C143" t="s">
        <v>658</v>
      </c>
      <c r="D143" t="s">
        <v>7</v>
      </c>
      <c r="E143" t="s">
        <v>1385</v>
      </c>
      <c r="F143" t="s">
        <v>3082</v>
      </c>
      <c r="G143" t="s">
        <v>3083</v>
      </c>
      <c r="H143">
        <v>1632216</v>
      </c>
      <c r="I143" s="134">
        <v>0</v>
      </c>
      <c r="K143" t="s">
        <v>2812</v>
      </c>
      <c r="L143" t="s">
        <v>1247</v>
      </c>
      <c r="M143">
        <v>6383</v>
      </c>
      <c r="N143" t="s">
        <v>662</v>
      </c>
      <c r="O143" s="134" t="s">
        <v>658</v>
      </c>
      <c r="P143" t="s">
        <v>994</v>
      </c>
      <c r="Q143" t="s">
        <v>2812</v>
      </c>
      <c r="U143" t="s">
        <v>639</v>
      </c>
      <c r="AB143" t="s">
        <v>2286</v>
      </c>
      <c r="AC143" t="s">
        <v>3056</v>
      </c>
      <c r="AD143" s="273"/>
      <c r="AE143" s="273"/>
    </row>
    <row r="144" spans="1:34" customFormat="1" hidden="1" x14ac:dyDescent="0.25">
      <c r="A144">
        <v>407</v>
      </c>
      <c r="B144" t="s">
        <v>2813</v>
      </c>
      <c r="C144" t="s">
        <v>2177</v>
      </c>
      <c r="D144" t="s">
        <v>7</v>
      </c>
      <c r="E144" t="s">
        <v>1348</v>
      </c>
      <c r="F144" t="s">
        <v>2702</v>
      </c>
      <c r="G144" t="s">
        <v>3088</v>
      </c>
      <c r="H144">
        <v>1540107</v>
      </c>
      <c r="I144" s="134">
        <v>0</v>
      </c>
      <c r="K144" t="s">
        <v>2814</v>
      </c>
      <c r="L144" t="s">
        <v>659</v>
      </c>
      <c r="M144">
        <v>6392</v>
      </c>
      <c r="N144" t="s">
        <v>2177</v>
      </c>
      <c r="O144" s="134" t="s">
        <v>766</v>
      </c>
      <c r="P144" t="s">
        <v>2815</v>
      </c>
      <c r="Q144" t="s">
        <v>2814</v>
      </c>
      <c r="R144" t="s">
        <v>2711</v>
      </c>
      <c r="S144" t="s">
        <v>1388</v>
      </c>
      <c r="T144" t="s">
        <v>1353</v>
      </c>
      <c r="U144" t="s">
        <v>639</v>
      </c>
      <c r="V144" t="s">
        <v>1388</v>
      </c>
      <c r="W144" t="s">
        <v>1354</v>
      </c>
      <c r="X144" t="s">
        <v>1327</v>
      </c>
      <c r="Y144" t="s">
        <v>1389</v>
      </c>
      <c r="Z144" t="s">
        <v>766</v>
      </c>
      <c r="AA144" t="s">
        <v>2816</v>
      </c>
      <c r="AB144" t="s">
        <v>1723</v>
      </c>
      <c r="AC144" t="s">
        <v>9</v>
      </c>
      <c r="AD144" s="273" t="s">
        <v>2817</v>
      </c>
      <c r="AE144" s="273" t="s">
        <v>2818</v>
      </c>
      <c r="AF144" t="s">
        <v>1393</v>
      </c>
      <c r="AH144" t="s">
        <v>2819</v>
      </c>
    </row>
    <row r="145" spans="1:34" customFormat="1" hidden="1" x14ac:dyDescent="0.25">
      <c r="A145">
        <v>408</v>
      </c>
      <c r="B145" t="s">
        <v>2820</v>
      </c>
      <c r="C145" t="s">
        <v>2177</v>
      </c>
      <c r="D145" t="s">
        <v>7</v>
      </c>
      <c r="E145" t="s">
        <v>1348</v>
      </c>
      <c r="F145" t="s">
        <v>2702</v>
      </c>
      <c r="G145" t="s">
        <v>3088</v>
      </c>
      <c r="H145">
        <v>1264272</v>
      </c>
      <c r="I145" s="134">
        <v>0</v>
      </c>
      <c r="K145" t="s">
        <v>2821</v>
      </c>
      <c r="L145" t="s">
        <v>1247</v>
      </c>
      <c r="M145" t="s">
        <v>2702</v>
      </c>
      <c r="N145" t="s">
        <v>766</v>
      </c>
      <c r="O145" s="134" t="s">
        <v>766</v>
      </c>
      <c r="P145" t="s">
        <v>2815</v>
      </c>
      <c r="Q145" t="s">
        <v>2821</v>
      </c>
      <c r="R145">
        <v>1730</v>
      </c>
      <c r="S145" t="s">
        <v>1388</v>
      </c>
      <c r="T145" t="s">
        <v>1353</v>
      </c>
      <c r="U145" t="s">
        <v>639</v>
      </c>
      <c r="V145" t="s">
        <v>1388</v>
      </c>
      <c r="W145" t="s">
        <v>1354</v>
      </c>
      <c r="X145" t="s">
        <v>1327</v>
      </c>
      <c r="Y145" t="s">
        <v>1389</v>
      </c>
      <c r="AB145" t="s">
        <v>1723</v>
      </c>
      <c r="AC145" t="s">
        <v>9</v>
      </c>
      <c r="AD145" s="273" t="s">
        <v>2822</v>
      </c>
      <c r="AE145" s="273" t="s">
        <v>2823</v>
      </c>
      <c r="AF145" t="s">
        <v>2824</v>
      </c>
      <c r="AG145" t="s">
        <v>72</v>
      </c>
      <c r="AH145" t="s">
        <v>2825</v>
      </c>
    </row>
    <row r="146" spans="1:34" customFormat="1" hidden="1" x14ac:dyDescent="0.25">
      <c r="A146">
        <v>409</v>
      </c>
      <c r="B146" t="s">
        <v>2826</v>
      </c>
      <c r="C146" t="s">
        <v>2177</v>
      </c>
      <c r="D146" t="s">
        <v>7</v>
      </c>
      <c r="E146" t="s">
        <v>1348</v>
      </c>
      <c r="F146" t="s">
        <v>2702</v>
      </c>
      <c r="G146" t="s">
        <v>3088</v>
      </c>
      <c r="H146">
        <v>1512128</v>
      </c>
      <c r="I146" s="134">
        <v>0</v>
      </c>
      <c r="K146" t="s">
        <v>2827</v>
      </c>
      <c r="L146" t="s">
        <v>1247</v>
      </c>
      <c r="M146" t="s">
        <v>2702</v>
      </c>
      <c r="N146" t="s">
        <v>2177</v>
      </c>
      <c r="O146" s="134" t="s">
        <v>766</v>
      </c>
      <c r="P146" t="s">
        <v>2815</v>
      </c>
      <c r="Q146" t="s">
        <v>2827</v>
      </c>
      <c r="R146" t="s">
        <v>2828</v>
      </c>
      <c r="S146" t="s">
        <v>1388</v>
      </c>
      <c r="T146" t="s">
        <v>1353</v>
      </c>
      <c r="U146" t="s">
        <v>639</v>
      </c>
      <c r="V146" t="s">
        <v>1388</v>
      </c>
      <c r="W146" t="s">
        <v>1354</v>
      </c>
      <c r="X146" t="s">
        <v>1327</v>
      </c>
      <c r="Y146" t="s">
        <v>1389</v>
      </c>
      <c r="Z146" t="s">
        <v>766</v>
      </c>
      <c r="AA146" t="s">
        <v>2829</v>
      </c>
      <c r="AB146" t="s">
        <v>1723</v>
      </c>
      <c r="AC146" t="s">
        <v>9</v>
      </c>
      <c r="AD146" s="273" t="s">
        <v>2830</v>
      </c>
      <c r="AE146" s="273" t="s">
        <v>2831</v>
      </c>
      <c r="AF146" t="s">
        <v>1358</v>
      </c>
      <c r="AG146" t="s">
        <v>72</v>
      </c>
    </row>
    <row r="147" spans="1:34" customFormat="1" hidden="1" x14ac:dyDescent="0.25">
      <c r="A147">
        <v>412</v>
      </c>
      <c r="B147" t="s">
        <v>2867</v>
      </c>
      <c r="C147" t="s">
        <v>2177</v>
      </c>
      <c r="D147" t="s">
        <v>7</v>
      </c>
      <c r="E147" t="s">
        <v>1348</v>
      </c>
      <c r="F147" t="s">
        <v>2702</v>
      </c>
      <c r="G147" t="s">
        <v>3088</v>
      </c>
      <c r="H147">
        <v>1622726</v>
      </c>
      <c r="I147" s="134">
        <v>0</v>
      </c>
      <c r="K147" t="s">
        <v>2868</v>
      </c>
      <c r="L147" t="s">
        <v>659</v>
      </c>
      <c r="M147" t="s">
        <v>2702</v>
      </c>
      <c r="N147" t="s">
        <v>2177</v>
      </c>
      <c r="O147" s="134" t="s">
        <v>1236</v>
      </c>
      <c r="P147" t="s">
        <v>1275</v>
      </c>
      <c r="Q147" t="s">
        <v>2868</v>
      </c>
      <c r="R147">
        <v>2000</v>
      </c>
      <c r="S147" t="s">
        <v>1388</v>
      </c>
      <c r="T147" t="s">
        <v>1353</v>
      </c>
      <c r="U147" t="s">
        <v>639</v>
      </c>
      <c r="V147" t="s">
        <v>1388</v>
      </c>
      <c r="W147" t="s">
        <v>1354</v>
      </c>
      <c r="X147" t="s">
        <v>1327</v>
      </c>
      <c r="Y147" t="s">
        <v>1802</v>
      </c>
      <c r="Z147" t="s">
        <v>1236</v>
      </c>
      <c r="AA147" t="s">
        <v>2829</v>
      </c>
      <c r="AB147" t="s">
        <v>1723</v>
      </c>
      <c r="AC147" t="s">
        <v>9</v>
      </c>
      <c r="AD147" s="273" t="s">
        <v>2869</v>
      </c>
      <c r="AE147" s="273" t="s">
        <v>23</v>
      </c>
      <c r="AF147" t="s">
        <v>1358</v>
      </c>
      <c r="AG147" t="s">
        <v>1359</v>
      </c>
      <c r="AH147" t="s">
        <v>2870</v>
      </c>
    </row>
    <row r="148" spans="1:34" customFormat="1" ht="30" hidden="1" x14ac:dyDescent="0.25">
      <c r="A148">
        <v>418</v>
      </c>
      <c r="B148" t="s">
        <v>2903</v>
      </c>
      <c r="C148" t="s">
        <v>1838</v>
      </c>
      <c r="D148" t="s">
        <v>7</v>
      </c>
      <c r="E148" t="s">
        <v>1336</v>
      </c>
      <c r="F148" t="s">
        <v>3092</v>
      </c>
      <c r="G148" t="s">
        <v>3093</v>
      </c>
      <c r="H148">
        <v>1660594</v>
      </c>
      <c r="I148" s="134">
        <v>0</v>
      </c>
      <c r="K148" t="s">
        <v>2904</v>
      </c>
      <c r="L148" t="s">
        <v>1153</v>
      </c>
      <c r="M148">
        <v>84826</v>
      </c>
      <c r="N148" t="s">
        <v>1838</v>
      </c>
      <c r="O148" s="134" t="s">
        <v>860</v>
      </c>
      <c r="P148" t="s">
        <v>2905</v>
      </c>
      <c r="Q148" t="s">
        <v>2904</v>
      </c>
      <c r="R148" t="s">
        <v>2906</v>
      </c>
      <c r="S148" t="s">
        <v>1388</v>
      </c>
      <c r="T148" t="s">
        <v>1353</v>
      </c>
      <c r="U148" t="s">
        <v>687</v>
      </c>
      <c r="V148" t="s">
        <v>1388</v>
      </c>
      <c r="W148" t="s">
        <v>1354</v>
      </c>
      <c r="X148" t="s">
        <v>1327</v>
      </c>
      <c r="AB148" t="s">
        <v>1618</v>
      </c>
      <c r="AC148" t="s">
        <v>19</v>
      </c>
      <c r="AD148" s="273"/>
      <c r="AE148" s="273" t="s">
        <v>2907</v>
      </c>
      <c r="AF148" t="s">
        <v>1474</v>
      </c>
      <c r="AG148" t="s">
        <v>1359</v>
      </c>
    </row>
    <row r="149" spans="1:34" customFormat="1" hidden="1" x14ac:dyDescent="0.25">
      <c r="A149">
        <v>419</v>
      </c>
      <c r="B149" t="s">
        <v>2908</v>
      </c>
      <c r="C149" t="s">
        <v>2781</v>
      </c>
      <c r="D149" t="s">
        <v>7</v>
      </c>
      <c r="E149" t="s">
        <v>1319</v>
      </c>
      <c r="F149" t="s">
        <v>3086</v>
      </c>
      <c r="G149" t="s">
        <v>3087</v>
      </c>
      <c r="H149">
        <v>1660978</v>
      </c>
      <c r="I149" s="134">
        <v>0</v>
      </c>
      <c r="K149" t="s">
        <v>2909</v>
      </c>
      <c r="L149" t="s">
        <v>1247</v>
      </c>
      <c r="M149">
        <v>6388</v>
      </c>
      <c r="N149" t="s">
        <v>2910</v>
      </c>
      <c r="O149" s="134" t="s">
        <v>2781</v>
      </c>
      <c r="Q149" t="s">
        <v>2909</v>
      </c>
      <c r="R149">
        <v>1200</v>
      </c>
      <c r="S149" t="s">
        <v>1309</v>
      </c>
      <c r="T149" t="s">
        <v>1353</v>
      </c>
      <c r="U149" t="s">
        <v>687</v>
      </c>
      <c r="V149" t="s">
        <v>1309</v>
      </c>
      <c r="W149" t="s">
        <v>1354</v>
      </c>
      <c r="X149" t="s">
        <v>1327</v>
      </c>
      <c r="Y149" t="s">
        <v>1389</v>
      </c>
      <c r="Z149" t="s">
        <v>3330</v>
      </c>
      <c r="AA149" t="s">
        <v>3331</v>
      </c>
      <c r="AB149" t="s">
        <v>2599</v>
      </c>
      <c r="AC149" t="s">
        <v>3332</v>
      </c>
      <c r="AD149" s="273" t="s">
        <v>2931</v>
      </c>
      <c r="AE149" s="273" t="s">
        <v>23</v>
      </c>
      <c r="AF149" t="s">
        <v>2932</v>
      </c>
      <c r="AG149" t="s">
        <v>1474</v>
      </c>
      <c r="AH149" t="s">
        <v>3333</v>
      </c>
    </row>
    <row r="150" spans="1:34" customFormat="1" hidden="1" x14ac:dyDescent="0.25">
      <c r="A150">
        <v>425</v>
      </c>
      <c r="B150" t="s">
        <v>3132</v>
      </c>
      <c r="C150" t="s">
        <v>3133</v>
      </c>
      <c r="D150" t="s">
        <v>7</v>
      </c>
      <c r="E150" t="s">
        <v>1336</v>
      </c>
      <c r="F150" t="s">
        <v>3134</v>
      </c>
      <c r="G150" t="s">
        <v>3135</v>
      </c>
      <c r="H150">
        <v>1777103</v>
      </c>
      <c r="I150" s="134">
        <v>0</v>
      </c>
      <c r="K150" t="s">
        <v>3136</v>
      </c>
      <c r="L150" t="s">
        <v>659</v>
      </c>
      <c r="M150">
        <v>6424</v>
      </c>
      <c r="N150" t="s">
        <v>892</v>
      </c>
      <c r="O150" s="134" t="s">
        <v>3133</v>
      </c>
      <c r="P150" t="s">
        <v>3137</v>
      </c>
      <c r="Q150" t="s">
        <v>3136</v>
      </c>
      <c r="R150" t="s">
        <v>2025</v>
      </c>
      <c r="S150" t="s">
        <v>1388</v>
      </c>
      <c r="T150" t="s">
        <v>1353</v>
      </c>
      <c r="U150" t="s">
        <v>687</v>
      </c>
      <c r="V150" t="s">
        <v>1388</v>
      </c>
      <c r="W150" t="s">
        <v>1354</v>
      </c>
      <c r="X150" t="s">
        <v>1327</v>
      </c>
      <c r="Y150" t="s">
        <v>1313</v>
      </c>
      <c r="Z150" t="s">
        <v>1913</v>
      </c>
      <c r="AB150" t="s">
        <v>2288</v>
      </c>
      <c r="AC150" t="s">
        <v>18</v>
      </c>
      <c r="AD150" s="273" t="s">
        <v>3197</v>
      </c>
      <c r="AE150" s="273" t="s">
        <v>3198</v>
      </c>
      <c r="AF150" t="s">
        <v>3138</v>
      </c>
      <c r="AH150" t="s">
        <v>3199</v>
      </c>
    </row>
    <row r="151" spans="1:34" customFormat="1" hidden="1" x14ac:dyDescent="0.25">
      <c r="A151">
        <v>432</v>
      </c>
      <c r="B151" t="s">
        <v>3200</v>
      </c>
      <c r="C151" t="s">
        <v>875</v>
      </c>
      <c r="D151" t="s">
        <v>7</v>
      </c>
      <c r="E151" t="s">
        <v>1336</v>
      </c>
      <c r="F151" t="s">
        <v>3201</v>
      </c>
      <c r="G151" t="s">
        <v>3202</v>
      </c>
      <c r="H151">
        <v>12345678</v>
      </c>
      <c r="I151" s="134">
        <v>0</v>
      </c>
      <c r="K151" t="s">
        <v>3203</v>
      </c>
      <c r="L151" t="s">
        <v>659</v>
      </c>
      <c r="M151">
        <v>6402</v>
      </c>
      <c r="O151" s="134" t="s">
        <v>875</v>
      </c>
      <c r="P151" t="s">
        <v>3204</v>
      </c>
      <c r="Q151" t="s">
        <v>3203</v>
      </c>
      <c r="R151" t="s">
        <v>1652</v>
      </c>
      <c r="S151" t="s">
        <v>1388</v>
      </c>
      <c r="T151" t="s">
        <v>72</v>
      </c>
      <c r="U151" t="s">
        <v>639</v>
      </c>
      <c r="V151" t="s">
        <v>1388</v>
      </c>
      <c r="W151" t="s">
        <v>1354</v>
      </c>
      <c r="X151" t="s">
        <v>1327</v>
      </c>
      <c r="Y151" t="s">
        <v>1397</v>
      </c>
      <c r="Z151" t="s">
        <v>3205</v>
      </c>
      <c r="AA151" t="s">
        <v>3206</v>
      </c>
      <c r="AB151" t="s">
        <v>2287</v>
      </c>
      <c r="AC151" t="s">
        <v>17</v>
      </c>
      <c r="AD151" s="273" t="s">
        <v>0</v>
      </c>
      <c r="AE151" s="273" t="s">
        <v>23</v>
      </c>
      <c r="AG151" t="s">
        <v>72</v>
      </c>
    </row>
    <row r="152" spans="1:34" customFormat="1" ht="90" hidden="1" x14ac:dyDescent="0.25">
      <c r="A152">
        <v>436</v>
      </c>
      <c r="B152" t="s">
        <v>3223</v>
      </c>
      <c r="C152" t="s">
        <v>3224</v>
      </c>
      <c r="D152" t="s">
        <v>7</v>
      </c>
      <c r="E152" t="s">
        <v>1348</v>
      </c>
      <c r="F152" t="s">
        <v>3225</v>
      </c>
      <c r="G152" t="s">
        <v>3226</v>
      </c>
      <c r="H152">
        <v>27262329</v>
      </c>
      <c r="I152" s="134">
        <v>0</v>
      </c>
      <c r="K152" t="s">
        <v>3227</v>
      </c>
      <c r="L152" t="s">
        <v>659</v>
      </c>
      <c r="M152">
        <v>6418</v>
      </c>
      <c r="N152" t="s">
        <v>3228</v>
      </c>
      <c r="O152" s="134" t="s">
        <v>3228</v>
      </c>
      <c r="P152" t="s">
        <v>3229</v>
      </c>
      <c r="Q152" t="s">
        <v>3230</v>
      </c>
      <c r="R152" t="s">
        <v>1498</v>
      </c>
      <c r="S152" t="s">
        <v>1645</v>
      </c>
      <c r="T152" t="s">
        <v>72</v>
      </c>
      <c r="U152" t="s">
        <v>639</v>
      </c>
      <c r="V152" t="s">
        <v>1645</v>
      </c>
      <c r="W152" t="s">
        <v>1354</v>
      </c>
      <c r="X152" t="s">
        <v>1327</v>
      </c>
      <c r="Y152" t="s">
        <v>1397</v>
      </c>
      <c r="AA152" t="s">
        <v>3231</v>
      </c>
      <c r="AB152" t="s">
        <v>1563</v>
      </c>
      <c r="AC152" t="s">
        <v>10</v>
      </c>
      <c r="AD152" s="273" t="s">
        <v>3232</v>
      </c>
      <c r="AE152" s="273" t="s">
        <v>3233</v>
      </c>
      <c r="AF152" t="s">
        <v>72</v>
      </c>
    </row>
    <row r="153" spans="1:34" customFormat="1" hidden="1" x14ac:dyDescent="0.25">
      <c r="A153">
        <v>437</v>
      </c>
      <c r="B153" t="s">
        <v>3234</v>
      </c>
      <c r="C153" t="s">
        <v>3224</v>
      </c>
      <c r="D153" t="s">
        <v>7</v>
      </c>
      <c r="E153" t="s">
        <v>1348</v>
      </c>
      <c r="F153" t="s">
        <v>3225</v>
      </c>
      <c r="G153" t="s">
        <v>3226</v>
      </c>
      <c r="H153">
        <v>27262197</v>
      </c>
      <c r="I153" s="134">
        <v>0</v>
      </c>
      <c r="K153" t="s">
        <v>3207</v>
      </c>
      <c r="L153" t="s">
        <v>1247</v>
      </c>
      <c r="M153">
        <v>6418</v>
      </c>
      <c r="N153" t="s">
        <v>3235</v>
      </c>
      <c r="O153" s="134" t="s">
        <v>3235</v>
      </c>
      <c r="P153" t="s">
        <v>3236</v>
      </c>
      <c r="Q153" t="s">
        <v>3207</v>
      </c>
      <c r="U153" t="s">
        <v>639</v>
      </c>
      <c r="AD153" s="273"/>
      <c r="AE153" s="273"/>
    </row>
    <row r="154" spans="1:34" customFormat="1" hidden="1" x14ac:dyDescent="0.25">
      <c r="A154">
        <v>438</v>
      </c>
      <c r="B154" t="s">
        <v>3237</v>
      </c>
      <c r="C154" t="s">
        <v>3224</v>
      </c>
      <c r="D154" t="s">
        <v>7</v>
      </c>
      <c r="E154" t="s">
        <v>1348</v>
      </c>
      <c r="F154" t="s">
        <v>3225</v>
      </c>
      <c r="G154" t="s">
        <v>3226</v>
      </c>
      <c r="H154">
        <v>27262367</v>
      </c>
      <c r="I154" s="134">
        <v>0</v>
      </c>
      <c r="K154" t="s">
        <v>3238</v>
      </c>
      <c r="L154" t="s">
        <v>1247</v>
      </c>
      <c r="M154">
        <v>6418</v>
      </c>
      <c r="N154" t="s">
        <v>3235</v>
      </c>
      <c r="O154" s="134" t="s">
        <v>3235</v>
      </c>
      <c r="P154" t="s">
        <v>3236</v>
      </c>
      <c r="Q154" t="s">
        <v>3238</v>
      </c>
      <c r="U154" t="s">
        <v>639</v>
      </c>
      <c r="AD154" s="273"/>
      <c r="AE154" s="273"/>
    </row>
    <row r="155" spans="1:34" customFormat="1" ht="75" hidden="1" x14ac:dyDescent="0.25">
      <c r="A155">
        <v>446</v>
      </c>
      <c r="B155" t="s">
        <v>3300</v>
      </c>
      <c r="C155" t="s">
        <v>2177</v>
      </c>
      <c r="D155" t="s">
        <v>7</v>
      </c>
      <c r="E155" t="s">
        <v>1385</v>
      </c>
      <c r="F155" t="s">
        <v>3225</v>
      </c>
      <c r="G155" t="s">
        <v>3226</v>
      </c>
      <c r="H155">
        <v>27263081</v>
      </c>
      <c r="I155" s="134">
        <v>0</v>
      </c>
      <c r="K155" t="s">
        <v>3301</v>
      </c>
      <c r="L155" t="s">
        <v>1247</v>
      </c>
      <c r="M155">
        <v>6418</v>
      </c>
      <c r="N155" t="s">
        <v>3228</v>
      </c>
      <c r="O155" s="134" t="s">
        <v>3228</v>
      </c>
      <c r="P155" t="s">
        <v>3302</v>
      </c>
      <c r="Q155" t="s">
        <v>3301</v>
      </c>
      <c r="R155" t="s">
        <v>2906</v>
      </c>
      <c r="S155" t="s">
        <v>1388</v>
      </c>
      <c r="T155" t="s">
        <v>1353</v>
      </c>
      <c r="U155" t="s">
        <v>639</v>
      </c>
      <c r="V155" t="s">
        <v>1388</v>
      </c>
      <c r="W155" t="s">
        <v>1354</v>
      </c>
      <c r="X155" t="s">
        <v>1327</v>
      </c>
      <c r="Y155" t="s">
        <v>1397</v>
      </c>
      <c r="AA155" t="s">
        <v>3303</v>
      </c>
      <c r="AB155" t="s">
        <v>1563</v>
      </c>
      <c r="AC155" t="s">
        <v>10</v>
      </c>
      <c r="AD155" s="273" t="s">
        <v>3304</v>
      </c>
      <c r="AE155" s="273" t="s">
        <v>3305</v>
      </c>
      <c r="AF155" t="s">
        <v>72</v>
      </c>
    </row>
    <row r="156" spans="1:34" customFormat="1" hidden="1" x14ac:dyDescent="0.25">
      <c r="A156">
        <v>448</v>
      </c>
      <c r="B156" t="s">
        <v>3334</v>
      </c>
      <c r="C156" t="s">
        <v>2781</v>
      </c>
      <c r="D156" t="s">
        <v>7</v>
      </c>
      <c r="E156" t="s">
        <v>1319</v>
      </c>
      <c r="F156" t="s">
        <v>3335</v>
      </c>
      <c r="G156" t="s">
        <v>3336</v>
      </c>
      <c r="I156" s="134">
        <v>0</v>
      </c>
      <c r="K156" t="s">
        <v>3337</v>
      </c>
      <c r="L156" t="s">
        <v>1247</v>
      </c>
      <c r="M156">
        <v>6405</v>
      </c>
      <c r="N156" t="s">
        <v>3338</v>
      </c>
      <c r="O156" s="134" t="s">
        <v>2781</v>
      </c>
      <c r="P156" t="s">
        <v>3339</v>
      </c>
      <c r="Q156" t="s">
        <v>3337</v>
      </c>
      <c r="U156" t="s">
        <v>639</v>
      </c>
      <c r="AD156" s="273"/>
      <c r="AE156" s="273"/>
    </row>
    <row r="157" spans="1:34" customFormat="1" hidden="1" x14ac:dyDescent="0.25">
      <c r="A157">
        <v>450</v>
      </c>
      <c r="B157" t="s">
        <v>3340</v>
      </c>
      <c r="C157" t="s">
        <v>3341</v>
      </c>
      <c r="D157" t="s">
        <v>7</v>
      </c>
      <c r="E157" t="s">
        <v>1348</v>
      </c>
      <c r="F157" t="s">
        <v>3342</v>
      </c>
      <c r="G157" t="s">
        <v>3343</v>
      </c>
      <c r="H157" t="s">
        <v>3344</v>
      </c>
      <c r="I157" s="134">
        <v>0</v>
      </c>
      <c r="K157" t="s">
        <v>3345</v>
      </c>
      <c r="L157" t="s">
        <v>1247</v>
      </c>
      <c r="M157">
        <v>6429</v>
      </c>
      <c r="N157" t="s">
        <v>3346</v>
      </c>
      <c r="O157" s="134" t="s">
        <v>3341</v>
      </c>
      <c r="P157" t="s">
        <v>3347</v>
      </c>
      <c r="Q157" t="s">
        <v>3345</v>
      </c>
      <c r="R157">
        <v>1930</v>
      </c>
      <c r="S157" t="s">
        <v>1795</v>
      </c>
      <c r="T157" t="s">
        <v>1353</v>
      </c>
      <c r="U157" t="s">
        <v>687</v>
      </c>
      <c r="V157" t="s">
        <v>1795</v>
      </c>
      <c r="W157" t="s">
        <v>1354</v>
      </c>
      <c r="X157" t="s">
        <v>1327</v>
      </c>
      <c r="Y157" t="s">
        <v>1397</v>
      </c>
      <c r="AB157" t="s">
        <v>1798</v>
      </c>
      <c r="AC157" t="s">
        <v>3041</v>
      </c>
      <c r="AD157" s="273"/>
      <c r="AE157" s="273"/>
    </row>
    <row r="158" spans="1:34" customFormat="1" hidden="1" x14ac:dyDescent="0.25">
      <c r="A158">
        <v>451</v>
      </c>
      <c r="B158" t="s">
        <v>3348</v>
      </c>
      <c r="C158" t="s">
        <v>1037</v>
      </c>
      <c r="D158" t="s">
        <v>7</v>
      </c>
      <c r="E158" t="s">
        <v>1348</v>
      </c>
      <c r="F158" t="s">
        <v>1944</v>
      </c>
      <c r="G158" t="s">
        <v>3059</v>
      </c>
      <c r="I158" s="134">
        <v>0</v>
      </c>
      <c r="K158" t="s">
        <v>3349</v>
      </c>
      <c r="L158" t="s">
        <v>1247</v>
      </c>
      <c r="M158">
        <v>1913</v>
      </c>
      <c r="N158" t="s">
        <v>3346</v>
      </c>
      <c r="O158" s="134" t="s">
        <v>1037</v>
      </c>
      <c r="P158" t="s">
        <v>855</v>
      </c>
      <c r="Q158" t="s">
        <v>3349</v>
      </c>
      <c r="R158">
        <v>1700</v>
      </c>
      <c r="S158" t="s">
        <v>1388</v>
      </c>
      <c r="T158" t="s">
        <v>1353</v>
      </c>
      <c r="U158" t="s">
        <v>687</v>
      </c>
      <c r="V158" t="s">
        <v>1388</v>
      </c>
      <c r="W158" t="s">
        <v>1354</v>
      </c>
      <c r="X158" t="s">
        <v>1365</v>
      </c>
      <c r="Y158" t="s">
        <v>1389</v>
      </c>
      <c r="Z158" t="s">
        <v>3350</v>
      </c>
      <c r="AA158" t="s">
        <v>3351</v>
      </c>
      <c r="AB158" t="s">
        <v>1563</v>
      </c>
      <c r="AC158" t="s">
        <v>10</v>
      </c>
      <c r="AD158" s="273"/>
      <c r="AE158" s="273"/>
      <c r="AF158" t="s">
        <v>1843</v>
      </c>
    </row>
    <row r="159" spans="1:34" x14ac:dyDescent="0.25">
      <c r="I159" s="268"/>
      <c r="O159" s="268"/>
    </row>
    <row r="160" spans="1:34" x14ac:dyDescent="0.25">
      <c r="I160" s="268"/>
      <c r="O160" s="268"/>
    </row>
    <row r="161" spans="9:15" x14ac:dyDescent="0.25">
      <c r="I161" s="268"/>
      <c r="O161" s="268"/>
    </row>
    <row r="162" spans="9:15" x14ac:dyDescent="0.25">
      <c r="I162" s="268"/>
      <c r="O162" s="268"/>
    </row>
    <row r="163" spans="9:15" x14ac:dyDescent="0.25">
      <c r="I163" s="268"/>
      <c r="O163" s="268"/>
    </row>
    <row r="164" spans="9:15" x14ac:dyDescent="0.25">
      <c r="I164" s="268"/>
      <c r="O164" s="268"/>
    </row>
    <row r="165" spans="9:15" x14ac:dyDescent="0.25">
      <c r="I165" s="268"/>
      <c r="O165" s="268"/>
    </row>
    <row r="166" spans="9:15" x14ac:dyDescent="0.25">
      <c r="I166" s="268"/>
      <c r="O166" s="268"/>
    </row>
    <row r="167" spans="9:15" x14ac:dyDescent="0.25">
      <c r="I167" s="268"/>
      <c r="O167" s="268"/>
    </row>
    <row r="168" spans="9:15" x14ac:dyDescent="0.25">
      <c r="I168" s="268"/>
      <c r="O168" s="268"/>
    </row>
    <row r="169" spans="9:15" x14ac:dyDescent="0.25">
      <c r="I169" s="268"/>
      <c r="O169" s="268"/>
    </row>
    <row r="170" spans="9:15" x14ac:dyDescent="0.25">
      <c r="I170" s="268"/>
      <c r="O170" s="268"/>
    </row>
    <row r="171" spans="9:15" x14ac:dyDescent="0.25">
      <c r="I171" s="268"/>
      <c r="O171" s="268"/>
    </row>
    <row r="172" spans="9:15" x14ac:dyDescent="0.25">
      <c r="I172" s="268"/>
      <c r="O172" s="268"/>
    </row>
    <row r="173" spans="9:15" x14ac:dyDescent="0.25">
      <c r="I173" s="268"/>
      <c r="O173" s="268"/>
    </row>
    <row r="174" spans="9:15" x14ac:dyDescent="0.25">
      <c r="I174" s="268"/>
      <c r="O174" s="268"/>
    </row>
    <row r="175" spans="9:15" x14ac:dyDescent="0.25">
      <c r="I175" s="268"/>
      <c r="O175" s="268"/>
    </row>
    <row r="176" spans="9:15" x14ac:dyDescent="0.25">
      <c r="I176" s="268"/>
      <c r="O176" s="268"/>
    </row>
    <row r="177" spans="9:15" x14ac:dyDescent="0.25">
      <c r="I177" s="268"/>
      <c r="O177" s="268"/>
    </row>
    <row r="178" spans="9:15" x14ac:dyDescent="0.25">
      <c r="I178" s="268"/>
      <c r="O178" s="268"/>
    </row>
    <row r="179" spans="9:15" x14ac:dyDescent="0.25">
      <c r="I179" s="268"/>
      <c r="O179" s="268"/>
    </row>
    <row r="180" spans="9:15" x14ac:dyDescent="0.25">
      <c r="I180" s="268"/>
      <c r="O180" s="268"/>
    </row>
    <row r="181" spans="9:15" x14ac:dyDescent="0.25">
      <c r="I181" s="268"/>
      <c r="O181" s="268"/>
    </row>
    <row r="182" spans="9:15" x14ac:dyDescent="0.25">
      <c r="I182" s="268"/>
      <c r="O182" s="268"/>
    </row>
    <row r="183" spans="9:15" x14ac:dyDescent="0.25">
      <c r="I183" s="268"/>
      <c r="O183" s="268"/>
    </row>
    <row r="184" spans="9:15" x14ac:dyDescent="0.25">
      <c r="I184" s="268"/>
      <c r="O184" s="268"/>
    </row>
    <row r="185" spans="9:15" x14ac:dyDescent="0.25">
      <c r="I185" s="268"/>
      <c r="O185" s="268"/>
    </row>
    <row r="186" spans="9:15" x14ac:dyDescent="0.25">
      <c r="I186" s="268"/>
      <c r="O186" s="268"/>
    </row>
    <row r="187" spans="9:15" x14ac:dyDescent="0.25">
      <c r="I187" s="268"/>
      <c r="O187" s="268"/>
    </row>
    <row r="188" spans="9:15" x14ac:dyDescent="0.25">
      <c r="I188" s="268"/>
      <c r="O188" s="268"/>
    </row>
    <row r="189" spans="9:15" x14ac:dyDescent="0.25">
      <c r="I189" s="268"/>
      <c r="O189" s="268"/>
    </row>
    <row r="190" spans="9:15" x14ac:dyDescent="0.25">
      <c r="I190" s="268"/>
      <c r="O190" s="268"/>
    </row>
    <row r="191" spans="9:15" x14ac:dyDescent="0.25">
      <c r="I191" s="268"/>
      <c r="O191" s="268"/>
    </row>
    <row r="192" spans="9:15" x14ac:dyDescent="0.25">
      <c r="I192" s="268"/>
      <c r="O192" s="268"/>
    </row>
    <row r="193" spans="9:15" x14ac:dyDescent="0.25">
      <c r="I193" s="268"/>
      <c r="O193" s="268"/>
    </row>
    <row r="194" spans="9:15" x14ac:dyDescent="0.25">
      <c r="I194" s="268"/>
      <c r="O194" s="268"/>
    </row>
    <row r="195" spans="9:15" x14ac:dyDescent="0.25">
      <c r="I195" s="268"/>
      <c r="O195" s="268"/>
    </row>
    <row r="196" spans="9:15" x14ac:dyDescent="0.25">
      <c r="I196" s="268"/>
      <c r="O196" s="268"/>
    </row>
    <row r="197" spans="9:15" x14ac:dyDescent="0.25">
      <c r="I197" s="268"/>
      <c r="O197" s="268"/>
    </row>
    <row r="198" spans="9:15" x14ac:dyDescent="0.25">
      <c r="I198" s="268"/>
      <c r="O198" s="268"/>
    </row>
    <row r="199" spans="9:15" x14ac:dyDescent="0.25">
      <c r="I199" s="268"/>
      <c r="O199" s="268"/>
    </row>
    <row r="200" spans="9:15" x14ac:dyDescent="0.25">
      <c r="I200" s="268"/>
      <c r="O200" s="268"/>
    </row>
    <row r="201" spans="9:15" x14ac:dyDescent="0.25">
      <c r="I201" s="268"/>
      <c r="O201" s="268"/>
    </row>
    <row r="202" spans="9:15" x14ac:dyDescent="0.25">
      <c r="I202" s="268"/>
      <c r="O202" s="268"/>
    </row>
    <row r="203" spans="9:15" x14ac:dyDescent="0.25">
      <c r="I203" s="268"/>
      <c r="O203" s="268"/>
    </row>
    <row r="204" spans="9:15" x14ac:dyDescent="0.25">
      <c r="I204" s="268"/>
      <c r="O204" s="268"/>
    </row>
    <row r="205" spans="9:15" x14ac:dyDescent="0.25">
      <c r="I205" s="268"/>
      <c r="O205" s="268"/>
    </row>
    <row r="206" spans="9:15" x14ac:dyDescent="0.25">
      <c r="I206" s="268"/>
      <c r="O206" s="268"/>
    </row>
    <row r="207" spans="9:15" x14ac:dyDescent="0.25">
      <c r="I207" s="268"/>
      <c r="O207" s="268"/>
    </row>
    <row r="208" spans="9:15" x14ac:dyDescent="0.25">
      <c r="I208" s="268"/>
      <c r="O208" s="268"/>
    </row>
    <row r="209" spans="9:15" x14ac:dyDescent="0.25">
      <c r="I209" s="268"/>
      <c r="O209" s="268"/>
    </row>
    <row r="210" spans="9:15" x14ac:dyDescent="0.25">
      <c r="I210" s="268"/>
      <c r="O210" s="268"/>
    </row>
    <row r="211" spans="9:15" x14ac:dyDescent="0.25">
      <c r="I211" s="268"/>
      <c r="O211" s="268"/>
    </row>
    <row r="212" spans="9:15" x14ac:dyDescent="0.25">
      <c r="I212" s="268"/>
      <c r="O212" s="268"/>
    </row>
    <row r="213" spans="9:15" x14ac:dyDescent="0.25">
      <c r="I213" s="268"/>
      <c r="O213" s="268"/>
    </row>
    <row r="214" spans="9:15" x14ac:dyDescent="0.25">
      <c r="I214" s="268"/>
      <c r="O214" s="268"/>
    </row>
    <row r="215" spans="9:15" x14ac:dyDescent="0.25">
      <c r="I215" s="268"/>
      <c r="O215" s="268"/>
    </row>
    <row r="216" spans="9:15" x14ac:dyDescent="0.25">
      <c r="I216" s="268"/>
      <c r="O216" s="268"/>
    </row>
    <row r="217" spans="9:15" x14ac:dyDescent="0.25">
      <c r="I217" s="268"/>
      <c r="O217" s="268"/>
    </row>
    <row r="218" spans="9:15" x14ac:dyDescent="0.25">
      <c r="I218" s="268"/>
      <c r="O218" s="268"/>
    </row>
    <row r="219" spans="9:15" x14ac:dyDescent="0.25">
      <c r="I219" s="268"/>
      <c r="O219" s="268"/>
    </row>
    <row r="220" spans="9:15" x14ac:dyDescent="0.25">
      <c r="I220" s="268"/>
      <c r="O220" s="268"/>
    </row>
    <row r="221" spans="9:15" x14ac:dyDescent="0.25">
      <c r="I221" s="268"/>
      <c r="O221" s="268"/>
    </row>
    <row r="222" spans="9:15" x14ac:dyDescent="0.25">
      <c r="I222" s="268"/>
      <c r="O222" s="268"/>
    </row>
    <row r="223" spans="9:15" x14ac:dyDescent="0.25">
      <c r="I223" s="268"/>
      <c r="O223" s="268"/>
    </row>
    <row r="224" spans="9:15" x14ac:dyDescent="0.25">
      <c r="I224" s="268"/>
      <c r="O224" s="268"/>
    </row>
    <row r="225" spans="9:15" x14ac:dyDescent="0.25">
      <c r="I225" s="268"/>
      <c r="O225" s="268"/>
    </row>
    <row r="226" spans="9:15" x14ac:dyDescent="0.25">
      <c r="I226" s="268"/>
      <c r="O226" s="268"/>
    </row>
    <row r="227" spans="9:15" x14ac:dyDescent="0.25">
      <c r="I227" s="268"/>
      <c r="O227" s="268"/>
    </row>
    <row r="228" spans="9:15" x14ac:dyDescent="0.25">
      <c r="I228" s="268"/>
      <c r="O228" s="268"/>
    </row>
    <row r="229" spans="9:15" x14ac:dyDescent="0.25">
      <c r="I229" s="268"/>
      <c r="O229" s="268"/>
    </row>
    <row r="230" spans="9:15" x14ac:dyDescent="0.25">
      <c r="I230" s="268"/>
      <c r="O230" s="268"/>
    </row>
    <row r="231" spans="9:15" x14ac:dyDescent="0.25">
      <c r="I231" s="268"/>
      <c r="O231" s="268"/>
    </row>
    <row r="232" spans="9:15" x14ac:dyDescent="0.25">
      <c r="I232" s="268"/>
      <c r="O232" s="268"/>
    </row>
    <row r="233" spans="9:15" x14ac:dyDescent="0.25">
      <c r="I233" s="268"/>
      <c r="O233" s="268"/>
    </row>
    <row r="234" spans="9:15" x14ac:dyDescent="0.25">
      <c r="I234" s="268"/>
      <c r="O234" s="268"/>
    </row>
    <row r="235" spans="9:15" x14ac:dyDescent="0.25">
      <c r="I235" s="268"/>
      <c r="O235" s="268"/>
    </row>
    <row r="236" spans="9:15" x14ac:dyDescent="0.25">
      <c r="I236" s="268"/>
      <c r="O236" s="268"/>
    </row>
    <row r="237" spans="9:15" x14ac:dyDescent="0.25">
      <c r="I237" s="268"/>
      <c r="O237" s="268"/>
    </row>
    <row r="238" spans="9:15" x14ac:dyDescent="0.25">
      <c r="I238" s="268"/>
      <c r="O238" s="268"/>
    </row>
    <row r="239" spans="9:15" x14ac:dyDescent="0.25">
      <c r="I239" s="268"/>
      <c r="O239" s="268"/>
    </row>
    <row r="240" spans="9:15" x14ac:dyDescent="0.25">
      <c r="I240" s="268"/>
      <c r="O240" s="268"/>
    </row>
    <row r="241" spans="9:15" x14ac:dyDescent="0.25">
      <c r="I241" s="268"/>
      <c r="O241" s="268"/>
    </row>
    <row r="242" spans="9:15" x14ac:dyDescent="0.25">
      <c r="I242" s="268"/>
      <c r="O242" s="268"/>
    </row>
    <row r="243" spans="9:15" x14ac:dyDescent="0.25">
      <c r="I243" s="268"/>
      <c r="O243" s="268"/>
    </row>
    <row r="244" spans="9:15" x14ac:dyDescent="0.25">
      <c r="I244" s="268"/>
      <c r="O244" s="268"/>
    </row>
    <row r="245" spans="9:15" x14ac:dyDescent="0.25">
      <c r="I245" s="268"/>
      <c r="O245" s="268"/>
    </row>
    <row r="246" spans="9:15" x14ac:dyDescent="0.25">
      <c r="I246" s="268"/>
      <c r="O246" s="268"/>
    </row>
    <row r="247" spans="9:15" x14ac:dyDescent="0.25">
      <c r="I247" s="268"/>
      <c r="O247" s="268"/>
    </row>
    <row r="248" spans="9:15" x14ac:dyDescent="0.25">
      <c r="I248" s="268"/>
      <c r="O248" s="268"/>
    </row>
    <row r="249" spans="9:15" x14ac:dyDescent="0.25">
      <c r="I249" s="268"/>
      <c r="O249" s="268"/>
    </row>
    <row r="250" spans="9:15" x14ac:dyDescent="0.25">
      <c r="I250" s="268"/>
      <c r="O250" s="268"/>
    </row>
    <row r="251" spans="9:15" x14ac:dyDescent="0.25">
      <c r="I251" s="268"/>
      <c r="O251" s="268"/>
    </row>
    <row r="252" spans="9:15" x14ac:dyDescent="0.25">
      <c r="I252" s="268"/>
      <c r="O252" s="268"/>
    </row>
    <row r="253" spans="9:15" x14ac:dyDescent="0.25">
      <c r="I253" s="268"/>
      <c r="O253" s="268"/>
    </row>
    <row r="254" spans="9:15" x14ac:dyDescent="0.25">
      <c r="I254" s="268"/>
      <c r="O254" s="268"/>
    </row>
    <row r="255" spans="9:15" x14ac:dyDescent="0.25">
      <c r="I255" s="268"/>
      <c r="O255" s="268"/>
    </row>
    <row r="256" spans="9:15" x14ac:dyDescent="0.25">
      <c r="I256" s="268"/>
      <c r="O256" s="268"/>
    </row>
    <row r="257" spans="9:15" x14ac:dyDescent="0.25">
      <c r="I257" s="268"/>
      <c r="O257" s="268"/>
    </row>
    <row r="258" spans="9:15" x14ac:dyDescent="0.25">
      <c r="I258" s="268"/>
      <c r="O258" s="268"/>
    </row>
    <row r="259" spans="9:15" x14ac:dyDescent="0.25">
      <c r="I259" s="268"/>
      <c r="O259" s="268"/>
    </row>
    <row r="260" spans="9:15" x14ac:dyDescent="0.25">
      <c r="I260" s="268"/>
      <c r="O260" s="268"/>
    </row>
    <row r="261" spans="9:15" x14ac:dyDescent="0.25">
      <c r="I261" s="268"/>
      <c r="O261" s="268"/>
    </row>
    <row r="262" spans="9:15" x14ac:dyDescent="0.25">
      <c r="I262" s="268"/>
      <c r="O262" s="268"/>
    </row>
    <row r="263" spans="9:15" x14ac:dyDescent="0.25">
      <c r="I263" s="268"/>
      <c r="O263" s="268"/>
    </row>
    <row r="264" spans="9:15" x14ac:dyDescent="0.25">
      <c r="I264" s="268"/>
      <c r="O264" s="268"/>
    </row>
    <row r="265" spans="9:15" x14ac:dyDescent="0.25">
      <c r="I265" s="268"/>
      <c r="O265" s="268"/>
    </row>
    <row r="266" spans="9:15" x14ac:dyDescent="0.25">
      <c r="I266" s="268"/>
      <c r="O266" s="268"/>
    </row>
    <row r="267" spans="9:15" x14ac:dyDescent="0.25">
      <c r="I267" s="268"/>
      <c r="O267" s="268"/>
    </row>
    <row r="268" spans="9:15" x14ac:dyDescent="0.25">
      <c r="I268" s="268"/>
      <c r="O268" s="268"/>
    </row>
    <row r="269" spans="9:15" x14ac:dyDescent="0.25">
      <c r="I269" s="268"/>
      <c r="O269" s="268"/>
    </row>
    <row r="270" spans="9:15" x14ac:dyDescent="0.25">
      <c r="I270" s="268"/>
      <c r="O270" s="268"/>
    </row>
    <row r="271" spans="9:15" x14ac:dyDescent="0.25">
      <c r="I271" s="268"/>
      <c r="O271" s="268"/>
    </row>
    <row r="272" spans="9:15" x14ac:dyDescent="0.25">
      <c r="I272" s="268"/>
      <c r="O272" s="268"/>
    </row>
    <row r="273" spans="9:15" x14ac:dyDescent="0.25">
      <c r="I273" s="268"/>
      <c r="O273" s="268"/>
    </row>
    <row r="274" spans="9:15" x14ac:dyDescent="0.25">
      <c r="I274" s="268"/>
      <c r="O274" s="268"/>
    </row>
    <row r="275" spans="9:15" x14ac:dyDescent="0.25">
      <c r="I275" s="268"/>
      <c r="O275" s="268"/>
    </row>
    <row r="276" spans="9:15" x14ac:dyDescent="0.25">
      <c r="I276" s="268"/>
      <c r="O276" s="268"/>
    </row>
    <row r="277" spans="9:15" x14ac:dyDescent="0.25">
      <c r="I277" s="268"/>
      <c r="O277" s="268"/>
    </row>
    <row r="278" spans="9:15" x14ac:dyDescent="0.25">
      <c r="I278" s="268"/>
      <c r="O278" s="268"/>
    </row>
    <row r="279" spans="9:15" x14ac:dyDescent="0.25">
      <c r="I279" s="268"/>
      <c r="O279" s="268"/>
    </row>
    <row r="280" spans="9:15" x14ac:dyDescent="0.25">
      <c r="I280" s="268"/>
      <c r="O280" s="268"/>
    </row>
    <row r="281" spans="9:15" x14ac:dyDescent="0.25">
      <c r="I281" s="268"/>
      <c r="O281" s="268"/>
    </row>
    <row r="282" spans="9:15" x14ac:dyDescent="0.25">
      <c r="I282" s="268"/>
      <c r="O282" s="268"/>
    </row>
    <row r="283" spans="9:15" x14ac:dyDescent="0.25">
      <c r="I283" s="268"/>
      <c r="O283" s="268"/>
    </row>
    <row r="284" spans="9:15" x14ac:dyDescent="0.25">
      <c r="I284" s="268"/>
      <c r="O284" s="268"/>
    </row>
    <row r="285" spans="9:15" x14ac:dyDescent="0.25">
      <c r="I285" s="268"/>
      <c r="O285" s="268"/>
    </row>
    <row r="286" spans="9:15" x14ac:dyDescent="0.25">
      <c r="I286" s="268"/>
      <c r="O286" s="268"/>
    </row>
    <row r="287" spans="9:15" x14ac:dyDescent="0.25">
      <c r="I287" s="268"/>
      <c r="O287" s="268"/>
    </row>
    <row r="288" spans="9:15" x14ac:dyDescent="0.25">
      <c r="I288" s="268"/>
      <c r="O288" s="268"/>
    </row>
    <row r="289" spans="9:15" x14ac:dyDescent="0.25">
      <c r="I289" s="268"/>
      <c r="O289" s="268"/>
    </row>
    <row r="290" spans="9:15" x14ac:dyDescent="0.25">
      <c r="I290" s="268"/>
      <c r="O290" s="268"/>
    </row>
    <row r="291" spans="9:15" x14ac:dyDescent="0.25">
      <c r="I291" s="268"/>
      <c r="O291" s="268"/>
    </row>
    <row r="292" spans="9:15" x14ac:dyDescent="0.25">
      <c r="I292" s="268"/>
      <c r="O292" s="268"/>
    </row>
    <row r="293" spans="9:15" x14ac:dyDescent="0.25">
      <c r="I293" s="268"/>
      <c r="O293" s="268"/>
    </row>
    <row r="294" spans="9:15" x14ac:dyDescent="0.25">
      <c r="I294" s="268"/>
      <c r="O294" s="268"/>
    </row>
    <row r="295" spans="9:15" x14ac:dyDescent="0.25">
      <c r="I295" s="268"/>
      <c r="O295" s="268"/>
    </row>
    <row r="296" spans="9:15" x14ac:dyDescent="0.25">
      <c r="I296" s="268"/>
      <c r="O296" s="268"/>
    </row>
    <row r="297" spans="9:15" x14ac:dyDescent="0.25">
      <c r="I297" s="268"/>
      <c r="O297" s="268"/>
    </row>
    <row r="298" spans="9:15" x14ac:dyDescent="0.25">
      <c r="I298" s="268"/>
      <c r="O298" s="268"/>
    </row>
    <row r="299" spans="9:15" x14ac:dyDescent="0.25">
      <c r="I299" s="268"/>
      <c r="O299" s="268"/>
    </row>
    <row r="300" spans="9:15" x14ac:dyDescent="0.25">
      <c r="I300" s="268"/>
      <c r="O300" s="268"/>
    </row>
    <row r="301" spans="9:15" x14ac:dyDescent="0.25">
      <c r="I301" s="268"/>
      <c r="O301" s="268"/>
    </row>
    <row r="302" spans="9:15" x14ac:dyDescent="0.25">
      <c r="I302" s="268"/>
      <c r="O302" s="268"/>
    </row>
    <row r="303" spans="9:15" x14ac:dyDescent="0.25">
      <c r="I303" s="268"/>
      <c r="O303" s="268"/>
    </row>
    <row r="304" spans="9:15" x14ac:dyDescent="0.25">
      <c r="I304" s="268"/>
      <c r="O304" s="268"/>
    </row>
    <row r="305" spans="9:15" x14ac:dyDescent="0.25">
      <c r="I305" s="268"/>
      <c r="O305" s="268"/>
    </row>
    <row r="306" spans="9:15" x14ac:dyDescent="0.25">
      <c r="I306" s="268"/>
      <c r="O306" s="268"/>
    </row>
    <row r="307" spans="9:15" x14ac:dyDescent="0.25">
      <c r="I307" s="268"/>
      <c r="O307" s="268"/>
    </row>
    <row r="308" spans="9:15" x14ac:dyDescent="0.25">
      <c r="I308" s="268"/>
      <c r="O308" s="268"/>
    </row>
    <row r="309" spans="9:15" x14ac:dyDescent="0.25">
      <c r="I309" s="268"/>
      <c r="O309" s="268"/>
    </row>
    <row r="310" spans="9:15" x14ac:dyDescent="0.25">
      <c r="I310" s="268"/>
      <c r="O310" s="268"/>
    </row>
    <row r="311" spans="9:15" x14ac:dyDescent="0.25">
      <c r="I311" s="268"/>
      <c r="O311" s="268"/>
    </row>
    <row r="312" spans="9:15" x14ac:dyDescent="0.25">
      <c r="I312" s="268"/>
      <c r="O312" s="268"/>
    </row>
    <row r="313" spans="9:15" x14ac:dyDescent="0.25">
      <c r="I313" s="268"/>
      <c r="O313" s="268"/>
    </row>
    <row r="314" spans="9:15" x14ac:dyDescent="0.25">
      <c r="I314" s="268"/>
      <c r="O314" s="268"/>
    </row>
    <row r="315" spans="9:15" x14ac:dyDescent="0.25">
      <c r="I315" s="268"/>
      <c r="O315" s="268"/>
    </row>
    <row r="316" spans="9:15" x14ac:dyDescent="0.25">
      <c r="I316" s="268"/>
      <c r="O316" s="268"/>
    </row>
    <row r="317" spans="9:15" x14ac:dyDescent="0.25">
      <c r="I317" s="268"/>
      <c r="O317" s="268"/>
    </row>
    <row r="318" spans="9:15" x14ac:dyDescent="0.25">
      <c r="I318" s="268"/>
      <c r="O318" s="268"/>
    </row>
    <row r="319" spans="9:15" x14ac:dyDescent="0.25">
      <c r="I319" s="268"/>
      <c r="O319" s="268"/>
    </row>
    <row r="320" spans="9:15" x14ac:dyDescent="0.25">
      <c r="I320" s="268"/>
      <c r="O320" s="268"/>
    </row>
    <row r="321" spans="9:15" x14ac:dyDescent="0.25">
      <c r="I321" s="268"/>
      <c r="O321" s="268"/>
    </row>
    <row r="322" spans="9:15" x14ac:dyDescent="0.25">
      <c r="I322" s="268"/>
      <c r="O322" s="268"/>
    </row>
    <row r="323" spans="9:15" x14ac:dyDescent="0.25">
      <c r="I323" s="268"/>
      <c r="O323" s="268"/>
    </row>
    <row r="324" spans="9:15" x14ac:dyDescent="0.25">
      <c r="I324" s="268"/>
      <c r="O324" s="268"/>
    </row>
    <row r="325" spans="9:15" x14ac:dyDescent="0.25">
      <c r="I325" s="268"/>
      <c r="O325" s="268"/>
    </row>
    <row r="326" spans="9:15" x14ac:dyDescent="0.25">
      <c r="I326" s="268"/>
      <c r="O326" s="268"/>
    </row>
    <row r="327" spans="9:15" x14ac:dyDescent="0.25">
      <c r="I327" s="268"/>
      <c r="O327" s="268"/>
    </row>
    <row r="328" spans="9:15" x14ac:dyDescent="0.25">
      <c r="I328" s="268"/>
      <c r="O328" s="268"/>
    </row>
    <row r="329" spans="9:15" x14ac:dyDescent="0.25">
      <c r="I329" s="268"/>
      <c r="O329" s="268"/>
    </row>
    <row r="330" spans="9:15" x14ac:dyDescent="0.25">
      <c r="I330" s="268"/>
      <c r="O330" s="268"/>
    </row>
    <row r="331" spans="9:15" x14ac:dyDescent="0.25">
      <c r="I331" s="268"/>
      <c r="O331" s="268"/>
    </row>
    <row r="332" spans="9:15" x14ac:dyDescent="0.25">
      <c r="I332" s="268"/>
      <c r="O332" s="268"/>
    </row>
    <row r="333" spans="9:15" x14ac:dyDescent="0.25">
      <c r="I333" s="268"/>
      <c r="O333" s="268"/>
    </row>
    <row r="334" spans="9:15" x14ac:dyDescent="0.25">
      <c r="I334" s="268"/>
      <c r="O334" s="268"/>
    </row>
    <row r="335" spans="9:15" x14ac:dyDescent="0.25">
      <c r="I335" s="268"/>
      <c r="O335" s="268"/>
    </row>
    <row r="336" spans="9:15" x14ac:dyDescent="0.25">
      <c r="I336" s="268"/>
      <c r="O336" s="268"/>
    </row>
    <row r="337" spans="9:15" x14ac:dyDescent="0.25">
      <c r="I337" s="268"/>
      <c r="O337" s="268"/>
    </row>
    <row r="338" spans="9:15" x14ac:dyDescent="0.25">
      <c r="I338" s="268"/>
      <c r="O338" s="268"/>
    </row>
    <row r="339" spans="9:15" x14ac:dyDescent="0.25">
      <c r="I339" s="268"/>
      <c r="O339" s="268"/>
    </row>
    <row r="340" spans="9:15" x14ac:dyDescent="0.25">
      <c r="I340" s="268"/>
      <c r="O340" s="268"/>
    </row>
    <row r="341" spans="9:15" x14ac:dyDescent="0.25">
      <c r="I341" s="268"/>
      <c r="O341" s="268"/>
    </row>
    <row r="342" spans="9:15" x14ac:dyDescent="0.25">
      <c r="I342" s="268"/>
      <c r="O342" s="268"/>
    </row>
    <row r="343" spans="9:15" x14ac:dyDescent="0.25">
      <c r="I343" s="268"/>
      <c r="O343" s="268"/>
    </row>
    <row r="344" spans="9:15" x14ac:dyDescent="0.25">
      <c r="I344" s="268"/>
      <c r="O344" s="268"/>
    </row>
    <row r="345" spans="9:15" x14ac:dyDescent="0.25">
      <c r="I345" s="268"/>
      <c r="O345" s="268"/>
    </row>
    <row r="346" spans="9:15" x14ac:dyDescent="0.25">
      <c r="I346" s="268"/>
      <c r="O346" s="268"/>
    </row>
    <row r="347" spans="9:15" x14ac:dyDescent="0.25">
      <c r="I347" s="268"/>
      <c r="O347" s="268"/>
    </row>
    <row r="348" spans="9:15" x14ac:dyDescent="0.25">
      <c r="I348" s="268"/>
      <c r="O348" s="268"/>
    </row>
    <row r="349" spans="9:15" x14ac:dyDescent="0.25">
      <c r="I349" s="268"/>
      <c r="O349" s="268"/>
    </row>
    <row r="350" spans="9:15" x14ac:dyDescent="0.25">
      <c r="I350" s="268"/>
      <c r="O350" s="268"/>
    </row>
    <row r="351" spans="9:15" x14ac:dyDescent="0.25">
      <c r="I351" s="268"/>
      <c r="O351" s="268"/>
    </row>
    <row r="352" spans="9:15" x14ac:dyDescent="0.25">
      <c r="I352" s="268"/>
      <c r="O352" s="268"/>
    </row>
    <row r="353" spans="9:15" x14ac:dyDescent="0.25">
      <c r="I353" s="268"/>
      <c r="O353" s="268"/>
    </row>
    <row r="354" spans="9:15" x14ac:dyDescent="0.25">
      <c r="I354" s="268"/>
      <c r="O354" s="268"/>
    </row>
    <row r="355" spans="9:15" x14ac:dyDescent="0.25">
      <c r="I355" s="268"/>
      <c r="O355" s="268"/>
    </row>
    <row r="356" spans="9:15" x14ac:dyDescent="0.25">
      <c r="I356" s="268"/>
      <c r="O356" s="268"/>
    </row>
    <row r="357" spans="9:15" x14ac:dyDescent="0.25">
      <c r="I357" s="268"/>
      <c r="O357" s="268"/>
    </row>
    <row r="358" spans="9:15" x14ac:dyDescent="0.25">
      <c r="I358" s="268"/>
      <c r="O358" s="268"/>
    </row>
    <row r="359" spans="9:15" x14ac:dyDescent="0.25">
      <c r="I359" s="268"/>
      <c r="O359" s="268"/>
    </row>
    <row r="360" spans="9:15" x14ac:dyDescent="0.25">
      <c r="I360" s="268"/>
      <c r="O360" s="268"/>
    </row>
    <row r="361" spans="9:15" x14ac:dyDescent="0.25">
      <c r="I361" s="268"/>
      <c r="O361" s="268"/>
    </row>
    <row r="362" spans="9:15" x14ac:dyDescent="0.25">
      <c r="I362" s="268"/>
      <c r="O362" s="268"/>
    </row>
    <row r="363" spans="9:15" x14ac:dyDescent="0.25">
      <c r="I363" s="268"/>
      <c r="O363" s="268"/>
    </row>
    <row r="364" spans="9:15" x14ac:dyDescent="0.25">
      <c r="I364" s="268"/>
      <c r="O364" s="268"/>
    </row>
    <row r="365" spans="9:15" x14ac:dyDescent="0.25">
      <c r="I365" s="268"/>
      <c r="O365" s="268"/>
    </row>
    <row r="366" spans="9:15" x14ac:dyDescent="0.25">
      <c r="I366" s="268"/>
      <c r="O366" s="268"/>
    </row>
    <row r="367" spans="9:15" x14ac:dyDescent="0.25">
      <c r="I367" s="268"/>
      <c r="O367" s="268"/>
    </row>
    <row r="368" spans="9:15" x14ac:dyDescent="0.25">
      <c r="I368" s="268"/>
      <c r="O368" s="268"/>
    </row>
    <row r="369" spans="9:15" x14ac:dyDescent="0.25">
      <c r="I369" s="268"/>
      <c r="O369" s="268"/>
    </row>
    <row r="370" spans="9:15" x14ac:dyDescent="0.25">
      <c r="I370" s="268"/>
      <c r="O370" s="268"/>
    </row>
    <row r="371" spans="9:15" x14ac:dyDescent="0.25">
      <c r="I371" s="268"/>
      <c r="O371" s="268"/>
    </row>
    <row r="372" spans="9:15" x14ac:dyDescent="0.25">
      <c r="I372" s="268"/>
      <c r="O372" s="268"/>
    </row>
    <row r="373" spans="9:15" x14ac:dyDescent="0.25">
      <c r="I373" s="268"/>
      <c r="O373" s="268"/>
    </row>
    <row r="374" spans="9:15" x14ac:dyDescent="0.25">
      <c r="I374" s="268"/>
      <c r="O374" s="268"/>
    </row>
    <row r="375" spans="9:15" x14ac:dyDescent="0.25">
      <c r="I375" s="268"/>
      <c r="O375" s="268"/>
    </row>
    <row r="376" spans="9:15" x14ac:dyDescent="0.25">
      <c r="I376" s="268"/>
      <c r="O376" s="268"/>
    </row>
    <row r="377" spans="9:15" x14ac:dyDescent="0.25">
      <c r="I377" s="268"/>
      <c r="O377" s="268"/>
    </row>
    <row r="378" spans="9:15" x14ac:dyDescent="0.25">
      <c r="I378" s="268"/>
      <c r="O378" s="268"/>
    </row>
    <row r="379" spans="9:15" x14ac:dyDescent="0.25">
      <c r="I379" s="268"/>
      <c r="O379" s="268"/>
    </row>
    <row r="380" spans="9:15" x14ac:dyDescent="0.25">
      <c r="I380" s="268"/>
      <c r="O380" s="268"/>
    </row>
    <row r="381" spans="9:15" x14ac:dyDescent="0.25">
      <c r="I381" s="268"/>
      <c r="O381" s="268"/>
    </row>
    <row r="382" spans="9:15" x14ac:dyDescent="0.25">
      <c r="I382" s="268"/>
      <c r="O382" s="268"/>
    </row>
    <row r="383" spans="9:15" x14ac:dyDescent="0.25">
      <c r="I383" s="268"/>
      <c r="O383" s="268"/>
    </row>
    <row r="384" spans="9:15" x14ac:dyDescent="0.25">
      <c r="I384" s="268"/>
      <c r="O384" s="268"/>
    </row>
    <row r="385" spans="9:15" x14ac:dyDescent="0.25">
      <c r="I385" s="268"/>
      <c r="O385" s="268"/>
    </row>
    <row r="386" spans="9:15" x14ac:dyDescent="0.25">
      <c r="I386" s="268"/>
      <c r="O386" s="268"/>
    </row>
    <row r="387" spans="9:15" x14ac:dyDescent="0.25">
      <c r="I387" s="268"/>
      <c r="O387" s="268"/>
    </row>
    <row r="388" spans="9:15" x14ac:dyDescent="0.25">
      <c r="I388" s="268"/>
      <c r="O388" s="268"/>
    </row>
    <row r="389" spans="9:15" x14ac:dyDescent="0.25">
      <c r="I389" s="268"/>
      <c r="O389" s="268"/>
    </row>
    <row r="390" spans="9:15" x14ac:dyDescent="0.25">
      <c r="I390" s="268"/>
      <c r="O390" s="268"/>
    </row>
    <row r="391" spans="9:15" x14ac:dyDescent="0.25">
      <c r="I391" s="268"/>
      <c r="O391" s="268"/>
    </row>
    <row r="392" spans="9:15" x14ac:dyDescent="0.25">
      <c r="I392" s="268"/>
      <c r="O392" s="268"/>
    </row>
    <row r="393" spans="9:15" x14ac:dyDescent="0.25">
      <c r="I393" s="268"/>
      <c r="O393" s="268"/>
    </row>
    <row r="394" spans="9:15" x14ac:dyDescent="0.25">
      <c r="I394" s="268"/>
      <c r="O394" s="268"/>
    </row>
    <row r="395" spans="9:15" x14ac:dyDescent="0.25">
      <c r="I395" s="268"/>
      <c r="O395" s="268"/>
    </row>
    <row r="396" spans="9:15" x14ac:dyDescent="0.25">
      <c r="I396" s="268"/>
      <c r="O396" s="268"/>
    </row>
    <row r="397" spans="9:15" x14ac:dyDescent="0.25">
      <c r="I397" s="268"/>
      <c r="O397" s="268"/>
    </row>
    <row r="398" spans="9:15" x14ac:dyDescent="0.25">
      <c r="I398" s="268"/>
      <c r="O398" s="268"/>
    </row>
    <row r="399" spans="9:15" x14ac:dyDescent="0.25">
      <c r="I399" s="268"/>
      <c r="O399" s="268"/>
    </row>
    <row r="400" spans="9:15" x14ac:dyDescent="0.25">
      <c r="I400" s="268"/>
      <c r="O400" s="268"/>
    </row>
    <row r="401" spans="9:15" x14ac:dyDescent="0.25">
      <c r="I401" s="268"/>
      <c r="O401" s="268"/>
    </row>
    <row r="402" spans="9:15" x14ac:dyDescent="0.25">
      <c r="I402" s="268"/>
      <c r="O402" s="268"/>
    </row>
    <row r="403" spans="9:15" x14ac:dyDescent="0.25">
      <c r="I403" s="268"/>
      <c r="O403" s="268"/>
    </row>
    <row r="404" spans="9:15" x14ac:dyDescent="0.25">
      <c r="I404" s="268"/>
      <c r="O404" s="268"/>
    </row>
    <row r="405" spans="9:15" x14ac:dyDescent="0.25">
      <c r="I405" s="268"/>
      <c r="O405" s="268"/>
    </row>
    <row r="406" spans="9:15" x14ac:dyDescent="0.25">
      <c r="I406" s="268"/>
      <c r="O406" s="268"/>
    </row>
    <row r="407" spans="9:15" x14ac:dyDescent="0.25">
      <c r="I407" s="268"/>
      <c r="O407" s="268"/>
    </row>
    <row r="408" spans="9:15" x14ac:dyDescent="0.25">
      <c r="I408" s="268"/>
      <c r="O408" s="268"/>
    </row>
    <row r="409" spans="9:15" x14ac:dyDescent="0.25">
      <c r="I409" s="268"/>
      <c r="O409" s="268"/>
    </row>
    <row r="410" spans="9:15" x14ac:dyDescent="0.25">
      <c r="I410" s="268"/>
      <c r="O410" s="268"/>
    </row>
    <row r="411" spans="9:15" x14ac:dyDescent="0.25">
      <c r="I411" s="268"/>
      <c r="O411" s="268"/>
    </row>
    <row r="412" spans="9:15" x14ac:dyDescent="0.25">
      <c r="I412" s="268"/>
      <c r="O412" s="268"/>
    </row>
    <row r="413" spans="9:15" x14ac:dyDescent="0.25">
      <c r="I413" s="268"/>
      <c r="O413" s="268"/>
    </row>
    <row r="414" spans="9:15" x14ac:dyDescent="0.25">
      <c r="I414" s="268"/>
      <c r="O414" s="268"/>
    </row>
    <row r="415" spans="9:15" x14ac:dyDescent="0.25">
      <c r="I415" s="268"/>
      <c r="O415" s="268"/>
    </row>
    <row r="416" spans="9:15" x14ac:dyDescent="0.25">
      <c r="I416" s="268"/>
      <c r="O416" s="268"/>
    </row>
    <row r="417" spans="9:15" x14ac:dyDescent="0.25">
      <c r="I417" s="268"/>
      <c r="O417" s="268"/>
    </row>
    <row r="418" spans="9:15" x14ac:dyDescent="0.25">
      <c r="I418" s="268"/>
      <c r="O418" s="268"/>
    </row>
    <row r="419" spans="9:15" x14ac:dyDescent="0.25">
      <c r="I419" s="268"/>
      <c r="O419" s="268"/>
    </row>
    <row r="420" spans="9:15" x14ac:dyDescent="0.25">
      <c r="I420" s="268"/>
      <c r="O420" s="268"/>
    </row>
    <row r="421" spans="9:15" x14ac:dyDescent="0.25">
      <c r="I421" s="268"/>
      <c r="O421" s="268"/>
    </row>
    <row r="422" spans="9:15" x14ac:dyDescent="0.25">
      <c r="I422" s="268"/>
      <c r="O422" s="268"/>
    </row>
    <row r="423" spans="9:15" x14ac:dyDescent="0.25">
      <c r="I423" s="268"/>
      <c r="O423" s="268"/>
    </row>
    <row r="424" spans="9:15" x14ac:dyDescent="0.25">
      <c r="I424" s="268"/>
      <c r="O424" s="268"/>
    </row>
    <row r="425" spans="9:15" x14ac:dyDescent="0.25">
      <c r="I425" s="268"/>
      <c r="O425" s="268"/>
    </row>
    <row r="426" spans="9:15" x14ac:dyDescent="0.25">
      <c r="I426" s="268"/>
      <c r="O426" s="268"/>
    </row>
    <row r="427" spans="9:15" x14ac:dyDescent="0.25">
      <c r="I427" s="268"/>
      <c r="O427" s="268"/>
    </row>
    <row r="428" spans="9:15" x14ac:dyDescent="0.25">
      <c r="I428" s="268"/>
      <c r="O428" s="268"/>
    </row>
    <row r="429" spans="9:15" x14ac:dyDescent="0.25">
      <c r="I429" s="268"/>
      <c r="O429" s="268"/>
    </row>
    <row r="430" spans="9:15" x14ac:dyDescent="0.25">
      <c r="I430" s="268"/>
      <c r="O430" s="268"/>
    </row>
    <row r="431" spans="9:15" x14ac:dyDescent="0.25">
      <c r="I431" s="268"/>
      <c r="O431" s="268"/>
    </row>
    <row r="432" spans="9:15" x14ac:dyDescent="0.25">
      <c r="I432" s="268"/>
      <c r="O432" s="268"/>
    </row>
    <row r="433" spans="9:15" x14ac:dyDescent="0.25">
      <c r="I433" s="268"/>
      <c r="O433" s="268"/>
    </row>
    <row r="434" spans="9:15" x14ac:dyDescent="0.25">
      <c r="I434" s="268"/>
      <c r="O434" s="268"/>
    </row>
    <row r="435" spans="9:15" x14ac:dyDescent="0.25">
      <c r="I435" s="268"/>
      <c r="O435" s="268"/>
    </row>
    <row r="436" spans="9:15" x14ac:dyDescent="0.25">
      <c r="I436" s="268"/>
      <c r="O436" s="268"/>
    </row>
    <row r="437" spans="9:15" x14ac:dyDescent="0.25">
      <c r="I437" s="268"/>
      <c r="O437" s="268"/>
    </row>
    <row r="438" spans="9:15" x14ac:dyDescent="0.25">
      <c r="I438" s="268"/>
      <c r="O438" s="268"/>
    </row>
    <row r="439" spans="9:15" x14ac:dyDescent="0.25">
      <c r="I439" s="268"/>
      <c r="O439" s="268"/>
    </row>
    <row r="440" spans="9:15" x14ac:dyDescent="0.25">
      <c r="I440" s="268"/>
      <c r="O440" s="268"/>
    </row>
    <row r="441" spans="9:15" x14ac:dyDescent="0.25">
      <c r="I441" s="268"/>
      <c r="O441" s="268"/>
    </row>
    <row r="442" spans="9:15" x14ac:dyDescent="0.25">
      <c r="I442" s="268"/>
      <c r="O442" s="268"/>
    </row>
    <row r="443" spans="9:15" x14ac:dyDescent="0.25">
      <c r="I443" s="268"/>
      <c r="O443" s="268"/>
    </row>
    <row r="444" spans="9:15" x14ac:dyDescent="0.25">
      <c r="I444" s="268"/>
      <c r="O444" s="268"/>
    </row>
    <row r="445" spans="9:15" x14ac:dyDescent="0.25">
      <c r="I445" s="268"/>
      <c r="O445" s="268"/>
    </row>
    <row r="446" spans="9:15" x14ac:dyDescent="0.25">
      <c r="I446" s="268"/>
      <c r="O446" s="268"/>
    </row>
    <row r="447" spans="9:15" x14ac:dyDescent="0.25">
      <c r="I447" s="268"/>
      <c r="O447" s="268"/>
    </row>
    <row r="448" spans="9:15" x14ac:dyDescent="0.25">
      <c r="I448" s="268"/>
      <c r="O448" s="268"/>
    </row>
    <row r="449" spans="9:15" x14ac:dyDescent="0.25">
      <c r="I449" s="268"/>
      <c r="O449" s="268"/>
    </row>
    <row r="450" spans="9:15" x14ac:dyDescent="0.25">
      <c r="I450" s="268"/>
      <c r="O450" s="268"/>
    </row>
    <row r="451" spans="9:15" x14ac:dyDescent="0.25">
      <c r="I451" s="268"/>
      <c r="O451" s="268"/>
    </row>
    <row r="452" spans="9:15" x14ac:dyDescent="0.25">
      <c r="I452" s="268"/>
      <c r="O452" s="268"/>
    </row>
    <row r="453" spans="9:15" x14ac:dyDescent="0.25">
      <c r="I453" s="268"/>
      <c r="O453" s="268"/>
    </row>
    <row r="454" spans="9:15" x14ac:dyDescent="0.25">
      <c r="I454" s="268"/>
      <c r="O454" s="268"/>
    </row>
    <row r="455" spans="9:15" x14ac:dyDescent="0.25">
      <c r="I455" s="268"/>
      <c r="O455" s="268"/>
    </row>
    <row r="456" spans="9:15" x14ac:dyDescent="0.25">
      <c r="I456" s="268"/>
      <c r="O456" s="268"/>
    </row>
    <row r="457" spans="9:15" x14ac:dyDescent="0.25">
      <c r="I457" s="268"/>
      <c r="O457" s="268"/>
    </row>
    <row r="458" spans="9:15" x14ac:dyDescent="0.25">
      <c r="I458" s="268"/>
      <c r="O458" s="268"/>
    </row>
    <row r="459" spans="9:15" x14ac:dyDescent="0.25">
      <c r="I459" s="268"/>
      <c r="O459" s="268"/>
    </row>
    <row r="460" spans="9:15" x14ac:dyDescent="0.25">
      <c r="I460" s="268"/>
      <c r="O460" s="268"/>
    </row>
    <row r="461" spans="9:15" x14ac:dyDescent="0.25">
      <c r="I461" s="268"/>
      <c r="O461" s="268"/>
    </row>
    <row r="462" spans="9:15" x14ac:dyDescent="0.25">
      <c r="I462" s="268"/>
      <c r="O462" s="268"/>
    </row>
    <row r="463" spans="9:15" x14ac:dyDescent="0.25">
      <c r="I463" s="268"/>
      <c r="O463" s="268"/>
    </row>
    <row r="464" spans="9:15" x14ac:dyDescent="0.25">
      <c r="I464" s="268"/>
      <c r="O464" s="268"/>
    </row>
    <row r="465" spans="9:15" x14ac:dyDescent="0.25">
      <c r="I465" s="268"/>
      <c r="O465" s="268"/>
    </row>
    <row r="466" spans="9:15" x14ac:dyDescent="0.25">
      <c r="I466" s="268"/>
      <c r="O466" s="268"/>
    </row>
    <row r="467" spans="9:15" x14ac:dyDescent="0.25">
      <c r="I467" s="268"/>
      <c r="O467" s="268"/>
    </row>
    <row r="468" spans="9:15" x14ac:dyDescent="0.25">
      <c r="I468" s="268"/>
      <c r="O468" s="268"/>
    </row>
    <row r="469" spans="9:15" x14ac:dyDescent="0.25">
      <c r="I469" s="268"/>
      <c r="O469" s="268"/>
    </row>
    <row r="470" spans="9:15" x14ac:dyDescent="0.25">
      <c r="I470" s="268"/>
      <c r="O470" s="268"/>
    </row>
    <row r="471" spans="9:15" x14ac:dyDescent="0.25">
      <c r="I471" s="268"/>
      <c r="O471" s="268"/>
    </row>
    <row r="472" spans="9:15" x14ac:dyDescent="0.25">
      <c r="I472" s="268"/>
      <c r="O472" s="268"/>
    </row>
    <row r="473" spans="9:15" x14ac:dyDescent="0.25">
      <c r="I473" s="268"/>
      <c r="O473" s="268"/>
    </row>
    <row r="474" spans="9:15" x14ac:dyDescent="0.25">
      <c r="I474" s="268"/>
      <c r="O474" s="268"/>
    </row>
    <row r="475" spans="9:15" x14ac:dyDescent="0.25">
      <c r="I475" s="268"/>
      <c r="O475" s="268"/>
    </row>
    <row r="476" spans="9:15" x14ac:dyDescent="0.25">
      <c r="I476" s="268"/>
      <c r="O476" s="268"/>
    </row>
    <row r="477" spans="9:15" x14ac:dyDescent="0.25">
      <c r="I477" s="268"/>
      <c r="O477" s="268"/>
    </row>
    <row r="478" spans="9:15" x14ac:dyDescent="0.25">
      <c r="I478" s="268"/>
      <c r="O478" s="268"/>
    </row>
    <row r="479" spans="9:15" x14ac:dyDescent="0.25">
      <c r="I479" s="268"/>
      <c r="O479" s="268"/>
    </row>
    <row r="480" spans="9:15" x14ac:dyDescent="0.25">
      <c r="I480" s="268"/>
      <c r="O480" s="268"/>
    </row>
    <row r="481" spans="9:15" x14ac:dyDescent="0.25">
      <c r="I481" s="268"/>
      <c r="O481" s="268"/>
    </row>
    <row r="482" spans="9:15" x14ac:dyDescent="0.25">
      <c r="I482" s="268"/>
      <c r="O482" s="268"/>
    </row>
    <row r="483" spans="9:15" x14ac:dyDescent="0.25">
      <c r="I483" s="268"/>
      <c r="O483" s="268"/>
    </row>
    <row r="484" spans="9:15" x14ac:dyDescent="0.25">
      <c r="I484" s="268"/>
      <c r="O484" s="268"/>
    </row>
    <row r="485" spans="9:15" x14ac:dyDescent="0.25">
      <c r="I485" s="268"/>
      <c r="O485" s="268"/>
    </row>
    <row r="486" spans="9:15" x14ac:dyDescent="0.25">
      <c r="I486" s="268"/>
      <c r="O486" s="268"/>
    </row>
    <row r="487" spans="9:15" x14ac:dyDescent="0.25">
      <c r="I487" s="268"/>
      <c r="O487" s="268"/>
    </row>
    <row r="488" spans="9:15" x14ac:dyDescent="0.25">
      <c r="I488" s="268"/>
      <c r="O488" s="268"/>
    </row>
    <row r="489" spans="9:15" x14ac:dyDescent="0.25">
      <c r="I489" s="268"/>
      <c r="O489" s="268"/>
    </row>
    <row r="490" spans="9:15" x14ac:dyDescent="0.25">
      <c r="I490" s="268"/>
      <c r="O490" s="268"/>
    </row>
    <row r="491" spans="9:15" x14ac:dyDescent="0.25">
      <c r="I491" s="268"/>
      <c r="O491" s="268"/>
    </row>
    <row r="492" spans="9:15" x14ac:dyDescent="0.25">
      <c r="I492" s="268"/>
      <c r="O492" s="268"/>
    </row>
    <row r="493" spans="9:15" x14ac:dyDescent="0.25">
      <c r="I493" s="268"/>
      <c r="O493" s="268"/>
    </row>
    <row r="494" spans="9:15" x14ac:dyDescent="0.25">
      <c r="I494" s="268"/>
      <c r="O494" s="268"/>
    </row>
    <row r="495" spans="9:15" x14ac:dyDescent="0.25">
      <c r="I495" s="268"/>
      <c r="O495" s="268"/>
    </row>
    <row r="496" spans="9:15" x14ac:dyDescent="0.25">
      <c r="I496" s="268"/>
      <c r="O496" s="268"/>
    </row>
    <row r="497" spans="9:15" x14ac:dyDescent="0.25">
      <c r="I497" s="268"/>
      <c r="O497" s="268"/>
    </row>
    <row r="498" spans="9:15" x14ac:dyDescent="0.25">
      <c r="I498" s="268"/>
      <c r="O498" s="268"/>
    </row>
    <row r="499" spans="9:15" x14ac:dyDescent="0.25">
      <c r="I499" s="268"/>
      <c r="O499" s="268"/>
    </row>
    <row r="500" spans="9:15" x14ac:dyDescent="0.25">
      <c r="I500" s="268"/>
      <c r="O500" s="268"/>
    </row>
    <row r="501" spans="9:15" x14ac:dyDescent="0.25">
      <c r="I501" s="268"/>
      <c r="O501" s="268"/>
    </row>
    <row r="502" spans="9:15" x14ac:dyDescent="0.25">
      <c r="I502" s="268"/>
      <c r="O502" s="268"/>
    </row>
    <row r="503" spans="9:15" x14ac:dyDescent="0.25">
      <c r="I503" s="268"/>
      <c r="O503" s="268"/>
    </row>
    <row r="504" spans="9:15" x14ac:dyDescent="0.25">
      <c r="I504" s="268"/>
      <c r="O504" s="268"/>
    </row>
    <row r="505" spans="9:15" x14ac:dyDescent="0.25">
      <c r="I505" s="268"/>
      <c r="O505" s="268"/>
    </row>
    <row r="506" spans="9:15" x14ac:dyDescent="0.25">
      <c r="I506" s="268"/>
      <c r="O506" s="268"/>
    </row>
    <row r="507" spans="9:15" x14ac:dyDescent="0.25">
      <c r="I507" s="268"/>
      <c r="O507" s="268"/>
    </row>
    <row r="508" spans="9:15" x14ac:dyDescent="0.25">
      <c r="I508" s="268"/>
      <c r="O508" s="268"/>
    </row>
    <row r="509" spans="9:15" x14ac:dyDescent="0.25">
      <c r="I509" s="268"/>
      <c r="O509" s="268"/>
    </row>
    <row r="510" spans="9:15" x14ac:dyDescent="0.25">
      <c r="I510" s="268"/>
      <c r="O510" s="268"/>
    </row>
    <row r="511" spans="9:15" x14ac:dyDescent="0.25">
      <c r="I511" s="268"/>
      <c r="O511" s="268"/>
    </row>
    <row r="512" spans="9:15" x14ac:dyDescent="0.25">
      <c r="I512" s="268"/>
      <c r="O512" s="268"/>
    </row>
    <row r="513" spans="9:15" x14ac:dyDescent="0.25">
      <c r="I513" s="268"/>
      <c r="O513" s="268"/>
    </row>
    <row r="514" spans="9:15" x14ac:dyDescent="0.25">
      <c r="I514" s="268"/>
      <c r="O514" s="268"/>
    </row>
    <row r="515" spans="9:15" x14ac:dyDescent="0.25">
      <c r="I515" s="268"/>
      <c r="O515" s="268"/>
    </row>
    <row r="516" spans="9:15" x14ac:dyDescent="0.25">
      <c r="I516" s="268"/>
      <c r="O516" s="268"/>
    </row>
    <row r="517" spans="9:15" x14ac:dyDescent="0.25">
      <c r="I517" s="268"/>
      <c r="O517" s="268"/>
    </row>
    <row r="518" spans="9:15" x14ac:dyDescent="0.25">
      <c r="I518" s="268"/>
      <c r="O518" s="268"/>
    </row>
    <row r="519" spans="9:15" x14ac:dyDescent="0.25">
      <c r="I519" s="268"/>
      <c r="O519" s="268"/>
    </row>
    <row r="520" spans="9:15" x14ac:dyDescent="0.25">
      <c r="I520" s="268"/>
      <c r="O520" s="268"/>
    </row>
    <row r="521" spans="9:15" x14ac:dyDescent="0.25">
      <c r="I521" s="268"/>
      <c r="O521" s="268"/>
    </row>
    <row r="522" spans="9:15" x14ac:dyDescent="0.25">
      <c r="I522" s="268"/>
      <c r="O522" s="268"/>
    </row>
    <row r="523" spans="9:15" x14ac:dyDescent="0.25">
      <c r="I523" s="268"/>
      <c r="O523" s="268"/>
    </row>
    <row r="524" spans="9:15" x14ac:dyDescent="0.25">
      <c r="I524" s="268"/>
      <c r="O524" s="268"/>
    </row>
    <row r="525" spans="9:15" x14ac:dyDescent="0.25">
      <c r="I525" s="268"/>
      <c r="O525" s="268"/>
    </row>
    <row r="526" spans="9:15" x14ac:dyDescent="0.25">
      <c r="I526" s="268"/>
      <c r="O526" s="268"/>
    </row>
    <row r="527" spans="9:15" x14ac:dyDescent="0.25">
      <c r="I527" s="268"/>
      <c r="O527" s="268"/>
    </row>
    <row r="528" spans="9:15" x14ac:dyDescent="0.25">
      <c r="I528" s="268"/>
      <c r="O528" s="268"/>
    </row>
    <row r="529" spans="9:15" x14ac:dyDescent="0.25">
      <c r="I529" s="268"/>
      <c r="O529" s="268"/>
    </row>
    <row r="530" spans="9:15" x14ac:dyDescent="0.25">
      <c r="I530" s="268"/>
      <c r="O530" s="268"/>
    </row>
    <row r="531" spans="9:15" x14ac:dyDescent="0.25">
      <c r="I531" s="268"/>
      <c r="O531" s="268"/>
    </row>
    <row r="532" spans="9:15" x14ac:dyDescent="0.25">
      <c r="I532" s="268"/>
      <c r="O532" s="268"/>
    </row>
    <row r="533" spans="9:15" x14ac:dyDescent="0.25">
      <c r="I533" s="268"/>
      <c r="O533" s="268"/>
    </row>
    <row r="534" spans="9:15" x14ac:dyDescent="0.25">
      <c r="I534" s="268"/>
      <c r="O534" s="268"/>
    </row>
    <row r="535" spans="9:15" x14ac:dyDescent="0.25">
      <c r="I535" s="268"/>
      <c r="O535" s="268"/>
    </row>
    <row r="536" spans="9:15" x14ac:dyDescent="0.25">
      <c r="I536" s="268"/>
      <c r="O536" s="268"/>
    </row>
    <row r="537" spans="9:15" x14ac:dyDescent="0.25">
      <c r="I537" s="268"/>
      <c r="O537" s="268"/>
    </row>
    <row r="538" spans="9:15" x14ac:dyDescent="0.25">
      <c r="I538" s="268"/>
      <c r="O538" s="268"/>
    </row>
    <row r="539" spans="9:15" x14ac:dyDescent="0.25">
      <c r="I539" s="268"/>
      <c r="O539" s="268"/>
    </row>
    <row r="540" spans="9:15" x14ac:dyDescent="0.25">
      <c r="I540" s="268"/>
      <c r="O540" s="268"/>
    </row>
    <row r="541" spans="9:15" x14ac:dyDescent="0.25">
      <c r="I541" s="268"/>
      <c r="O541" s="268"/>
    </row>
    <row r="542" spans="9:15" x14ac:dyDescent="0.25">
      <c r="I542" s="268"/>
      <c r="O542" s="268"/>
    </row>
    <row r="543" spans="9:15" x14ac:dyDescent="0.25">
      <c r="I543" s="268"/>
      <c r="O543" s="268"/>
    </row>
    <row r="544" spans="9:15" x14ac:dyDescent="0.25">
      <c r="I544" s="268"/>
      <c r="O544" s="268"/>
    </row>
    <row r="545" spans="9:15" x14ac:dyDescent="0.25">
      <c r="I545" s="268"/>
      <c r="O545" s="268"/>
    </row>
    <row r="546" spans="9:15" x14ac:dyDescent="0.25">
      <c r="I546" s="268"/>
      <c r="O546" s="268"/>
    </row>
    <row r="547" spans="9:15" x14ac:dyDescent="0.25">
      <c r="I547" s="268"/>
      <c r="O547" s="268"/>
    </row>
    <row r="548" spans="9:15" x14ac:dyDescent="0.25">
      <c r="I548" s="268"/>
      <c r="O548" s="268"/>
    </row>
    <row r="549" spans="9:15" x14ac:dyDescent="0.25">
      <c r="I549" s="268"/>
      <c r="O549" s="268"/>
    </row>
    <row r="550" spans="9:15" x14ac:dyDescent="0.25">
      <c r="I550" s="268"/>
      <c r="O550" s="268"/>
    </row>
    <row r="551" spans="9:15" x14ac:dyDescent="0.25">
      <c r="I551" s="268"/>
      <c r="O551" s="268"/>
    </row>
    <row r="552" spans="9:15" x14ac:dyDescent="0.25">
      <c r="I552" s="268"/>
      <c r="O552" s="268"/>
    </row>
    <row r="553" spans="9:15" x14ac:dyDescent="0.25">
      <c r="I553" s="268"/>
      <c r="O553" s="268"/>
    </row>
    <row r="554" spans="9:15" x14ac:dyDescent="0.25">
      <c r="I554" s="268"/>
      <c r="O554" s="268"/>
    </row>
    <row r="555" spans="9:15" x14ac:dyDescent="0.25">
      <c r="I555" s="268"/>
      <c r="O555" s="268"/>
    </row>
    <row r="556" spans="9:15" x14ac:dyDescent="0.25">
      <c r="I556" s="268"/>
      <c r="O556" s="268"/>
    </row>
    <row r="557" spans="9:15" x14ac:dyDescent="0.25">
      <c r="I557" s="268"/>
      <c r="O557" s="268"/>
    </row>
    <row r="558" spans="9:15" x14ac:dyDescent="0.25">
      <c r="I558" s="268"/>
      <c r="O558" s="268"/>
    </row>
    <row r="559" spans="9:15" x14ac:dyDescent="0.25">
      <c r="I559" s="268"/>
      <c r="O559" s="268"/>
    </row>
    <row r="560" spans="9:15" x14ac:dyDescent="0.25">
      <c r="I560" s="268"/>
      <c r="O560" s="268"/>
    </row>
    <row r="561" spans="9:15" x14ac:dyDescent="0.25">
      <c r="I561" s="268"/>
      <c r="O561" s="268"/>
    </row>
    <row r="562" spans="9:15" x14ac:dyDescent="0.25">
      <c r="I562" s="268"/>
      <c r="O562" s="268"/>
    </row>
    <row r="563" spans="9:15" x14ac:dyDescent="0.25">
      <c r="I563" s="268"/>
      <c r="O563" s="268"/>
    </row>
    <row r="564" spans="9:15" x14ac:dyDescent="0.25">
      <c r="I564" s="268"/>
      <c r="O564" s="268"/>
    </row>
    <row r="565" spans="9:15" x14ac:dyDescent="0.25">
      <c r="I565" s="268"/>
      <c r="O565" s="268"/>
    </row>
    <row r="566" spans="9:15" x14ac:dyDescent="0.25">
      <c r="I566" s="268"/>
      <c r="O566" s="268"/>
    </row>
    <row r="567" spans="9:15" x14ac:dyDescent="0.25">
      <c r="I567" s="268"/>
      <c r="O567" s="268"/>
    </row>
    <row r="568" spans="9:15" x14ac:dyDescent="0.25">
      <c r="I568" s="268"/>
      <c r="O568" s="268"/>
    </row>
    <row r="569" spans="9:15" x14ac:dyDescent="0.25">
      <c r="I569" s="268"/>
      <c r="O569" s="268"/>
    </row>
    <row r="570" spans="9:15" x14ac:dyDescent="0.25">
      <c r="I570" s="268"/>
      <c r="O570" s="268"/>
    </row>
    <row r="571" spans="9:15" x14ac:dyDescent="0.25">
      <c r="I571" s="268"/>
      <c r="O571" s="268"/>
    </row>
    <row r="572" spans="9:15" x14ac:dyDescent="0.25">
      <c r="I572" s="268"/>
      <c r="O572" s="268"/>
    </row>
    <row r="573" spans="9:15" x14ac:dyDescent="0.25">
      <c r="I573" s="268"/>
      <c r="O573" s="268"/>
    </row>
    <row r="574" spans="9:15" x14ac:dyDescent="0.25">
      <c r="I574" s="268"/>
      <c r="O574" s="268"/>
    </row>
    <row r="575" spans="9:15" x14ac:dyDescent="0.25">
      <c r="I575" s="268"/>
      <c r="O575" s="268"/>
    </row>
    <row r="576" spans="9:15" x14ac:dyDescent="0.25">
      <c r="I576" s="268"/>
      <c r="O576" s="268"/>
    </row>
    <row r="577" spans="9:15" x14ac:dyDescent="0.25">
      <c r="I577" s="268"/>
      <c r="O577" s="268"/>
    </row>
    <row r="578" spans="9:15" x14ac:dyDescent="0.25">
      <c r="I578" s="268"/>
      <c r="O578" s="268"/>
    </row>
    <row r="579" spans="9:15" x14ac:dyDescent="0.25">
      <c r="I579" s="268"/>
      <c r="O579" s="268"/>
    </row>
    <row r="580" spans="9:15" x14ac:dyDescent="0.25">
      <c r="I580" s="268"/>
      <c r="O580" s="268"/>
    </row>
    <row r="581" spans="9:15" x14ac:dyDescent="0.25">
      <c r="I581" s="268"/>
      <c r="O581" s="268"/>
    </row>
    <row r="582" spans="9:15" x14ac:dyDescent="0.25">
      <c r="I582" s="268"/>
      <c r="O582" s="268"/>
    </row>
    <row r="583" spans="9:15" x14ac:dyDescent="0.25">
      <c r="I583" s="268"/>
      <c r="O583" s="268"/>
    </row>
    <row r="584" spans="9:15" x14ac:dyDescent="0.25">
      <c r="I584" s="268"/>
      <c r="O584" s="268"/>
    </row>
    <row r="585" spans="9:15" x14ac:dyDescent="0.25">
      <c r="I585" s="268"/>
      <c r="O585" s="268"/>
    </row>
    <row r="586" spans="9:15" x14ac:dyDescent="0.25">
      <c r="I586" s="268"/>
      <c r="O586" s="268"/>
    </row>
    <row r="587" spans="9:15" x14ac:dyDescent="0.25">
      <c r="I587" s="268"/>
      <c r="O587" s="268"/>
    </row>
    <row r="588" spans="9:15" x14ac:dyDescent="0.25">
      <c r="I588" s="268"/>
      <c r="O588" s="268"/>
    </row>
    <row r="589" spans="9:15" x14ac:dyDescent="0.25">
      <c r="I589" s="268"/>
      <c r="O589" s="268"/>
    </row>
    <row r="590" spans="9:15" x14ac:dyDescent="0.25">
      <c r="I590" s="268"/>
      <c r="O590" s="268"/>
    </row>
    <row r="591" spans="9:15" x14ac:dyDescent="0.25">
      <c r="I591" s="268"/>
      <c r="O591" s="268"/>
    </row>
    <row r="592" spans="9:15" x14ac:dyDescent="0.25">
      <c r="I592" s="268"/>
      <c r="O592" s="268"/>
    </row>
    <row r="593" spans="9:15" x14ac:dyDescent="0.25">
      <c r="I593" s="268"/>
      <c r="O593" s="268"/>
    </row>
    <row r="594" spans="9:15" x14ac:dyDescent="0.25">
      <c r="I594" s="268"/>
      <c r="O594" s="268"/>
    </row>
    <row r="595" spans="9:15" x14ac:dyDescent="0.25">
      <c r="I595" s="268"/>
      <c r="O595" s="268"/>
    </row>
    <row r="596" spans="9:15" x14ac:dyDescent="0.25">
      <c r="I596" s="268"/>
      <c r="O596" s="268"/>
    </row>
    <row r="597" spans="9:15" x14ac:dyDescent="0.25">
      <c r="I597" s="268"/>
      <c r="O597" s="268"/>
    </row>
    <row r="598" spans="9:15" x14ac:dyDescent="0.25">
      <c r="I598" s="268"/>
      <c r="O598" s="268"/>
    </row>
    <row r="599" spans="9:15" x14ac:dyDescent="0.25">
      <c r="I599" s="268"/>
      <c r="O599" s="268"/>
    </row>
    <row r="600" spans="9:15" x14ac:dyDescent="0.25">
      <c r="I600" s="268"/>
      <c r="O600" s="268"/>
    </row>
    <row r="601" spans="9:15" x14ac:dyDescent="0.25">
      <c r="I601" s="268"/>
      <c r="O601" s="268"/>
    </row>
    <row r="602" spans="9:15" x14ac:dyDescent="0.25">
      <c r="I602" s="268"/>
      <c r="O602" s="268"/>
    </row>
    <row r="603" spans="9:15" x14ac:dyDescent="0.25">
      <c r="I603" s="268"/>
      <c r="O603" s="268"/>
    </row>
    <row r="604" spans="9:15" x14ac:dyDescent="0.25">
      <c r="I604" s="268"/>
      <c r="O604" s="268"/>
    </row>
    <row r="605" spans="9:15" x14ac:dyDescent="0.25">
      <c r="I605" s="268"/>
      <c r="O605" s="268"/>
    </row>
    <row r="606" spans="9:15" x14ac:dyDescent="0.25">
      <c r="I606" s="268"/>
      <c r="O606" s="268"/>
    </row>
    <row r="607" spans="9:15" x14ac:dyDescent="0.25">
      <c r="I607" s="268"/>
      <c r="O607" s="268"/>
    </row>
    <row r="608" spans="9:15" x14ac:dyDescent="0.25">
      <c r="I608" s="268"/>
      <c r="O608" s="268"/>
    </row>
    <row r="609" spans="9:15" x14ac:dyDescent="0.25">
      <c r="I609" s="268"/>
      <c r="O609" s="268"/>
    </row>
    <row r="610" spans="9:15" x14ac:dyDescent="0.25">
      <c r="I610" s="268"/>
      <c r="O610" s="268"/>
    </row>
    <row r="611" spans="9:15" x14ac:dyDescent="0.25">
      <c r="I611" s="268"/>
      <c r="O611" s="268"/>
    </row>
    <row r="612" spans="9:15" x14ac:dyDescent="0.25">
      <c r="I612" s="268"/>
      <c r="O612" s="268"/>
    </row>
    <row r="613" spans="9:15" x14ac:dyDescent="0.25">
      <c r="I613" s="268"/>
      <c r="O613" s="268"/>
    </row>
    <row r="614" spans="9:15" x14ac:dyDescent="0.25">
      <c r="I614" s="268"/>
      <c r="O614" s="268"/>
    </row>
    <row r="615" spans="9:15" x14ac:dyDescent="0.25">
      <c r="I615" s="268"/>
      <c r="O615" s="268"/>
    </row>
    <row r="616" spans="9:15" x14ac:dyDescent="0.25">
      <c r="I616" s="268"/>
      <c r="O616" s="268"/>
    </row>
    <row r="617" spans="9:15" x14ac:dyDescent="0.25">
      <c r="I617" s="268"/>
      <c r="O617" s="268"/>
    </row>
    <row r="618" spans="9:15" x14ac:dyDescent="0.25">
      <c r="I618" s="268"/>
      <c r="O618" s="268"/>
    </row>
    <row r="619" spans="9:15" x14ac:dyDescent="0.25">
      <c r="I619" s="268"/>
      <c r="O619" s="268"/>
    </row>
    <row r="620" spans="9:15" x14ac:dyDescent="0.25">
      <c r="I620" s="268"/>
      <c r="O620" s="268"/>
    </row>
    <row r="621" spans="9:15" x14ac:dyDescent="0.25">
      <c r="I621" s="268"/>
      <c r="O621" s="268"/>
    </row>
    <row r="622" spans="9:15" x14ac:dyDescent="0.25">
      <c r="I622" s="268"/>
      <c r="O622" s="268"/>
    </row>
    <row r="623" spans="9:15" x14ac:dyDescent="0.25">
      <c r="I623" s="268"/>
      <c r="O623" s="268"/>
    </row>
    <row r="624" spans="9:15" x14ac:dyDescent="0.25">
      <c r="I624" s="268"/>
      <c r="O624" s="268"/>
    </row>
    <row r="625" spans="9:15" x14ac:dyDescent="0.25">
      <c r="I625" s="268"/>
      <c r="O625" s="268"/>
    </row>
    <row r="626" spans="9:15" x14ac:dyDescent="0.25">
      <c r="I626" s="268"/>
      <c r="O626" s="268"/>
    </row>
    <row r="627" spans="9:15" x14ac:dyDescent="0.25">
      <c r="I627" s="268"/>
      <c r="O627" s="268"/>
    </row>
    <row r="628" spans="9:15" x14ac:dyDescent="0.25">
      <c r="I628" s="268"/>
      <c r="O628" s="268"/>
    </row>
    <row r="629" spans="9:15" x14ac:dyDescent="0.25">
      <c r="I629" s="268"/>
      <c r="O629" s="268"/>
    </row>
    <row r="630" spans="9:15" x14ac:dyDescent="0.25">
      <c r="I630" s="268"/>
      <c r="O630" s="268"/>
    </row>
    <row r="631" spans="9:15" x14ac:dyDescent="0.25">
      <c r="I631" s="268"/>
      <c r="O631" s="268"/>
    </row>
    <row r="632" spans="9:15" x14ac:dyDescent="0.25">
      <c r="I632" s="268"/>
      <c r="O632" s="268"/>
    </row>
    <row r="633" spans="9:15" x14ac:dyDescent="0.25">
      <c r="I633" s="268"/>
      <c r="O633" s="268"/>
    </row>
    <row r="634" spans="9:15" x14ac:dyDescent="0.25">
      <c r="I634" s="268"/>
      <c r="O634" s="268"/>
    </row>
    <row r="635" spans="9:15" x14ac:dyDescent="0.25">
      <c r="I635" s="268"/>
      <c r="O635" s="268"/>
    </row>
    <row r="636" spans="9:15" x14ac:dyDescent="0.25">
      <c r="I636" s="268"/>
      <c r="O636" s="268"/>
    </row>
    <row r="637" spans="9:15" x14ac:dyDescent="0.25">
      <c r="I637" s="268"/>
      <c r="O637" s="268"/>
    </row>
    <row r="638" spans="9:15" x14ac:dyDescent="0.25">
      <c r="I638" s="268"/>
      <c r="O638" s="268"/>
    </row>
    <row r="639" spans="9:15" x14ac:dyDescent="0.25">
      <c r="I639" s="268"/>
      <c r="O639" s="268"/>
    </row>
    <row r="640" spans="9:15" x14ac:dyDescent="0.25">
      <c r="I640" s="268"/>
      <c r="O640" s="268"/>
    </row>
    <row r="641" spans="9:15" x14ac:dyDescent="0.25">
      <c r="I641" s="268"/>
      <c r="O641" s="268"/>
    </row>
    <row r="642" spans="9:15" x14ac:dyDescent="0.25">
      <c r="I642" s="268"/>
      <c r="O642" s="268"/>
    </row>
    <row r="643" spans="9:15" x14ac:dyDescent="0.25">
      <c r="I643" s="268"/>
      <c r="O643" s="268"/>
    </row>
    <row r="644" spans="9:15" x14ac:dyDescent="0.25">
      <c r="I644" s="268"/>
      <c r="O644" s="268"/>
    </row>
    <row r="645" spans="9:15" x14ac:dyDescent="0.25">
      <c r="I645" s="268"/>
      <c r="O645" s="268"/>
    </row>
    <row r="646" spans="9:15" x14ac:dyDescent="0.25">
      <c r="I646" s="268"/>
      <c r="O646" s="268"/>
    </row>
    <row r="647" spans="9:15" x14ac:dyDescent="0.25">
      <c r="I647" s="268"/>
      <c r="O647" s="268"/>
    </row>
    <row r="648" spans="9:15" x14ac:dyDescent="0.25">
      <c r="I648" s="268"/>
      <c r="O648" s="268"/>
    </row>
    <row r="649" spans="9:15" x14ac:dyDescent="0.25">
      <c r="I649" s="268"/>
      <c r="O649" s="268"/>
    </row>
    <row r="650" spans="9:15" x14ac:dyDescent="0.25">
      <c r="I650" s="268"/>
      <c r="O650" s="268"/>
    </row>
    <row r="651" spans="9:15" x14ac:dyDescent="0.25">
      <c r="I651" s="268"/>
      <c r="O651" s="268"/>
    </row>
    <row r="652" spans="9:15" x14ac:dyDescent="0.25">
      <c r="I652" s="268"/>
      <c r="O652" s="268"/>
    </row>
    <row r="653" spans="9:15" x14ac:dyDescent="0.25">
      <c r="I653" s="268"/>
      <c r="O653" s="268"/>
    </row>
    <row r="654" spans="9:15" x14ac:dyDescent="0.25">
      <c r="I654" s="268"/>
      <c r="O654" s="268"/>
    </row>
    <row r="655" spans="9:15" x14ac:dyDescent="0.25">
      <c r="I655" s="268"/>
      <c r="O655" s="268"/>
    </row>
    <row r="656" spans="9:15" x14ac:dyDescent="0.25">
      <c r="I656" s="268"/>
      <c r="O656" s="268"/>
    </row>
    <row r="657" spans="9:15" x14ac:dyDescent="0.25">
      <c r="I657" s="268"/>
      <c r="O657" s="268"/>
    </row>
    <row r="658" spans="9:15" x14ac:dyDescent="0.25">
      <c r="I658" s="268"/>
      <c r="O658" s="268"/>
    </row>
    <row r="659" spans="9:15" x14ac:dyDescent="0.25">
      <c r="I659" s="268"/>
      <c r="O659" s="268"/>
    </row>
    <row r="660" spans="9:15" x14ac:dyDescent="0.25">
      <c r="I660" s="268"/>
      <c r="O660" s="268"/>
    </row>
    <row r="661" spans="9:15" x14ac:dyDescent="0.25">
      <c r="I661" s="268"/>
      <c r="O661" s="268"/>
    </row>
    <row r="662" spans="9:15" x14ac:dyDescent="0.25">
      <c r="I662" s="268"/>
      <c r="O662" s="268"/>
    </row>
    <row r="663" spans="9:15" x14ac:dyDescent="0.25">
      <c r="I663" s="268"/>
      <c r="O663" s="268"/>
    </row>
    <row r="664" spans="9:15" x14ac:dyDescent="0.25">
      <c r="I664" s="268"/>
      <c r="O664" s="268"/>
    </row>
    <row r="665" spans="9:15" x14ac:dyDescent="0.25">
      <c r="I665" s="268"/>
      <c r="O665" s="268"/>
    </row>
    <row r="666" spans="9:15" x14ac:dyDescent="0.25">
      <c r="I666" s="268"/>
      <c r="O666" s="268"/>
    </row>
    <row r="667" spans="9:15" x14ac:dyDescent="0.25">
      <c r="I667" s="268"/>
      <c r="O667" s="268"/>
    </row>
    <row r="668" spans="9:15" x14ac:dyDescent="0.25">
      <c r="I668" s="268"/>
      <c r="O668" s="268"/>
    </row>
    <row r="669" spans="9:15" x14ac:dyDescent="0.25">
      <c r="I669" s="268"/>
      <c r="O669" s="268"/>
    </row>
    <row r="670" spans="9:15" x14ac:dyDescent="0.25">
      <c r="I670" s="268"/>
      <c r="O670" s="268"/>
    </row>
    <row r="671" spans="9:15" x14ac:dyDescent="0.25">
      <c r="I671" s="268"/>
      <c r="O671" s="268"/>
    </row>
    <row r="672" spans="9:15" x14ac:dyDescent="0.25">
      <c r="I672" s="268"/>
      <c r="O672" s="268"/>
    </row>
    <row r="673" spans="9:15" x14ac:dyDescent="0.25">
      <c r="I673" s="268"/>
      <c r="O673" s="268"/>
    </row>
    <row r="674" spans="9:15" x14ac:dyDescent="0.25">
      <c r="I674" s="268"/>
      <c r="O674" s="268"/>
    </row>
    <row r="675" spans="9:15" x14ac:dyDescent="0.25">
      <c r="I675" s="268"/>
      <c r="O675" s="268"/>
    </row>
    <row r="676" spans="9:15" x14ac:dyDescent="0.25">
      <c r="I676" s="268"/>
      <c r="O676" s="268"/>
    </row>
    <row r="677" spans="9:15" x14ac:dyDescent="0.25">
      <c r="I677" s="268"/>
      <c r="O677" s="268"/>
    </row>
    <row r="678" spans="9:15" x14ac:dyDescent="0.25">
      <c r="I678" s="268"/>
      <c r="O678" s="268"/>
    </row>
    <row r="679" spans="9:15" x14ac:dyDescent="0.25">
      <c r="I679" s="268"/>
      <c r="O679" s="268"/>
    </row>
    <row r="680" spans="9:15" x14ac:dyDescent="0.25">
      <c r="I680" s="268"/>
      <c r="O680" s="268"/>
    </row>
    <row r="681" spans="9:15" x14ac:dyDescent="0.25">
      <c r="I681" s="268"/>
      <c r="O681" s="268"/>
    </row>
    <row r="682" spans="9:15" x14ac:dyDescent="0.25">
      <c r="I682" s="268"/>
      <c r="O682" s="268"/>
    </row>
    <row r="683" spans="9:15" x14ac:dyDescent="0.25">
      <c r="I683" s="268"/>
      <c r="O683" s="268"/>
    </row>
    <row r="684" spans="9:15" x14ac:dyDescent="0.25">
      <c r="I684" s="268"/>
      <c r="O684" s="268"/>
    </row>
    <row r="685" spans="9:15" x14ac:dyDescent="0.25">
      <c r="I685" s="268"/>
      <c r="O685" s="268"/>
    </row>
    <row r="686" spans="9:15" x14ac:dyDescent="0.25">
      <c r="I686" s="268"/>
      <c r="O686" s="268"/>
    </row>
    <row r="687" spans="9:15" x14ac:dyDescent="0.25">
      <c r="I687" s="268"/>
      <c r="O687" s="268"/>
    </row>
    <row r="688" spans="9:15" x14ac:dyDescent="0.25">
      <c r="I688" s="268"/>
      <c r="O688" s="268"/>
    </row>
    <row r="689" spans="9:15" x14ac:dyDescent="0.25">
      <c r="I689" s="268"/>
      <c r="O689" s="268"/>
    </row>
    <row r="690" spans="9:15" x14ac:dyDescent="0.25">
      <c r="I690" s="268"/>
      <c r="O690" s="268"/>
    </row>
    <row r="691" spans="9:15" x14ac:dyDescent="0.25">
      <c r="I691" s="268"/>
      <c r="O691" s="268"/>
    </row>
    <row r="692" spans="9:15" x14ac:dyDescent="0.25">
      <c r="I692" s="268"/>
      <c r="O692" s="268"/>
    </row>
    <row r="693" spans="9:15" x14ac:dyDescent="0.25">
      <c r="I693" s="268"/>
      <c r="O693" s="268"/>
    </row>
    <row r="694" spans="9:15" x14ac:dyDescent="0.25">
      <c r="I694" s="268"/>
      <c r="O694" s="268"/>
    </row>
    <row r="695" spans="9:15" x14ac:dyDescent="0.25">
      <c r="I695" s="268"/>
      <c r="O695" s="268"/>
    </row>
    <row r="696" spans="9:15" x14ac:dyDescent="0.25">
      <c r="I696" s="268"/>
      <c r="O696" s="268"/>
    </row>
    <row r="697" spans="9:15" x14ac:dyDescent="0.25">
      <c r="I697" s="268"/>
      <c r="O697" s="268"/>
    </row>
    <row r="698" spans="9:15" x14ac:dyDescent="0.25">
      <c r="I698" s="268"/>
      <c r="O698" s="268"/>
    </row>
    <row r="699" spans="9:15" x14ac:dyDescent="0.25">
      <c r="I699" s="268"/>
      <c r="O699" s="268"/>
    </row>
    <row r="700" spans="9:15" x14ac:dyDescent="0.25">
      <c r="I700" s="268"/>
      <c r="O700" s="268"/>
    </row>
    <row r="701" spans="9:15" x14ac:dyDescent="0.25">
      <c r="I701" s="268"/>
      <c r="O701" s="268"/>
    </row>
    <row r="702" spans="9:15" x14ac:dyDescent="0.25">
      <c r="I702" s="268"/>
      <c r="O702" s="268"/>
    </row>
    <row r="703" spans="9:15" x14ac:dyDescent="0.25">
      <c r="I703" s="268"/>
      <c r="O703" s="268"/>
    </row>
    <row r="704" spans="9:15" x14ac:dyDescent="0.25">
      <c r="I704" s="268"/>
      <c r="O704" s="268"/>
    </row>
    <row r="705" spans="9:15" x14ac:dyDescent="0.25">
      <c r="I705" s="268"/>
      <c r="O705" s="268"/>
    </row>
    <row r="706" spans="9:15" x14ac:dyDescent="0.25">
      <c r="I706" s="268"/>
      <c r="O706" s="268"/>
    </row>
    <row r="707" spans="9:15" x14ac:dyDescent="0.25">
      <c r="I707" s="268"/>
      <c r="O707" s="268"/>
    </row>
    <row r="708" spans="9:15" x14ac:dyDescent="0.25">
      <c r="I708" s="268"/>
      <c r="O708" s="268"/>
    </row>
    <row r="709" spans="9:15" x14ac:dyDescent="0.25">
      <c r="I709" s="268"/>
      <c r="O709" s="268"/>
    </row>
    <row r="710" spans="9:15" x14ac:dyDescent="0.25">
      <c r="I710" s="268"/>
      <c r="O710" s="268"/>
    </row>
    <row r="711" spans="9:15" x14ac:dyDescent="0.25">
      <c r="I711" s="268"/>
      <c r="O711" s="268"/>
    </row>
    <row r="712" spans="9:15" x14ac:dyDescent="0.25">
      <c r="I712" s="268"/>
      <c r="O712" s="268"/>
    </row>
    <row r="713" spans="9:15" x14ac:dyDescent="0.25">
      <c r="I713" s="268"/>
      <c r="O713" s="268"/>
    </row>
    <row r="714" spans="9:15" x14ac:dyDescent="0.25">
      <c r="I714" s="268"/>
      <c r="O714" s="268"/>
    </row>
    <row r="715" spans="9:15" x14ac:dyDescent="0.25">
      <c r="I715" s="268"/>
      <c r="O715" s="268"/>
    </row>
    <row r="716" spans="9:15" x14ac:dyDescent="0.25">
      <c r="I716" s="268"/>
      <c r="O716" s="268"/>
    </row>
    <row r="717" spans="9:15" x14ac:dyDescent="0.25">
      <c r="I717" s="268"/>
      <c r="O717" s="268"/>
    </row>
    <row r="718" spans="9:15" x14ac:dyDescent="0.25">
      <c r="I718" s="268"/>
      <c r="O718" s="268"/>
    </row>
    <row r="719" spans="9:15" x14ac:dyDescent="0.25">
      <c r="I719" s="268"/>
      <c r="O719" s="268"/>
    </row>
    <row r="720" spans="9:15" x14ac:dyDescent="0.25">
      <c r="I720" s="268"/>
      <c r="O720" s="268"/>
    </row>
    <row r="721" spans="9:15" x14ac:dyDescent="0.25">
      <c r="I721" s="268"/>
      <c r="O721" s="268"/>
    </row>
    <row r="722" spans="9:15" x14ac:dyDescent="0.25">
      <c r="I722" s="268"/>
      <c r="O722" s="268"/>
    </row>
    <row r="723" spans="9:15" x14ac:dyDescent="0.25">
      <c r="I723" s="268"/>
      <c r="O723" s="268"/>
    </row>
    <row r="724" spans="9:15" x14ac:dyDescent="0.25">
      <c r="I724" s="268"/>
      <c r="O724" s="268"/>
    </row>
    <row r="725" spans="9:15" x14ac:dyDescent="0.25">
      <c r="I725" s="268"/>
      <c r="O725" s="268"/>
    </row>
    <row r="726" spans="9:15" x14ac:dyDescent="0.25">
      <c r="I726" s="268"/>
      <c r="O726" s="268"/>
    </row>
    <row r="727" spans="9:15" x14ac:dyDescent="0.25">
      <c r="I727" s="268"/>
      <c r="O727" s="268"/>
    </row>
    <row r="728" spans="9:15" x14ac:dyDescent="0.25">
      <c r="I728" s="268"/>
      <c r="O728" s="268"/>
    </row>
    <row r="729" spans="9:15" x14ac:dyDescent="0.25">
      <c r="I729" s="268"/>
      <c r="O729" s="268"/>
    </row>
    <row r="730" spans="9:15" x14ac:dyDescent="0.25">
      <c r="I730" s="268"/>
      <c r="O730" s="268"/>
    </row>
    <row r="731" spans="9:15" x14ac:dyDescent="0.25">
      <c r="I731" s="268"/>
      <c r="O731" s="268"/>
    </row>
    <row r="732" spans="9:15" x14ac:dyDescent="0.25">
      <c r="I732" s="268"/>
      <c r="O732" s="268"/>
    </row>
    <row r="733" spans="9:15" x14ac:dyDescent="0.25">
      <c r="I733" s="268"/>
      <c r="O733" s="268"/>
    </row>
    <row r="734" spans="9:15" x14ac:dyDescent="0.25">
      <c r="I734" s="268"/>
      <c r="O734" s="268"/>
    </row>
    <row r="735" spans="9:15" x14ac:dyDescent="0.25">
      <c r="I735" s="268"/>
      <c r="O735" s="268"/>
    </row>
    <row r="736" spans="9:15" x14ac:dyDescent="0.25">
      <c r="I736" s="268"/>
      <c r="O736" s="268"/>
    </row>
    <row r="737" spans="9:15" x14ac:dyDescent="0.25">
      <c r="I737" s="268"/>
      <c r="O737" s="268"/>
    </row>
    <row r="738" spans="9:15" x14ac:dyDescent="0.25">
      <c r="I738" s="268"/>
      <c r="O738" s="268"/>
    </row>
    <row r="739" spans="9:15" x14ac:dyDescent="0.25">
      <c r="I739" s="268"/>
      <c r="O739" s="268"/>
    </row>
    <row r="740" spans="9:15" x14ac:dyDescent="0.25">
      <c r="I740" s="268"/>
      <c r="O740" s="268"/>
    </row>
    <row r="741" spans="9:15" x14ac:dyDescent="0.25">
      <c r="I741" s="268"/>
      <c r="O741" s="268"/>
    </row>
    <row r="742" spans="9:15" x14ac:dyDescent="0.25">
      <c r="I742" s="268"/>
      <c r="O742" s="268"/>
    </row>
    <row r="743" spans="9:15" x14ac:dyDescent="0.25">
      <c r="I743" s="268"/>
      <c r="O743" s="268"/>
    </row>
    <row r="744" spans="9:15" x14ac:dyDescent="0.25">
      <c r="I744" s="268"/>
      <c r="O744" s="268"/>
    </row>
    <row r="745" spans="9:15" x14ac:dyDescent="0.25">
      <c r="I745" s="268"/>
      <c r="O745" s="268"/>
    </row>
    <row r="746" spans="9:15" x14ac:dyDescent="0.25">
      <c r="I746" s="268"/>
      <c r="O746" s="268"/>
    </row>
    <row r="747" spans="9:15" x14ac:dyDescent="0.25">
      <c r="I747" s="268"/>
      <c r="O747" s="268"/>
    </row>
    <row r="748" spans="9:15" x14ac:dyDescent="0.25">
      <c r="I748" s="268"/>
      <c r="O748" s="268"/>
    </row>
    <row r="749" spans="9:15" x14ac:dyDescent="0.25">
      <c r="I749" s="268"/>
      <c r="O749" s="268"/>
    </row>
    <row r="750" spans="9:15" x14ac:dyDescent="0.25">
      <c r="I750" s="268"/>
      <c r="O750" s="268"/>
    </row>
    <row r="751" spans="9:15" x14ac:dyDescent="0.25">
      <c r="I751" s="268"/>
      <c r="O751" s="268"/>
    </row>
    <row r="752" spans="9:15" x14ac:dyDescent="0.25">
      <c r="I752" s="268"/>
      <c r="O752" s="268"/>
    </row>
    <row r="753" spans="9:15" x14ac:dyDescent="0.25">
      <c r="I753" s="268"/>
      <c r="O753" s="268"/>
    </row>
    <row r="754" spans="9:15" x14ac:dyDescent="0.25">
      <c r="I754" s="268"/>
      <c r="O754" s="268"/>
    </row>
    <row r="755" spans="9:15" x14ac:dyDescent="0.25">
      <c r="I755" s="268"/>
      <c r="O755" s="268"/>
    </row>
    <row r="756" spans="9:15" x14ac:dyDescent="0.25">
      <c r="I756" s="268"/>
      <c r="O756" s="268"/>
    </row>
    <row r="757" spans="9:15" x14ac:dyDescent="0.25">
      <c r="I757" s="268"/>
      <c r="O757" s="268"/>
    </row>
    <row r="758" spans="9:15" x14ac:dyDescent="0.25">
      <c r="I758" s="268"/>
      <c r="O758" s="268"/>
    </row>
    <row r="759" spans="9:15" x14ac:dyDescent="0.25">
      <c r="I759" s="268"/>
      <c r="O759" s="268"/>
    </row>
    <row r="760" spans="9:15" x14ac:dyDescent="0.25">
      <c r="I760" s="268"/>
      <c r="O760" s="268"/>
    </row>
    <row r="761" spans="9:15" x14ac:dyDescent="0.25">
      <c r="I761" s="268"/>
      <c r="O761" s="268"/>
    </row>
    <row r="762" spans="9:15" x14ac:dyDescent="0.25">
      <c r="I762" s="268"/>
      <c r="O762" s="268"/>
    </row>
    <row r="763" spans="9:15" x14ac:dyDescent="0.25">
      <c r="I763" s="268"/>
      <c r="O763" s="268"/>
    </row>
    <row r="764" spans="9:15" x14ac:dyDescent="0.25">
      <c r="I764" s="268"/>
      <c r="O764" s="268"/>
    </row>
    <row r="765" spans="9:15" x14ac:dyDescent="0.25">
      <c r="I765" s="268"/>
      <c r="O765" s="268"/>
    </row>
    <row r="766" spans="9:15" x14ac:dyDescent="0.25">
      <c r="I766" s="268"/>
      <c r="O766" s="268"/>
    </row>
    <row r="767" spans="9:15" x14ac:dyDescent="0.25">
      <c r="I767" s="268"/>
      <c r="O767" s="268"/>
    </row>
    <row r="768" spans="9:15" x14ac:dyDescent="0.25">
      <c r="I768" s="268"/>
      <c r="O768" s="268"/>
    </row>
    <row r="769" spans="9:15" x14ac:dyDescent="0.25">
      <c r="I769" s="268"/>
      <c r="O769" s="268"/>
    </row>
    <row r="770" spans="9:15" x14ac:dyDescent="0.25">
      <c r="I770" s="268"/>
      <c r="O770" s="268"/>
    </row>
    <row r="771" spans="9:15" x14ac:dyDescent="0.25">
      <c r="I771" s="268"/>
      <c r="O771" s="268"/>
    </row>
    <row r="772" spans="9:15" x14ac:dyDescent="0.25">
      <c r="I772" s="268"/>
      <c r="O772" s="268"/>
    </row>
    <row r="773" spans="9:15" x14ac:dyDescent="0.25">
      <c r="I773" s="268"/>
      <c r="O773" s="268"/>
    </row>
    <row r="774" spans="9:15" x14ac:dyDescent="0.25">
      <c r="I774" s="268"/>
      <c r="O774" s="268"/>
    </row>
    <row r="775" spans="9:15" x14ac:dyDescent="0.25">
      <c r="I775" s="268"/>
      <c r="O775" s="268"/>
    </row>
    <row r="776" spans="9:15" x14ac:dyDescent="0.25">
      <c r="I776" s="268"/>
      <c r="O776" s="268"/>
    </row>
    <row r="777" spans="9:15" x14ac:dyDescent="0.25">
      <c r="I777" s="268"/>
      <c r="O777" s="268"/>
    </row>
    <row r="778" spans="9:15" x14ac:dyDescent="0.25">
      <c r="I778" s="268"/>
      <c r="O778" s="268"/>
    </row>
    <row r="779" spans="9:15" x14ac:dyDescent="0.25">
      <c r="I779" s="268"/>
      <c r="O779" s="268"/>
    </row>
    <row r="780" spans="9:15" x14ac:dyDescent="0.25">
      <c r="I780" s="268"/>
      <c r="O780" s="268"/>
    </row>
    <row r="781" spans="9:15" x14ac:dyDescent="0.25">
      <c r="I781" s="268"/>
      <c r="O781" s="268"/>
    </row>
    <row r="782" spans="9:15" x14ac:dyDescent="0.25">
      <c r="I782" s="268"/>
      <c r="O782" s="268"/>
    </row>
    <row r="783" spans="9:15" x14ac:dyDescent="0.25">
      <c r="I783" s="268"/>
      <c r="O783" s="268"/>
    </row>
    <row r="784" spans="9:15" x14ac:dyDescent="0.25">
      <c r="I784" s="268"/>
      <c r="O784" s="268"/>
    </row>
    <row r="785" spans="9:15" x14ac:dyDescent="0.25">
      <c r="I785" s="268"/>
      <c r="O785" s="268"/>
    </row>
    <row r="786" spans="9:15" x14ac:dyDescent="0.25">
      <c r="I786" s="268"/>
      <c r="O786" s="268"/>
    </row>
    <row r="787" spans="9:15" x14ac:dyDescent="0.25">
      <c r="I787" s="268"/>
      <c r="O787" s="268"/>
    </row>
    <row r="788" spans="9:15" x14ac:dyDescent="0.25">
      <c r="I788" s="268"/>
      <c r="O788" s="268"/>
    </row>
    <row r="789" spans="9:15" x14ac:dyDescent="0.25">
      <c r="I789" s="268"/>
      <c r="O789" s="268"/>
    </row>
    <row r="790" spans="9:15" x14ac:dyDescent="0.25">
      <c r="I790" s="268"/>
      <c r="O790" s="268"/>
    </row>
    <row r="791" spans="9:15" x14ac:dyDescent="0.25">
      <c r="I791" s="268"/>
      <c r="O791" s="268"/>
    </row>
    <row r="792" spans="9:15" x14ac:dyDescent="0.25">
      <c r="I792" s="268"/>
      <c r="O792" s="268"/>
    </row>
    <row r="793" spans="9:15" x14ac:dyDescent="0.25">
      <c r="I793" s="268"/>
      <c r="O793" s="268"/>
    </row>
    <row r="794" spans="9:15" x14ac:dyDescent="0.25">
      <c r="I794" s="268"/>
      <c r="O794" s="268"/>
    </row>
    <row r="795" spans="9:15" x14ac:dyDescent="0.25">
      <c r="I795" s="268"/>
      <c r="O795" s="268"/>
    </row>
    <row r="796" spans="9:15" x14ac:dyDescent="0.25">
      <c r="I796" s="268"/>
      <c r="O796" s="268"/>
    </row>
    <row r="797" spans="9:15" x14ac:dyDescent="0.25">
      <c r="I797" s="268"/>
      <c r="O797" s="268"/>
    </row>
    <row r="798" spans="9:15" x14ac:dyDescent="0.25">
      <c r="I798" s="268"/>
      <c r="O798" s="268"/>
    </row>
    <row r="799" spans="9:15" x14ac:dyDescent="0.25">
      <c r="I799" s="268"/>
      <c r="O799" s="268"/>
    </row>
    <row r="800" spans="9:15" x14ac:dyDescent="0.25">
      <c r="I800" s="268"/>
      <c r="O800" s="268"/>
    </row>
    <row r="801" spans="9:15" x14ac:dyDescent="0.25">
      <c r="I801" s="268"/>
      <c r="O801" s="268"/>
    </row>
    <row r="802" spans="9:15" x14ac:dyDescent="0.25">
      <c r="I802" s="268"/>
      <c r="O802" s="268"/>
    </row>
    <row r="803" spans="9:15" x14ac:dyDescent="0.25">
      <c r="I803" s="268"/>
      <c r="O803" s="268"/>
    </row>
    <row r="804" spans="9:15" x14ac:dyDescent="0.25">
      <c r="I804" s="268"/>
      <c r="O804" s="268"/>
    </row>
    <row r="805" spans="9:15" x14ac:dyDescent="0.25">
      <c r="I805" s="268"/>
      <c r="O805" s="268"/>
    </row>
    <row r="806" spans="9:15" x14ac:dyDescent="0.25">
      <c r="I806" s="268"/>
      <c r="O806" s="268"/>
    </row>
    <row r="807" spans="9:15" x14ac:dyDescent="0.25">
      <c r="I807" s="268"/>
      <c r="O807" s="268"/>
    </row>
    <row r="808" spans="9:15" x14ac:dyDescent="0.25">
      <c r="I808" s="268"/>
      <c r="O808" s="268"/>
    </row>
    <row r="809" spans="9:15" x14ac:dyDescent="0.25">
      <c r="I809" s="268"/>
      <c r="O809" s="268"/>
    </row>
    <row r="810" spans="9:15" x14ac:dyDescent="0.25">
      <c r="I810" s="268"/>
      <c r="O810" s="268"/>
    </row>
    <row r="811" spans="9:15" x14ac:dyDescent="0.25">
      <c r="I811" s="268"/>
      <c r="O811" s="268"/>
    </row>
    <row r="812" spans="9:15" x14ac:dyDescent="0.25">
      <c r="I812" s="268"/>
      <c r="O812" s="268"/>
    </row>
    <row r="813" spans="9:15" x14ac:dyDescent="0.25">
      <c r="I813" s="268"/>
      <c r="O813" s="268"/>
    </row>
    <row r="814" spans="9:15" x14ac:dyDescent="0.25">
      <c r="I814" s="268"/>
      <c r="O814" s="268"/>
    </row>
    <row r="815" spans="9:15" x14ac:dyDescent="0.25">
      <c r="I815" s="268"/>
      <c r="O815" s="268"/>
    </row>
    <row r="816" spans="9:15" x14ac:dyDescent="0.25">
      <c r="I816" s="268"/>
      <c r="O816" s="268"/>
    </row>
    <row r="817" spans="9:15" x14ac:dyDescent="0.25">
      <c r="I817" s="268"/>
      <c r="O817" s="268"/>
    </row>
    <row r="818" spans="9:15" x14ac:dyDescent="0.25">
      <c r="I818" s="268"/>
      <c r="O818" s="268"/>
    </row>
    <row r="819" spans="9:15" x14ac:dyDescent="0.25">
      <c r="I819" s="268"/>
      <c r="O819" s="268"/>
    </row>
    <row r="820" spans="9:15" x14ac:dyDescent="0.25">
      <c r="I820" s="268"/>
      <c r="O820" s="268"/>
    </row>
    <row r="821" spans="9:15" x14ac:dyDescent="0.25">
      <c r="I821" s="268"/>
      <c r="O821" s="268"/>
    </row>
    <row r="822" spans="9:15" x14ac:dyDescent="0.25">
      <c r="I822" s="268"/>
      <c r="O822" s="268"/>
    </row>
    <row r="823" spans="9:15" x14ac:dyDescent="0.25">
      <c r="I823" s="268"/>
      <c r="O823" s="268"/>
    </row>
    <row r="824" spans="9:15" x14ac:dyDescent="0.25">
      <c r="I824" s="268"/>
      <c r="O824" s="268"/>
    </row>
    <row r="825" spans="9:15" x14ac:dyDescent="0.25">
      <c r="I825" s="268"/>
      <c r="O825" s="268"/>
    </row>
    <row r="826" spans="9:15" x14ac:dyDescent="0.25">
      <c r="I826" s="268"/>
      <c r="O826" s="268"/>
    </row>
    <row r="827" spans="9:15" x14ac:dyDescent="0.25">
      <c r="I827" s="268"/>
      <c r="O827" s="268"/>
    </row>
    <row r="828" spans="9:15" x14ac:dyDescent="0.25">
      <c r="I828" s="268"/>
      <c r="O828" s="268"/>
    </row>
    <row r="829" spans="9:15" x14ac:dyDescent="0.25">
      <c r="I829" s="268"/>
      <c r="O829" s="268"/>
    </row>
    <row r="830" spans="9:15" x14ac:dyDescent="0.25">
      <c r="I830" s="268"/>
      <c r="O830" s="268"/>
    </row>
    <row r="831" spans="9:15" x14ac:dyDescent="0.25">
      <c r="I831" s="268"/>
      <c r="O831" s="268"/>
    </row>
    <row r="832" spans="9:15" x14ac:dyDescent="0.25">
      <c r="I832" s="268"/>
      <c r="O832" s="268"/>
    </row>
    <row r="833" spans="9:15" x14ac:dyDescent="0.25">
      <c r="I833" s="268"/>
      <c r="O833" s="268"/>
    </row>
    <row r="834" spans="9:15" x14ac:dyDescent="0.25">
      <c r="I834" s="268"/>
      <c r="O834" s="268"/>
    </row>
    <row r="835" spans="9:15" x14ac:dyDescent="0.25">
      <c r="I835" s="268"/>
      <c r="O835" s="268"/>
    </row>
    <row r="836" spans="9:15" x14ac:dyDescent="0.25">
      <c r="I836" s="268"/>
      <c r="O836" s="268"/>
    </row>
    <row r="837" spans="9:15" x14ac:dyDescent="0.25">
      <c r="I837" s="268"/>
      <c r="O837" s="268"/>
    </row>
    <row r="838" spans="9:15" x14ac:dyDescent="0.25">
      <c r="I838" s="268"/>
      <c r="O838" s="268"/>
    </row>
    <row r="839" spans="9:15" x14ac:dyDescent="0.25">
      <c r="I839" s="268"/>
      <c r="O839" s="268"/>
    </row>
    <row r="840" spans="9:15" x14ac:dyDescent="0.25">
      <c r="I840" s="268"/>
      <c r="O840" s="268"/>
    </row>
    <row r="841" spans="9:15" x14ac:dyDescent="0.25">
      <c r="I841" s="268"/>
      <c r="O841" s="268"/>
    </row>
    <row r="842" spans="9:15" x14ac:dyDescent="0.25">
      <c r="I842" s="268"/>
      <c r="O842" s="268"/>
    </row>
    <row r="843" spans="9:15" x14ac:dyDescent="0.25">
      <c r="I843" s="268"/>
      <c r="O843" s="268"/>
    </row>
    <row r="844" spans="9:15" x14ac:dyDescent="0.25">
      <c r="I844" s="268"/>
      <c r="O844" s="268"/>
    </row>
    <row r="845" spans="9:15" x14ac:dyDescent="0.25">
      <c r="I845" s="268"/>
      <c r="O845" s="268"/>
    </row>
    <row r="846" spans="9:15" x14ac:dyDescent="0.25">
      <c r="I846" s="268"/>
      <c r="O846" s="268"/>
    </row>
    <row r="847" spans="9:15" x14ac:dyDescent="0.25">
      <c r="I847" s="268"/>
      <c r="O847" s="268"/>
    </row>
    <row r="848" spans="9:15" x14ac:dyDescent="0.25">
      <c r="I848" s="268"/>
      <c r="O848" s="268"/>
    </row>
    <row r="849" spans="9:15" x14ac:dyDescent="0.25">
      <c r="I849" s="268"/>
      <c r="O849" s="268"/>
    </row>
    <row r="850" spans="9:15" x14ac:dyDescent="0.25">
      <c r="I850" s="268"/>
      <c r="O850" s="268"/>
    </row>
    <row r="851" spans="9:15" x14ac:dyDescent="0.25">
      <c r="I851" s="268"/>
      <c r="O851" s="268"/>
    </row>
    <row r="852" spans="9:15" x14ac:dyDescent="0.25">
      <c r="I852" s="268"/>
      <c r="O852" s="268"/>
    </row>
    <row r="853" spans="9:15" x14ac:dyDescent="0.25">
      <c r="I853" s="268"/>
      <c r="O853" s="268"/>
    </row>
    <row r="854" spans="9:15" x14ac:dyDescent="0.25">
      <c r="I854" s="268"/>
      <c r="O854" s="268"/>
    </row>
    <row r="855" spans="9:15" x14ac:dyDescent="0.25">
      <c r="I855" s="268"/>
      <c r="O855" s="268"/>
    </row>
    <row r="856" spans="9:15" x14ac:dyDescent="0.25">
      <c r="I856" s="268"/>
      <c r="O856" s="268"/>
    </row>
    <row r="857" spans="9:15" x14ac:dyDescent="0.25">
      <c r="I857" s="268"/>
      <c r="O857" s="268"/>
    </row>
    <row r="858" spans="9:15" x14ac:dyDescent="0.25">
      <c r="I858" s="268"/>
      <c r="O858" s="268"/>
    </row>
    <row r="859" spans="9:15" x14ac:dyDescent="0.25">
      <c r="I859" s="268"/>
      <c r="O859" s="268"/>
    </row>
    <row r="860" spans="9:15" x14ac:dyDescent="0.25">
      <c r="I860" s="268"/>
      <c r="O860" s="268"/>
    </row>
    <row r="861" spans="9:15" x14ac:dyDescent="0.25">
      <c r="I861" s="268"/>
      <c r="O861" s="268"/>
    </row>
    <row r="862" spans="9:15" x14ac:dyDescent="0.25">
      <c r="I862" s="268"/>
      <c r="O862" s="268"/>
    </row>
    <row r="863" spans="9:15" x14ac:dyDescent="0.25">
      <c r="I863" s="268"/>
      <c r="O863" s="268"/>
    </row>
    <row r="864" spans="9:15" x14ac:dyDescent="0.25">
      <c r="I864" s="268"/>
      <c r="O864" s="268"/>
    </row>
    <row r="865" spans="9:15" x14ac:dyDescent="0.25">
      <c r="I865" s="268"/>
      <c r="O865" s="268"/>
    </row>
    <row r="866" spans="9:15" x14ac:dyDescent="0.25">
      <c r="I866" s="268"/>
      <c r="O866" s="268"/>
    </row>
    <row r="867" spans="9:15" x14ac:dyDescent="0.25">
      <c r="I867" s="268"/>
      <c r="O867" s="268"/>
    </row>
    <row r="868" spans="9:15" x14ac:dyDescent="0.25">
      <c r="I868" s="268"/>
      <c r="O868" s="268"/>
    </row>
    <row r="869" spans="9:15" x14ac:dyDescent="0.25">
      <c r="I869" s="268"/>
      <c r="O869" s="268"/>
    </row>
    <row r="870" spans="9:15" x14ac:dyDescent="0.25">
      <c r="I870" s="268"/>
      <c r="O870" s="268"/>
    </row>
    <row r="871" spans="9:15" x14ac:dyDescent="0.25">
      <c r="I871" s="268"/>
      <c r="O871" s="268"/>
    </row>
    <row r="872" spans="9:15" x14ac:dyDescent="0.25">
      <c r="I872" s="268"/>
      <c r="O872" s="268"/>
    </row>
    <row r="873" spans="9:15" x14ac:dyDescent="0.25">
      <c r="I873" s="268"/>
      <c r="O873" s="268"/>
    </row>
    <row r="874" spans="9:15" x14ac:dyDescent="0.25">
      <c r="I874" s="268"/>
      <c r="O874" s="268"/>
    </row>
    <row r="875" spans="9:15" x14ac:dyDescent="0.25">
      <c r="I875" s="268"/>
      <c r="O875" s="268"/>
    </row>
    <row r="876" spans="9:15" x14ac:dyDescent="0.25">
      <c r="I876" s="268"/>
      <c r="O876" s="268"/>
    </row>
    <row r="877" spans="9:15" x14ac:dyDescent="0.25">
      <c r="I877" s="268"/>
      <c r="O877" s="268"/>
    </row>
    <row r="878" spans="9:15" x14ac:dyDescent="0.25">
      <c r="I878" s="268"/>
      <c r="O878" s="268"/>
    </row>
    <row r="879" spans="9:15" x14ac:dyDescent="0.25">
      <c r="I879" s="268"/>
      <c r="O879" s="268"/>
    </row>
    <row r="880" spans="9:15" x14ac:dyDescent="0.25">
      <c r="I880" s="268"/>
      <c r="O880" s="268"/>
    </row>
    <row r="881" spans="9:15" x14ac:dyDescent="0.25">
      <c r="I881" s="268"/>
      <c r="O881" s="268"/>
    </row>
    <row r="882" spans="9:15" x14ac:dyDescent="0.25">
      <c r="I882" s="268"/>
      <c r="O882" s="268"/>
    </row>
    <row r="883" spans="9:15" x14ac:dyDescent="0.25">
      <c r="I883" s="268"/>
      <c r="O883" s="268"/>
    </row>
    <row r="884" spans="9:15" x14ac:dyDescent="0.25">
      <c r="I884" s="268"/>
      <c r="O884" s="268"/>
    </row>
    <row r="885" spans="9:15" x14ac:dyDescent="0.25">
      <c r="I885" s="268"/>
      <c r="O885" s="268"/>
    </row>
    <row r="886" spans="9:15" x14ac:dyDescent="0.25">
      <c r="I886" s="268"/>
      <c r="O886" s="268"/>
    </row>
    <row r="887" spans="9:15" x14ac:dyDescent="0.25">
      <c r="I887" s="268"/>
      <c r="O887" s="268"/>
    </row>
    <row r="888" spans="9:15" x14ac:dyDescent="0.25">
      <c r="I888" s="268"/>
      <c r="O888" s="268"/>
    </row>
    <row r="889" spans="9:15" x14ac:dyDescent="0.25">
      <c r="I889" s="268"/>
      <c r="O889" s="268"/>
    </row>
    <row r="890" spans="9:15" x14ac:dyDescent="0.25">
      <c r="I890" s="268"/>
      <c r="O890" s="268"/>
    </row>
    <row r="891" spans="9:15" x14ac:dyDescent="0.25">
      <c r="I891" s="268"/>
      <c r="O891" s="268"/>
    </row>
    <row r="892" spans="9:15" x14ac:dyDescent="0.25">
      <c r="I892" s="268"/>
      <c r="O892" s="268"/>
    </row>
    <row r="893" spans="9:15" x14ac:dyDescent="0.25">
      <c r="I893" s="268"/>
      <c r="O893" s="268"/>
    </row>
    <row r="894" spans="9:15" x14ac:dyDescent="0.25">
      <c r="I894" s="268"/>
      <c r="O894" s="268"/>
    </row>
    <row r="895" spans="9:15" x14ac:dyDescent="0.25">
      <c r="I895" s="268"/>
      <c r="O895" s="268"/>
    </row>
    <row r="896" spans="9:15" x14ac:dyDescent="0.25">
      <c r="I896" s="268"/>
      <c r="O896" s="268"/>
    </row>
    <row r="897" spans="9:15" x14ac:dyDescent="0.25">
      <c r="I897" s="268"/>
      <c r="O897" s="268"/>
    </row>
    <row r="898" spans="9:15" x14ac:dyDescent="0.25">
      <c r="I898" s="268"/>
      <c r="O898" s="268"/>
    </row>
    <row r="899" spans="9:15" x14ac:dyDescent="0.25">
      <c r="I899" s="268"/>
      <c r="O899" s="268"/>
    </row>
    <row r="900" spans="9:15" x14ac:dyDescent="0.25">
      <c r="I900" s="268"/>
      <c r="O900" s="268"/>
    </row>
    <row r="901" spans="9:15" x14ac:dyDescent="0.25">
      <c r="I901" s="268"/>
      <c r="O901" s="268"/>
    </row>
    <row r="902" spans="9:15" x14ac:dyDescent="0.25">
      <c r="I902" s="268"/>
      <c r="O902" s="268"/>
    </row>
    <row r="903" spans="9:15" x14ac:dyDescent="0.25">
      <c r="I903" s="268"/>
      <c r="O903" s="268"/>
    </row>
    <row r="904" spans="9:15" x14ac:dyDescent="0.25">
      <c r="I904" s="268"/>
      <c r="O904" s="268"/>
    </row>
    <row r="905" spans="9:15" x14ac:dyDescent="0.25">
      <c r="I905" s="268"/>
      <c r="O905" s="268"/>
    </row>
    <row r="906" spans="9:15" x14ac:dyDescent="0.25">
      <c r="I906" s="268"/>
      <c r="O906" s="268"/>
    </row>
    <row r="907" spans="9:15" x14ac:dyDescent="0.25">
      <c r="I907" s="268"/>
      <c r="O907" s="268"/>
    </row>
    <row r="908" spans="9:15" x14ac:dyDescent="0.25">
      <c r="I908" s="268"/>
      <c r="O908" s="268"/>
    </row>
    <row r="909" spans="9:15" x14ac:dyDescent="0.25">
      <c r="I909" s="268"/>
      <c r="O909" s="268"/>
    </row>
    <row r="910" spans="9:15" x14ac:dyDescent="0.25">
      <c r="I910" s="268"/>
      <c r="O910" s="268"/>
    </row>
    <row r="911" spans="9:15" x14ac:dyDescent="0.25">
      <c r="I911" s="268"/>
      <c r="O911" s="268"/>
    </row>
    <row r="912" spans="9:15" x14ac:dyDescent="0.25">
      <c r="I912" s="268"/>
      <c r="O912" s="268"/>
    </row>
    <row r="913" spans="9:15" x14ac:dyDescent="0.25">
      <c r="I913" s="268"/>
      <c r="O913" s="268"/>
    </row>
    <row r="914" spans="9:15" x14ac:dyDescent="0.25">
      <c r="I914" s="268"/>
      <c r="O914" s="268"/>
    </row>
    <row r="915" spans="9:15" x14ac:dyDescent="0.25">
      <c r="I915" s="268"/>
      <c r="O915" s="268"/>
    </row>
    <row r="916" spans="9:15" x14ac:dyDescent="0.25">
      <c r="I916" s="268"/>
      <c r="O916" s="268"/>
    </row>
    <row r="917" spans="9:15" x14ac:dyDescent="0.25">
      <c r="I917" s="268"/>
      <c r="O917" s="268"/>
    </row>
    <row r="918" spans="9:15" x14ac:dyDescent="0.25">
      <c r="I918" s="268"/>
      <c r="O918" s="268"/>
    </row>
    <row r="919" spans="9:15" x14ac:dyDescent="0.25">
      <c r="I919" s="268"/>
      <c r="O919" s="268"/>
    </row>
    <row r="920" spans="9:15" x14ac:dyDescent="0.25">
      <c r="I920" s="268"/>
      <c r="O920" s="268"/>
    </row>
    <row r="921" spans="9:15" x14ac:dyDescent="0.25">
      <c r="I921" s="268"/>
      <c r="O921" s="268"/>
    </row>
    <row r="922" spans="9:15" x14ac:dyDescent="0.25">
      <c r="I922" s="268"/>
      <c r="O922" s="268"/>
    </row>
    <row r="923" spans="9:15" x14ac:dyDescent="0.25">
      <c r="I923" s="268"/>
      <c r="O923" s="268"/>
    </row>
    <row r="924" spans="9:15" x14ac:dyDescent="0.25">
      <c r="I924" s="268"/>
      <c r="O924" s="268"/>
    </row>
    <row r="925" spans="9:15" x14ac:dyDescent="0.25">
      <c r="I925" s="268"/>
      <c r="O925" s="268"/>
    </row>
    <row r="926" spans="9:15" x14ac:dyDescent="0.25">
      <c r="I926" s="268"/>
      <c r="O926" s="268"/>
    </row>
    <row r="927" spans="9:15" x14ac:dyDescent="0.25">
      <c r="I927" s="268"/>
      <c r="O927" s="268"/>
    </row>
    <row r="928" spans="9:15" x14ac:dyDescent="0.25">
      <c r="I928" s="268"/>
      <c r="O928" s="268"/>
    </row>
    <row r="929" spans="9:15" x14ac:dyDescent="0.25">
      <c r="I929" s="268"/>
      <c r="O929" s="268"/>
    </row>
    <row r="930" spans="9:15" x14ac:dyDescent="0.25">
      <c r="I930" s="268"/>
      <c r="O930" s="268"/>
    </row>
    <row r="931" spans="9:15" x14ac:dyDescent="0.25">
      <c r="I931" s="268"/>
      <c r="O931" s="268"/>
    </row>
    <row r="932" spans="9:15" x14ac:dyDescent="0.25">
      <c r="I932" s="268"/>
      <c r="O932" s="268"/>
    </row>
    <row r="933" spans="9:15" x14ac:dyDescent="0.25">
      <c r="I933" s="268"/>
      <c r="O933" s="268"/>
    </row>
    <row r="934" spans="9:15" x14ac:dyDescent="0.25">
      <c r="I934" s="268"/>
      <c r="O934" s="268"/>
    </row>
    <row r="935" spans="9:15" x14ac:dyDescent="0.25">
      <c r="I935" s="268"/>
      <c r="O935" s="268"/>
    </row>
    <row r="936" spans="9:15" x14ac:dyDescent="0.25">
      <c r="I936" s="268"/>
      <c r="O936" s="268"/>
    </row>
    <row r="937" spans="9:15" x14ac:dyDescent="0.25">
      <c r="I937" s="268"/>
      <c r="O937" s="268"/>
    </row>
    <row r="938" spans="9:15" x14ac:dyDescent="0.25">
      <c r="I938" s="268"/>
      <c r="O938" s="268"/>
    </row>
    <row r="939" spans="9:15" x14ac:dyDescent="0.25">
      <c r="I939" s="268"/>
      <c r="O939" s="268"/>
    </row>
    <row r="940" spans="9:15" x14ac:dyDescent="0.25">
      <c r="I940" s="268"/>
      <c r="O940" s="268"/>
    </row>
    <row r="941" spans="9:15" x14ac:dyDescent="0.25">
      <c r="I941" s="268"/>
      <c r="O941" s="268"/>
    </row>
    <row r="942" spans="9:15" x14ac:dyDescent="0.25">
      <c r="I942" s="268"/>
      <c r="O942" s="268"/>
    </row>
    <row r="943" spans="9:15" x14ac:dyDescent="0.25">
      <c r="I943" s="268"/>
      <c r="O943" s="268"/>
    </row>
    <row r="944" spans="9:15" x14ac:dyDescent="0.25">
      <c r="I944" s="268"/>
      <c r="O944" s="268"/>
    </row>
    <row r="945" spans="9:15" x14ac:dyDescent="0.25">
      <c r="I945" s="268"/>
      <c r="O945" s="268"/>
    </row>
    <row r="946" spans="9:15" x14ac:dyDescent="0.25">
      <c r="I946" s="268"/>
      <c r="O946" s="268"/>
    </row>
    <row r="947" spans="9:15" x14ac:dyDescent="0.25">
      <c r="I947" s="268"/>
      <c r="O947" s="268"/>
    </row>
    <row r="948" spans="9:15" x14ac:dyDescent="0.25">
      <c r="I948" s="268"/>
      <c r="O948" s="268"/>
    </row>
    <row r="949" spans="9:15" x14ac:dyDescent="0.25">
      <c r="I949" s="268"/>
      <c r="O949" s="268"/>
    </row>
    <row r="950" spans="9:15" x14ac:dyDescent="0.25">
      <c r="I950" s="268"/>
      <c r="O950" s="268"/>
    </row>
    <row r="951" spans="9:15" x14ac:dyDescent="0.25">
      <c r="I951" s="268"/>
      <c r="O951" s="268"/>
    </row>
    <row r="952" spans="9:15" x14ac:dyDescent="0.25">
      <c r="I952" s="268"/>
      <c r="O952" s="268"/>
    </row>
    <row r="953" spans="9:15" x14ac:dyDescent="0.25">
      <c r="I953" s="268"/>
      <c r="O953" s="268"/>
    </row>
    <row r="954" spans="9:15" x14ac:dyDescent="0.25">
      <c r="I954" s="268"/>
      <c r="O954" s="268"/>
    </row>
    <row r="955" spans="9:15" x14ac:dyDescent="0.25">
      <c r="I955" s="268"/>
      <c r="O955" s="268"/>
    </row>
    <row r="956" spans="9:15" x14ac:dyDescent="0.25">
      <c r="I956" s="268"/>
      <c r="O956" s="268"/>
    </row>
    <row r="957" spans="9:15" x14ac:dyDescent="0.25">
      <c r="I957" s="268"/>
      <c r="O957" s="268"/>
    </row>
    <row r="958" spans="9:15" x14ac:dyDescent="0.25">
      <c r="I958" s="268"/>
      <c r="O958" s="268"/>
    </row>
    <row r="959" spans="9:15" x14ac:dyDescent="0.25">
      <c r="I959" s="268"/>
      <c r="O959" s="268"/>
    </row>
    <row r="960" spans="9:15" x14ac:dyDescent="0.25">
      <c r="I960" s="268"/>
      <c r="O960" s="268"/>
    </row>
    <row r="961" spans="9:15" x14ac:dyDescent="0.25">
      <c r="I961" s="268"/>
      <c r="O961" s="268"/>
    </row>
    <row r="962" spans="9:15" x14ac:dyDescent="0.25">
      <c r="I962" s="268"/>
      <c r="O962" s="268"/>
    </row>
    <row r="963" spans="9:15" x14ac:dyDescent="0.25">
      <c r="I963" s="268"/>
      <c r="O963" s="268"/>
    </row>
    <row r="964" spans="9:15" x14ac:dyDescent="0.25">
      <c r="I964" s="268"/>
      <c r="O964" s="268"/>
    </row>
    <row r="965" spans="9:15" x14ac:dyDescent="0.25">
      <c r="I965" s="268"/>
      <c r="O965" s="268"/>
    </row>
    <row r="966" spans="9:15" x14ac:dyDescent="0.25">
      <c r="I966" s="268"/>
      <c r="O966" s="268"/>
    </row>
    <row r="967" spans="9:15" x14ac:dyDescent="0.25">
      <c r="I967" s="268"/>
      <c r="O967" s="268"/>
    </row>
    <row r="968" spans="9:15" x14ac:dyDescent="0.25">
      <c r="I968" s="268"/>
      <c r="O968" s="268"/>
    </row>
    <row r="969" spans="9:15" x14ac:dyDescent="0.25">
      <c r="I969" s="268"/>
      <c r="O969" s="268"/>
    </row>
    <row r="970" spans="9:15" x14ac:dyDescent="0.25">
      <c r="I970" s="268"/>
      <c r="O970" s="268"/>
    </row>
    <row r="971" spans="9:15" x14ac:dyDescent="0.25">
      <c r="I971" s="268"/>
      <c r="O971" s="268"/>
    </row>
    <row r="972" spans="9:15" x14ac:dyDescent="0.25">
      <c r="I972" s="268"/>
      <c r="O972" s="268"/>
    </row>
    <row r="973" spans="9:15" x14ac:dyDescent="0.25">
      <c r="I973" s="268"/>
      <c r="O973" s="268"/>
    </row>
    <row r="974" spans="9:15" x14ac:dyDescent="0.25">
      <c r="I974" s="268"/>
      <c r="O974" s="268"/>
    </row>
    <row r="975" spans="9:15" x14ac:dyDescent="0.25">
      <c r="I975" s="268"/>
      <c r="O975" s="268"/>
    </row>
    <row r="976" spans="9:15" x14ac:dyDescent="0.25">
      <c r="I976" s="268"/>
      <c r="O976" s="268"/>
    </row>
    <row r="977" spans="9:15" x14ac:dyDescent="0.25">
      <c r="I977" s="268"/>
      <c r="O977" s="268"/>
    </row>
    <row r="978" spans="9:15" x14ac:dyDescent="0.25">
      <c r="I978" s="268"/>
      <c r="O978" s="268"/>
    </row>
    <row r="979" spans="9:15" x14ac:dyDescent="0.25">
      <c r="I979" s="268"/>
      <c r="O979" s="268"/>
    </row>
    <row r="980" spans="9:15" x14ac:dyDescent="0.25">
      <c r="I980" s="268"/>
      <c r="O980" s="268"/>
    </row>
    <row r="981" spans="9:15" x14ac:dyDescent="0.25">
      <c r="I981" s="268"/>
      <c r="O981" s="268"/>
    </row>
    <row r="982" spans="9:15" x14ac:dyDescent="0.25">
      <c r="I982" s="268"/>
      <c r="O982" s="268"/>
    </row>
    <row r="983" spans="9:15" x14ac:dyDescent="0.25">
      <c r="I983" s="268"/>
      <c r="O983" s="268"/>
    </row>
    <row r="984" spans="9:15" x14ac:dyDescent="0.25">
      <c r="I984" s="268"/>
      <c r="O984" s="268"/>
    </row>
    <row r="985" spans="9:15" x14ac:dyDescent="0.25">
      <c r="I985" s="268"/>
      <c r="O985" s="268"/>
    </row>
    <row r="986" spans="9:15" x14ac:dyDescent="0.25">
      <c r="I986" s="268"/>
      <c r="O986" s="268"/>
    </row>
    <row r="987" spans="9:15" x14ac:dyDescent="0.25">
      <c r="I987" s="268"/>
      <c r="O987" s="268"/>
    </row>
    <row r="988" spans="9:15" x14ac:dyDescent="0.25">
      <c r="I988" s="268"/>
      <c r="O988" s="268"/>
    </row>
    <row r="989" spans="9:15" x14ac:dyDescent="0.25">
      <c r="I989" s="268"/>
      <c r="O989" s="268"/>
    </row>
    <row r="990" spans="9:15" x14ac:dyDescent="0.25">
      <c r="I990" s="268"/>
      <c r="O990" s="268"/>
    </row>
    <row r="991" spans="9:15" x14ac:dyDescent="0.25">
      <c r="I991" s="268"/>
      <c r="O991" s="268"/>
    </row>
    <row r="992" spans="9:15" x14ac:dyDescent="0.25">
      <c r="I992" s="268"/>
      <c r="O992" s="268"/>
    </row>
    <row r="993" spans="9:15" x14ac:dyDescent="0.25">
      <c r="I993" s="268"/>
      <c r="O993" s="268"/>
    </row>
    <row r="994" spans="9:15" x14ac:dyDescent="0.25">
      <c r="I994" s="268"/>
      <c r="O994" s="268"/>
    </row>
    <row r="995" spans="9:15" x14ac:dyDescent="0.25">
      <c r="I995" s="268"/>
      <c r="O995" s="268"/>
    </row>
    <row r="996" spans="9:15" x14ac:dyDescent="0.25">
      <c r="I996" s="268"/>
      <c r="O996" s="268"/>
    </row>
    <row r="997" spans="9:15" x14ac:dyDescent="0.25">
      <c r="I997" s="268"/>
      <c r="O997" s="268"/>
    </row>
    <row r="998" spans="9:15" x14ac:dyDescent="0.25">
      <c r="I998" s="268"/>
      <c r="O998" s="268"/>
    </row>
    <row r="999" spans="9:15" x14ac:dyDescent="0.25">
      <c r="I999" s="268"/>
      <c r="O999" s="268"/>
    </row>
    <row r="1000" spans="9:15" x14ac:dyDescent="0.25">
      <c r="I1000" s="268"/>
      <c r="O1000" s="268"/>
    </row>
    <row r="1001" spans="9:15" x14ac:dyDescent="0.25">
      <c r="I1001" s="268"/>
      <c r="O1001" s="268"/>
    </row>
    <row r="1002" spans="9:15" x14ac:dyDescent="0.25">
      <c r="I1002" s="268"/>
      <c r="O1002" s="268"/>
    </row>
    <row r="1003" spans="9:15" x14ac:dyDescent="0.25">
      <c r="I1003" s="268"/>
      <c r="O1003" s="268"/>
    </row>
    <row r="1004" spans="9:15" x14ac:dyDescent="0.25">
      <c r="I1004" s="268"/>
      <c r="O1004" s="268"/>
    </row>
    <row r="1005" spans="9:15" x14ac:dyDescent="0.25">
      <c r="I1005" s="268"/>
      <c r="O1005" s="268"/>
    </row>
    <row r="1006" spans="9:15" x14ac:dyDescent="0.25">
      <c r="I1006" s="268"/>
      <c r="O1006" s="268"/>
    </row>
    <row r="1007" spans="9:15" x14ac:dyDescent="0.25">
      <c r="I1007" s="268"/>
      <c r="O1007" s="268"/>
    </row>
    <row r="1008" spans="9:15" x14ac:dyDescent="0.25">
      <c r="I1008" s="268"/>
      <c r="O1008" s="268"/>
    </row>
    <row r="1009" spans="9:15" x14ac:dyDescent="0.25">
      <c r="I1009" s="268"/>
      <c r="O1009" s="268"/>
    </row>
    <row r="1010" spans="9:15" x14ac:dyDescent="0.25">
      <c r="I1010" s="268"/>
      <c r="O1010" s="268"/>
    </row>
    <row r="1011" spans="9:15" x14ac:dyDescent="0.25">
      <c r="I1011" s="268"/>
      <c r="O1011" s="268"/>
    </row>
    <row r="1012" spans="9:15" x14ac:dyDescent="0.25">
      <c r="I1012" s="268"/>
      <c r="O1012" s="268"/>
    </row>
    <row r="1013" spans="9:15" x14ac:dyDescent="0.25">
      <c r="I1013" s="268"/>
      <c r="O1013" s="268"/>
    </row>
    <row r="1014" spans="9:15" x14ac:dyDescent="0.25">
      <c r="I1014" s="268"/>
      <c r="O1014" s="268"/>
    </row>
    <row r="1015" spans="9:15" x14ac:dyDescent="0.25">
      <c r="I1015" s="268"/>
      <c r="O1015" s="268"/>
    </row>
    <row r="1016" spans="9:15" x14ac:dyDescent="0.25">
      <c r="I1016" s="268"/>
      <c r="O1016" s="268"/>
    </row>
    <row r="1017" spans="9:15" x14ac:dyDescent="0.25">
      <c r="I1017" s="268"/>
      <c r="O1017" s="268"/>
    </row>
    <row r="1018" spans="9:15" x14ac:dyDescent="0.25">
      <c r="I1018" s="268"/>
      <c r="O1018" s="268"/>
    </row>
    <row r="1019" spans="9:15" x14ac:dyDescent="0.25">
      <c r="I1019" s="268"/>
      <c r="O1019" s="268"/>
    </row>
    <row r="1020" spans="9:15" x14ac:dyDescent="0.25">
      <c r="I1020" s="268"/>
      <c r="O1020" s="268"/>
    </row>
    <row r="1021" spans="9:15" x14ac:dyDescent="0.25">
      <c r="I1021" s="268"/>
      <c r="O1021" s="268"/>
    </row>
    <row r="1022" spans="9:15" x14ac:dyDescent="0.25">
      <c r="I1022" s="268"/>
      <c r="O1022" s="268"/>
    </row>
    <row r="1023" spans="9:15" x14ac:dyDescent="0.25">
      <c r="I1023" s="268"/>
      <c r="O1023" s="268"/>
    </row>
    <row r="1024" spans="9:15" x14ac:dyDescent="0.25">
      <c r="I1024" s="268"/>
      <c r="O1024" s="268"/>
    </row>
    <row r="1025" spans="9:15" x14ac:dyDescent="0.25">
      <c r="I1025" s="268"/>
      <c r="O1025" s="268"/>
    </row>
    <row r="1026" spans="9:15" x14ac:dyDescent="0.25">
      <c r="I1026" s="268"/>
      <c r="O1026" s="268"/>
    </row>
    <row r="1027" spans="9:15" x14ac:dyDescent="0.25">
      <c r="I1027" s="268"/>
      <c r="O1027" s="268"/>
    </row>
    <row r="1028" spans="9:15" x14ac:dyDescent="0.25">
      <c r="I1028" s="268"/>
      <c r="O1028" s="268"/>
    </row>
    <row r="1029" spans="9:15" x14ac:dyDescent="0.25">
      <c r="I1029" s="268"/>
      <c r="O1029" s="268"/>
    </row>
    <row r="1030" spans="9:15" x14ac:dyDescent="0.25">
      <c r="I1030" s="268"/>
      <c r="O1030" s="268"/>
    </row>
    <row r="1031" spans="9:15" x14ac:dyDescent="0.25">
      <c r="I1031" s="268"/>
      <c r="O1031" s="268"/>
    </row>
    <row r="1032" spans="9:15" x14ac:dyDescent="0.25">
      <c r="I1032" s="268"/>
      <c r="O1032" s="268"/>
    </row>
    <row r="1033" spans="9:15" x14ac:dyDescent="0.25">
      <c r="I1033" s="268"/>
      <c r="O1033" s="268"/>
    </row>
    <row r="1034" spans="9:15" x14ac:dyDescent="0.25">
      <c r="I1034" s="268"/>
      <c r="O1034" s="268"/>
    </row>
    <row r="1035" spans="9:15" x14ac:dyDescent="0.25">
      <c r="I1035" s="268"/>
      <c r="O1035" s="268"/>
    </row>
    <row r="1036" spans="9:15" x14ac:dyDescent="0.25">
      <c r="I1036" s="268"/>
      <c r="O1036" s="268"/>
    </row>
    <row r="1037" spans="9:15" x14ac:dyDescent="0.25">
      <c r="I1037" s="268"/>
      <c r="O1037" s="268"/>
    </row>
    <row r="1038" spans="9:15" x14ac:dyDescent="0.25">
      <c r="I1038" s="268"/>
      <c r="O1038" s="268"/>
    </row>
    <row r="1039" spans="9:15" x14ac:dyDescent="0.25">
      <c r="I1039" s="268"/>
      <c r="O1039" s="268"/>
    </row>
    <row r="1040" spans="9:15" x14ac:dyDescent="0.25">
      <c r="I1040" s="268"/>
      <c r="O1040" s="268"/>
    </row>
    <row r="1041" spans="9:15" x14ac:dyDescent="0.25">
      <c r="I1041" s="268"/>
      <c r="O1041" s="268"/>
    </row>
    <row r="1042" spans="9:15" x14ac:dyDescent="0.25">
      <c r="I1042" s="268"/>
      <c r="O1042" s="268"/>
    </row>
    <row r="1043" spans="9:15" x14ac:dyDescent="0.25">
      <c r="I1043" s="268"/>
      <c r="O1043" s="268"/>
    </row>
    <row r="1044" spans="9:15" x14ac:dyDescent="0.25">
      <c r="I1044" s="268"/>
      <c r="O1044" s="268"/>
    </row>
    <row r="1045" spans="9:15" x14ac:dyDescent="0.25">
      <c r="I1045" s="268"/>
      <c r="O1045" s="268"/>
    </row>
    <row r="1046" spans="9:15" x14ac:dyDescent="0.25">
      <c r="I1046" s="268"/>
      <c r="O1046" s="268"/>
    </row>
    <row r="1047" spans="9:15" x14ac:dyDescent="0.25">
      <c r="I1047" s="268"/>
      <c r="O1047" s="268"/>
    </row>
    <row r="1048" spans="9:15" x14ac:dyDescent="0.25">
      <c r="I1048" s="268"/>
      <c r="O1048" s="268"/>
    </row>
    <row r="1049" spans="9:15" x14ac:dyDescent="0.25">
      <c r="I1049" s="268"/>
      <c r="O1049" s="268"/>
    </row>
    <row r="1050" spans="9:15" x14ac:dyDescent="0.25">
      <c r="I1050" s="268"/>
      <c r="O1050" s="268"/>
    </row>
    <row r="1051" spans="9:15" x14ac:dyDescent="0.25">
      <c r="I1051" s="268"/>
      <c r="O1051" s="268"/>
    </row>
    <row r="1052" spans="9:15" x14ac:dyDescent="0.25">
      <c r="I1052" s="268"/>
      <c r="O1052" s="268"/>
    </row>
    <row r="1053" spans="9:15" x14ac:dyDescent="0.25">
      <c r="I1053" s="268"/>
      <c r="O1053" s="268"/>
    </row>
    <row r="1054" spans="9:15" x14ac:dyDescent="0.25">
      <c r="I1054" s="268"/>
      <c r="O1054" s="268"/>
    </row>
    <row r="1055" spans="9:15" x14ac:dyDescent="0.25">
      <c r="I1055" s="268"/>
      <c r="O1055" s="268"/>
    </row>
    <row r="1056" spans="9:15" x14ac:dyDescent="0.25">
      <c r="I1056" s="268"/>
      <c r="O1056" s="268"/>
    </row>
    <row r="1057" spans="9:15" x14ac:dyDescent="0.25">
      <c r="I1057" s="268"/>
      <c r="O1057" s="268"/>
    </row>
    <row r="1058" spans="9:15" x14ac:dyDescent="0.25">
      <c r="I1058" s="268"/>
      <c r="O1058" s="268"/>
    </row>
    <row r="1059" spans="9:15" x14ac:dyDescent="0.25">
      <c r="I1059" s="268"/>
      <c r="O1059" s="268"/>
    </row>
    <row r="1060" spans="9:15" x14ac:dyDescent="0.25">
      <c r="I1060" s="268"/>
      <c r="O1060" s="268"/>
    </row>
    <row r="1061" spans="9:15" x14ac:dyDescent="0.25">
      <c r="I1061" s="268"/>
      <c r="O1061" s="268"/>
    </row>
    <row r="1062" spans="9:15" x14ac:dyDescent="0.25">
      <c r="I1062" s="268"/>
      <c r="O1062" s="268"/>
    </row>
    <row r="1063" spans="9:15" x14ac:dyDescent="0.25">
      <c r="I1063" s="268"/>
      <c r="O1063" s="268"/>
    </row>
    <row r="1064" spans="9:15" x14ac:dyDescent="0.25">
      <c r="I1064" s="268"/>
      <c r="O1064" s="268"/>
    </row>
    <row r="1065" spans="9:15" x14ac:dyDescent="0.25">
      <c r="I1065" s="268"/>
      <c r="O1065" s="268"/>
    </row>
    <row r="1066" spans="9:15" x14ac:dyDescent="0.25">
      <c r="I1066" s="268"/>
      <c r="O1066" s="268"/>
    </row>
    <row r="1067" spans="9:15" x14ac:dyDescent="0.25">
      <c r="I1067" s="268"/>
      <c r="O1067" s="268"/>
    </row>
    <row r="1068" spans="9:15" x14ac:dyDescent="0.25">
      <c r="I1068" s="268"/>
      <c r="O1068" s="268"/>
    </row>
    <row r="1069" spans="9:15" x14ac:dyDescent="0.25">
      <c r="I1069" s="268"/>
      <c r="O1069" s="268"/>
    </row>
    <row r="1070" spans="9:15" x14ac:dyDescent="0.25">
      <c r="I1070" s="268"/>
      <c r="O1070" s="268"/>
    </row>
    <row r="1071" spans="9:15" x14ac:dyDescent="0.25">
      <c r="I1071" s="268"/>
      <c r="O1071" s="268"/>
    </row>
    <row r="1072" spans="9:15" x14ac:dyDescent="0.25">
      <c r="I1072" s="268"/>
      <c r="O1072" s="268"/>
    </row>
    <row r="1073" spans="9:15" x14ac:dyDescent="0.25">
      <c r="I1073" s="268"/>
      <c r="O1073" s="268"/>
    </row>
    <row r="1074" spans="9:15" x14ac:dyDescent="0.25">
      <c r="I1074" s="268"/>
      <c r="O1074" s="268"/>
    </row>
    <row r="1075" spans="9:15" x14ac:dyDescent="0.25">
      <c r="I1075" s="268"/>
      <c r="O1075" s="268"/>
    </row>
    <row r="1076" spans="9:15" x14ac:dyDescent="0.25">
      <c r="I1076" s="268"/>
      <c r="O1076" s="268"/>
    </row>
    <row r="1077" spans="9:15" x14ac:dyDescent="0.25">
      <c r="I1077" s="268"/>
      <c r="O1077" s="268"/>
    </row>
    <row r="1078" spans="9:15" x14ac:dyDescent="0.25">
      <c r="I1078" s="268"/>
      <c r="O1078" s="268"/>
    </row>
    <row r="1079" spans="9:15" x14ac:dyDescent="0.25">
      <c r="I1079" s="268"/>
      <c r="O1079" s="268"/>
    </row>
    <row r="1080" spans="9:15" x14ac:dyDescent="0.25">
      <c r="I1080" s="268"/>
      <c r="O1080" s="268"/>
    </row>
    <row r="1081" spans="9:15" x14ac:dyDescent="0.25">
      <c r="I1081" s="268"/>
      <c r="O1081" s="268"/>
    </row>
    <row r="1082" spans="9:15" x14ac:dyDescent="0.25">
      <c r="I1082" s="268"/>
      <c r="O1082" s="268"/>
    </row>
    <row r="1083" spans="9:15" x14ac:dyDescent="0.25">
      <c r="I1083" s="268"/>
      <c r="O1083" s="268"/>
    </row>
    <row r="1084" spans="9:15" x14ac:dyDescent="0.25">
      <c r="I1084" s="268"/>
      <c r="O1084" s="268"/>
    </row>
    <row r="1085" spans="9:15" x14ac:dyDescent="0.25">
      <c r="I1085" s="268"/>
      <c r="O1085" s="268"/>
    </row>
    <row r="1086" spans="9:15" x14ac:dyDescent="0.25">
      <c r="I1086" s="268"/>
      <c r="O1086" s="268"/>
    </row>
    <row r="1087" spans="9:15" x14ac:dyDescent="0.25">
      <c r="I1087" s="268"/>
      <c r="O1087" s="268"/>
    </row>
    <row r="1088" spans="9:15" x14ac:dyDescent="0.25">
      <c r="I1088" s="268"/>
      <c r="O1088" s="268"/>
    </row>
    <row r="1089" spans="9:15" x14ac:dyDescent="0.25">
      <c r="I1089" s="268"/>
      <c r="O1089" s="268"/>
    </row>
    <row r="1090" spans="9:15" x14ac:dyDescent="0.25">
      <c r="I1090" s="268"/>
      <c r="O1090" s="268"/>
    </row>
    <row r="1091" spans="9:15" x14ac:dyDescent="0.25">
      <c r="I1091" s="268"/>
      <c r="O1091" s="268"/>
    </row>
    <row r="1092" spans="9:15" x14ac:dyDescent="0.25">
      <c r="I1092" s="268"/>
      <c r="O1092" s="268"/>
    </row>
    <row r="1093" spans="9:15" x14ac:dyDescent="0.25">
      <c r="I1093" s="268"/>
      <c r="O1093" s="268"/>
    </row>
    <row r="1094" spans="9:15" x14ac:dyDescent="0.25">
      <c r="I1094" s="268"/>
      <c r="O1094" s="268"/>
    </row>
    <row r="1095" spans="9:15" x14ac:dyDescent="0.25">
      <c r="I1095" s="268"/>
      <c r="O1095" s="268"/>
    </row>
    <row r="1096" spans="9:15" x14ac:dyDescent="0.25">
      <c r="I1096" s="268"/>
      <c r="O1096" s="268"/>
    </row>
    <row r="1097" spans="9:15" x14ac:dyDescent="0.25">
      <c r="I1097" s="268"/>
      <c r="O1097" s="268"/>
    </row>
    <row r="1098" spans="9:15" x14ac:dyDescent="0.25">
      <c r="I1098" s="268"/>
      <c r="O1098" s="268"/>
    </row>
    <row r="1099" spans="9:15" x14ac:dyDescent="0.25">
      <c r="I1099" s="268"/>
      <c r="O1099" s="268"/>
    </row>
    <row r="1100" spans="9:15" x14ac:dyDescent="0.25">
      <c r="I1100" s="268"/>
      <c r="O1100" s="268"/>
    </row>
    <row r="1101" spans="9:15" x14ac:dyDescent="0.25">
      <c r="I1101" s="268"/>
      <c r="O1101" s="268"/>
    </row>
    <row r="1102" spans="9:15" x14ac:dyDescent="0.25">
      <c r="I1102" s="268"/>
      <c r="O1102" s="268"/>
    </row>
    <row r="1103" spans="9:15" x14ac:dyDescent="0.25">
      <c r="I1103" s="268"/>
      <c r="O1103" s="268"/>
    </row>
    <row r="1104" spans="9:15" x14ac:dyDescent="0.25">
      <c r="I1104" s="268"/>
      <c r="O1104" s="268"/>
    </row>
    <row r="1105" spans="9:15" x14ac:dyDescent="0.25">
      <c r="I1105" s="268"/>
      <c r="O1105" s="268"/>
    </row>
    <row r="1106" spans="9:15" x14ac:dyDescent="0.25">
      <c r="I1106" s="268"/>
      <c r="O1106" s="268"/>
    </row>
    <row r="1107" spans="9:15" x14ac:dyDescent="0.25">
      <c r="I1107" s="268"/>
      <c r="O1107" s="268"/>
    </row>
    <row r="1108" spans="9:15" x14ac:dyDescent="0.25">
      <c r="I1108" s="268"/>
      <c r="O1108" s="268"/>
    </row>
    <row r="1109" spans="9:15" x14ac:dyDescent="0.25">
      <c r="I1109" s="268"/>
      <c r="O1109" s="268"/>
    </row>
    <row r="1110" spans="9:15" x14ac:dyDescent="0.25">
      <c r="I1110" s="268"/>
      <c r="O1110" s="268"/>
    </row>
    <row r="1111" spans="9:15" x14ac:dyDescent="0.25">
      <c r="I1111" s="268"/>
      <c r="O1111" s="268"/>
    </row>
    <row r="1112" spans="9:15" x14ac:dyDescent="0.25">
      <c r="I1112" s="268"/>
      <c r="O1112" s="268"/>
    </row>
    <row r="1113" spans="9:15" x14ac:dyDescent="0.25">
      <c r="I1113" s="268"/>
      <c r="O1113" s="268"/>
    </row>
    <row r="1114" spans="9:15" x14ac:dyDescent="0.25">
      <c r="I1114" s="268"/>
      <c r="O1114" s="268"/>
    </row>
    <row r="1115" spans="9:15" x14ac:dyDescent="0.25">
      <c r="I1115" s="268"/>
      <c r="O1115" s="268"/>
    </row>
    <row r="1116" spans="9:15" x14ac:dyDescent="0.25">
      <c r="I1116" s="268"/>
      <c r="O1116" s="268"/>
    </row>
    <row r="1117" spans="9:15" x14ac:dyDescent="0.25">
      <c r="I1117" s="268"/>
      <c r="O1117" s="268"/>
    </row>
    <row r="1118" spans="9:15" x14ac:dyDescent="0.25">
      <c r="I1118" s="268"/>
      <c r="O1118" s="268"/>
    </row>
    <row r="1119" spans="9:15" x14ac:dyDescent="0.25">
      <c r="I1119" s="268"/>
      <c r="O1119" s="268"/>
    </row>
    <row r="1120" spans="9:15" x14ac:dyDescent="0.25">
      <c r="I1120" s="268"/>
      <c r="O1120" s="268"/>
    </row>
    <row r="1121" spans="9:15" x14ac:dyDescent="0.25">
      <c r="I1121" s="268"/>
      <c r="O1121" s="268"/>
    </row>
    <row r="1122" spans="9:15" x14ac:dyDescent="0.25">
      <c r="I1122" s="268"/>
      <c r="O1122" s="268"/>
    </row>
    <row r="1123" spans="9:15" x14ac:dyDescent="0.25">
      <c r="I1123" s="268"/>
      <c r="O1123" s="268"/>
    </row>
    <row r="1124" spans="9:15" x14ac:dyDescent="0.25">
      <c r="I1124" s="268"/>
      <c r="O1124" s="268"/>
    </row>
    <row r="1125" spans="9:15" x14ac:dyDescent="0.25">
      <c r="I1125" s="268"/>
      <c r="O1125" s="268"/>
    </row>
    <row r="1126" spans="9:15" x14ac:dyDescent="0.25">
      <c r="I1126" s="268"/>
      <c r="O1126" s="268"/>
    </row>
    <row r="1127" spans="9:15" x14ac:dyDescent="0.25">
      <c r="I1127" s="268"/>
      <c r="O1127" s="268"/>
    </row>
    <row r="1128" spans="9:15" x14ac:dyDescent="0.25">
      <c r="I1128" s="268"/>
      <c r="O1128" s="268"/>
    </row>
    <row r="1129" spans="9:15" x14ac:dyDescent="0.25">
      <c r="I1129" s="268"/>
      <c r="O1129" s="268"/>
    </row>
    <row r="1130" spans="9:15" x14ac:dyDescent="0.25">
      <c r="I1130" s="268"/>
      <c r="O1130" s="268"/>
    </row>
    <row r="1131" spans="9:15" x14ac:dyDescent="0.25">
      <c r="I1131" s="268"/>
      <c r="O1131" s="268"/>
    </row>
    <row r="1132" spans="9:15" x14ac:dyDescent="0.25">
      <c r="I1132" s="268"/>
      <c r="O1132" s="268"/>
    </row>
    <row r="1133" spans="9:15" x14ac:dyDescent="0.25">
      <c r="I1133" s="268"/>
      <c r="O1133" s="268"/>
    </row>
    <row r="1134" spans="9:15" x14ac:dyDescent="0.25">
      <c r="I1134" s="268"/>
      <c r="O1134" s="268"/>
    </row>
    <row r="1135" spans="9:15" x14ac:dyDescent="0.25">
      <c r="I1135" s="268"/>
      <c r="O1135" s="268"/>
    </row>
    <row r="1136" spans="9:15" x14ac:dyDescent="0.25">
      <c r="I1136" s="268"/>
      <c r="O1136" s="268"/>
    </row>
    <row r="1137" spans="9:15" x14ac:dyDescent="0.25">
      <c r="I1137" s="268"/>
      <c r="O1137" s="268"/>
    </row>
    <row r="1138" spans="9:15" x14ac:dyDescent="0.25">
      <c r="I1138" s="268"/>
      <c r="O1138" s="268"/>
    </row>
    <row r="1139" spans="9:15" x14ac:dyDescent="0.25">
      <c r="I1139" s="268"/>
      <c r="O1139" s="268"/>
    </row>
    <row r="1140" spans="9:15" x14ac:dyDescent="0.25">
      <c r="I1140" s="268"/>
      <c r="O1140" s="268"/>
    </row>
    <row r="1141" spans="9:15" x14ac:dyDescent="0.25">
      <c r="I1141" s="268"/>
      <c r="O1141" s="268"/>
    </row>
    <row r="1142" spans="9:15" x14ac:dyDescent="0.25">
      <c r="I1142" s="268"/>
      <c r="O1142" s="268"/>
    </row>
    <row r="1143" spans="9:15" x14ac:dyDescent="0.25">
      <c r="I1143" s="268"/>
      <c r="O1143" s="268"/>
    </row>
    <row r="1144" spans="9:15" x14ac:dyDescent="0.25">
      <c r="I1144" s="268"/>
      <c r="O1144" s="268"/>
    </row>
    <row r="1145" spans="9:15" x14ac:dyDescent="0.25">
      <c r="I1145" s="268"/>
      <c r="O1145" s="268"/>
    </row>
    <row r="1146" spans="9:15" x14ac:dyDescent="0.25">
      <c r="I1146" s="268"/>
      <c r="O1146" s="268"/>
    </row>
    <row r="1147" spans="9:15" x14ac:dyDescent="0.25">
      <c r="I1147" s="268"/>
      <c r="O1147" s="268"/>
    </row>
    <row r="1148" spans="9:15" x14ac:dyDescent="0.25">
      <c r="I1148" s="268"/>
      <c r="O1148" s="268"/>
    </row>
    <row r="1149" spans="9:15" x14ac:dyDescent="0.25">
      <c r="I1149" s="268"/>
      <c r="O1149" s="268"/>
    </row>
    <row r="1150" spans="9:15" x14ac:dyDescent="0.25">
      <c r="I1150" s="268"/>
      <c r="O1150" s="268"/>
    </row>
    <row r="1151" spans="9:15" x14ac:dyDescent="0.25">
      <c r="I1151" s="268"/>
      <c r="O1151" s="268"/>
    </row>
    <row r="1152" spans="9:15" x14ac:dyDescent="0.25">
      <c r="I1152" s="268"/>
      <c r="O1152" s="268"/>
    </row>
    <row r="1153" spans="9:15" x14ac:dyDescent="0.25">
      <c r="I1153" s="268"/>
      <c r="O1153" s="268"/>
    </row>
    <row r="1154" spans="9:15" x14ac:dyDescent="0.25">
      <c r="I1154" s="268"/>
      <c r="O1154" s="268"/>
    </row>
    <row r="1155" spans="9:15" x14ac:dyDescent="0.25">
      <c r="I1155" s="268"/>
      <c r="O1155" s="268"/>
    </row>
    <row r="1156" spans="9:15" x14ac:dyDescent="0.25">
      <c r="I1156" s="268"/>
      <c r="O1156" s="268"/>
    </row>
    <row r="1157" spans="9:15" x14ac:dyDescent="0.25">
      <c r="I1157" s="268"/>
      <c r="O1157" s="268"/>
    </row>
    <row r="1158" spans="9:15" x14ac:dyDescent="0.25">
      <c r="I1158" s="268"/>
      <c r="O1158" s="268"/>
    </row>
    <row r="1159" spans="9:15" x14ac:dyDescent="0.25">
      <c r="I1159" s="268"/>
      <c r="O1159" s="268"/>
    </row>
    <row r="1160" spans="9:15" x14ac:dyDescent="0.25">
      <c r="I1160" s="268"/>
      <c r="O1160" s="268"/>
    </row>
    <row r="1161" spans="9:15" x14ac:dyDescent="0.25">
      <c r="I1161" s="268"/>
      <c r="O1161" s="268"/>
    </row>
    <row r="1162" spans="9:15" x14ac:dyDescent="0.25">
      <c r="I1162" s="268"/>
      <c r="O1162" s="268"/>
    </row>
    <row r="1163" spans="9:15" x14ac:dyDescent="0.25">
      <c r="I1163" s="268"/>
      <c r="O1163" s="268"/>
    </row>
    <row r="1164" spans="9:15" x14ac:dyDescent="0.25">
      <c r="I1164" s="268"/>
      <c r="O1164" s="268"/>
    </row>
    <row r="1165" spans="9:15" x14ac:dyDescent="0.25">
      <c r="I1165" s="268"/>
      <c r="O1165" s="268"/>
    </row>
    <row r="1166" spans="9:15" x14ac:dyDescent="0.25">
      <c r="I1166" s="268"/>
      <c r="O1166" s="268"/>
    </row>
    <row r="1167" spans="9:15" x14ac:dyDescent="0.25">
      <c r="I1167" s="268"/>
      <c r="O1167" s="268"/>
    </row>
    <row r="1168" spans="9:15" x14ac:dyDescent="0.25">
      <c r="I1168" s="268"/>
      <c r="O1168" s="268"/>
    </row>
    <row r="1169" spans="9:15" x14ac:dyDescent="0.25">
      <c r="I1169" s="268"/>
      <c r="O1169" s="268"/>
    </row>
    <row r="1170" spans="9:15" x14ac:dyDescent="0.25">
      <c r="I1170" s="268"/>
      <c r="O1170" s="268"/>
    </row>
    <row r="1171" spans="9:15" x14ac:dyDescent="0.25">
      <c r="I1171" s="268"/>
      <c r="O1171" s="268"/>
    </row>
    <row r="1172" spans="9:15" x14ac:dyDescent="0.25">
      <c r="I1172" s="268"/>
      <c r="O1172" s="268"/>
    </row>
    <row r="1173" spans="9:15" x14ac:dyDescent="0.25">
      <c r="I1173" s="268"/>
      <c r="O1173" s="268"/>
    </row>
    <row r="1174" spans="9:15" x14ac:dyDescent="0.25">
      <c r="I1174" s="268"/>
      <c r="O1174" s="268"/>
    </row>
    <row r="1175" spans="9:15" x14ac:dyDescent="0.25">
      <c r="I1175" s="268"/>
      <c r="O1175" s="268"/>
    </row>
    <row r="1176" spans="9:15" x14ac:dyDescent="0.25">
      <c r="I1176" s="268"/>
      <c r="O1176" s="268"/>
    </row>
    <row r="1177" spans="9:15" x14ac:dyDescent="0.25">
      <c r="I1177" s="268"/>
      <c r="O1177" s="268"/>
    </row>
    <row r="1178" spans="9:15" x14ac:dyDescent="0.25">
      <c r="I1178" s="268"/>
      <c r="O1178" s="268"/>
    </row>
    <row r="1179" spans="9:15" x14ac:dyDescent="0.25">
      <c r="I1179" s="268"/>
      <c r="O1179" s="268"/>
    </row>
    <row r="1180" spans="9:15" x14ac:dyDescent="0.25">
      <c r="I1180" s="268"/>
      <c r="O1180" s="268"/>
    </row>
    <row r="1181" spans="9:15" x14ac:dyDescent="0.25">
      <c r="I1181" s="268"/>
      <c r="O1181" s="268"/>
    </row>
    <row r="1182" spans="9:15" x14ac:dyDescent="0.25">
      <c r="I1182" s="268"/>
      <c r="O1182" s="268"/>
    </row>
    <row r="1183" spans="9:15" x14ac:dyDescent="0.25">
      <c r="I1183" s="268"/>
      <c r="O1183" s="268"/>
    </row>
    <row r="1184" spans="9:15" x14ac:dyDescent="0.25">
      <c r="I1184" s="268"/>
      <c r="O1184" s="268"/>
    </row>
    <row r="1185" spans="9:15" x14ac:dyDescent="0.25">
      <c r="I1185" s="268"/>
      <c r="O1185" s="268"/>
    </row>
    <row r="1186" spans="9:15" x14ac:dyDescent="0.25">
      <c r="I1186" s="268"/>
      <c r="O1186" s="268"/>
    </row>
    <row r="1187" spans="9:15" x14ac:dyDescent="0.25">
      <c r="I1187" s="268"/>
      <c r="O1187" s="268"/>
    </row>
    <row r="1188" spans="9:15" x14ac:dyDescent="0.25">
      <c r="I1188" s="268"/>
      <c r="O1188" s="268"/>
    </row>
    <row r="1189" spans="9:15" x14ac:dyDescent="0.25">
      <c r="I1189" s="268"/>
      <c r="O1189" s="268"/>
    </row>
    <row r="1190" spans="9:15" x14ac:dyDescent="0.25">
      <c r="I1190" s="268"/>
      <c r="O1190" s="268"/>
    </row>
    <row r="1191" spans="9:15" x14ac:dyDescent="0.25">
      <c r="I1191" s="268"/>
      <c r="O1191" s="268"/>
    </row>
    <row r="1192" spans="9:15" x14ac:dyDescent="0.25">
      <c r="I1192" s="268"/>
      <c r="O1192" s="268"/>
    </row>
    <row r="1193" spans="9:15" x14ac:dyDescent="0.25">
      <c r="I1193" s="268"/>
      <c r="O1193" s="268"/>
    </row>
    <row r="1194" spans="9:15" x14ac:dyDescent="0.25">
      <c r="I1194" s="268"/>
      <c r="O1194" s="268"/>
    </row>
    <row r="1195" spans="9:15" x14ac:dyDescent="0.25">
      <c r="I1195" s="268"/>
      <c r="O1195" s="268"/>
    </row>
    <row r="1196" spans="9:15" x14ac:dyDescent="0.25">
      <c r="I1196" s="268"/>
      <c r="O1196" s="268"/>
    </row>
    <row r="1197" spans="9:15" x14ac:dyDescent="0.25">
      <c r="I1197" s="268"/>
      <c r="O1197" s="268"/>
    </row>
    <row r="1198" spans="9:15" x14ac:dyDescent="0.25">
      <c r="I1198" s="268"/>
      <c r="O1198" s="268"/>
    </row>
    <row r="1199" spans="9:15" x14ac:dyDescent="0.25">
      <c r="I1199" s="268"/>
      <c r="O1199" s="268"/>
    </row>
    <row r="1200" spans="9:15" x14ac:dyDescent="0.25">
      <c r="I1200" s="268"/>
      <c r="O1200" s="268"/>
    </row>
    <row r="1201" spans="9:15" x14ac:dyDescent="0.25">
      <c r="I1201" s="268"/>
      <c r="O1201" s="268"/>
    </row>
    <row r="1202" spans="9:15" x14ac:dyDescent="0.25">
      <c r="I1202" s="268"/>
      <c r="O1202" s="268"/>
    </row>
    <row r="1203" spans="9:15" x14ac:dyDescent="0.25">
      <c r="I1203" s="268"/>
      <c r="O1203" s="268"/>
    </row>
    <row r="1204" spans="9:15" x14ac:dyDescent="0.25">
      <c r="I1204" s="268"/>
      <c r="O1204" s="268"/>
    </row>
    <row r="1205" spans="9:15" x14ac:dyDescent="0.25">
      <c r="I1205" s="268"/>
      <c r="O1205" s="268"/>
    </row>
    <row r="1206" spans="9:15" x14ac:dyDescent="0.25">
      <c r="I1206" s="268"/>
      <c r="O1206" s="268"/>
    </row>
    <row r="1207" spans="9:15" x14ac:dyDescent="0.25">
      <c r="I1207" s="268"/>
      <c r="O1207" s="268"/>
    </row>
    <row r="1208" spans="9:15" x14ac:dyDescent="0.25">
      <c r="I1208" s="268"/>
      <c r="O1208" s="268"/>
    </row>
    <row r="1209" spans="9:15" x14ac:dyDescent="0.25">
      <c r="I1209" s="268"/>
      <c r="O1209" s="268"/>
    </row>
    <row r="1210" spans="9:15" x14ac:dyDescent="0.25">
      <c r="I1210" s="268"/>
      <c r="O1210" s="268"/>
    </row>
    <row r="1211" spans="9:15" x14ac:dyDescent="0.25">
      <c r="I1211" s="268"/>
      <c r="O1211" s="268"/>
    </row>
    <row r="1212" spans="9:15" x14ac:dyDescent="0.25">
      <c r="I1212" s="268"/>
      <c r="O1212" s="268"/>
    </row>
    <row r="1213" spans="9:15" x14ac:dyDescent="0.25">
      <c r="I1213" s="268"/>
      <c r="O1213" s="268"/>
    </row>
    <row r="1214" spans="9:15" x14ac:dyDescent="0.25">
      <c r="I1214" s="268"/>
      <c r="O1214" s="268"/>
    </row>
    <row r="1215" spans="9:15" x14ac:dyDescent="0.25">
      <c r="I1215" s="268"/>
      <c r="O1215" s="268"/>
    </row>
    <row r="1216" spans="9:15" x14ac:dyDescent="0.25">
      <c r="I1216" s="268"/>
      <c r="O1216" s="268"/>
    </row>
    <row r="1217" spans="9:15" x14ac:dyDescent="0.25">
      <c r="I1217" s="268"/>
      <c r="O1217" s="268"/>
    </row>
    <row r="1218" spans="9:15" x14ac:dyDescent="0.25">
      <c r="I1218" s="268"/>
      <c r="O1218" s="268"/>
    </row>
    <row r="1219" spans="9:15" x14ac:dyDescent="0.25">
      <c r="I1219" s="268"/>
      <c r="O1219" s="268"/>
    </row>
    <row r="1220" spans="9:15" x14ac:dyDescent="0.25">
      <c r="I1220" s="268"/>
      <c r="O1220" s="268"/>
    </row>
    <row r="1221" spans="9:15" x14ac:dyDescent="0.25">
      <c r="I1221" s="268"/>
      <c r="O1221" s="268"/>
    </row>
    <row r="1222" spans="9:15" x14ac:dyDescent="0.25">
      <c r="I1222" s="268"/>
      <c r="O1222" s="268"/>
    </row>
    <row r="1223" spans="9:15" x14ac:dyDescent="0.25">
      <c r="I1223" s="268"/>
      <c r="O1223" s="268"/>
    </row>
    <row r="1224" spans="9:15" x14ac:dyDescent="0.25">
      <c r="I1224" s="268"/>
      <c r="O1224" s="268"/>
    </row>
    <row r="1225" spans="9:15" x14ac:dyDescent="0.25">
      <c r="I1225" s="268"/>
      <c r="O1225" s="268"/>
    </row>
    <row r="1226" spans="9:15" x14ac:dyDescent="0.25">
      <c r="I1226" s="268"/>
      <c r="O1226" s="268"/>
    </row>
    <row r="1227" spans="9:15" x14ac:dyDescent="0.25">
      <c r="I1227" s="268"/>
      <c r="O1227" s="268"/>
    </row>
    <row r="1228" spans="9:15" x14ac:dyDescent="0.25">
      <c r="I1228" s="268"/>
      <c r="O1228" s="268"/>
    </row>
    <row r="1229" spans="9:15" x14ac:dyDescent="0.25">
      <c r="I1229" s="268"/>
      <c r="O1229" s="268"/>
    </row>
    <row r="1230" spans="9:15" x14ac:dyDescent="0.25">
      <c r="I1230" s="268"/>
      <c r="O1230" s="268"/>
    </row>
    <row r="1231" spans="9:15" x14ac:dyDescent="0.25">
      <c r="I1231" s="268"/>
      <c r="O1231" s="268"/>
    </row>
    <row r="1232" spans="9:15" x14ac:dyDescent="0.25">
      <c r="I1232" s="268"/>
      <c r="O1232" s="268"/>
    </row>
    <row r="1233" spans="9:15" x14ac:dyDescent="0.25">
      <c r="I1233" s="268"/>
      <c r="O1233" s="268"/>
    </row>
    <row r="1234" spans="9:15" x14ac:dyDescent="0.25">
      <c r="I1234" s="268"/>
      <c r="O1234" s="268"/>
    </row>
    <row r="1235" spans="9:15" x14ac:dyDescent="0.25">
      <c r="I1235" s="268"/>
      <c r="O1235" s="268"/>
    </row>
    <row r="1236" spans="9:15" x14ac:dyDescent="0.25">
      <c r="I1236" s="268"/>
      <c r="O1236" s="268"/>
    </row>
    <row r="1237" spans="9:15" x14ac:dyDescent="0.25">
      <c r="I1237" s="268"/>
      <c r="O1237" s="268"/>
    </row>
    <row r="1238" spans="9:15" x14ac:dyDescent="0.25">
      <c r="I1238" s="268"/>
      <c r="O1238" s="268"/>
    </row>
    <row r="1239" spans="9:15" x14ac:dyDescent="0.25">
      <c r="I1239" s="268"/>
      <c r="O1239" s="268"/>
    </row>
    <row r="1240" spans="9:15" x14ac:dyDescent="0.25">
      <c r="I1240" s="268"/>
      <c r="O1240" s="268"/>
    </row>
    <row r="1241" spans="9:15" x14ac:dyDescent="0.25">
      <c r="I1241" s="268"/>
      <c r="O1241" s="268"/>
    </row>
    <row r="1242" spans="9:15" x14ac:dyDescent="0.25">
      <c r="I1242" s="268"/>
      <c r="O1242" s="268"/>
    </row>
    <row r="1243" spans="9:15" x14ac:dyDescent="0.25">
      <c r="I1243" s="268"/>
      <c r="O1243" s="268"/>
    </row>
    <row r="1244" spans="9:15" x14ac:dyDescent="0.25">
      <c r="I1244" s="268"/>
      <c r="O1244" s="268"/>
    </row>
    <row r="1245" spans="9:15" x14ac:dyDescent="0.25">
      <c r="I1245" s="268"/>
      <c r="O1245" s="268"/>
    </row>
    <row r="1246" spans="9:15" x14ac:dyDescent="0.25">
      <c r="I1246" s="268"/>
      <c r="O1246" s="268"/>
    </row>
    <row r="1247" spans="9:15" x14ac:dyDescent="0.25">
      <c r="I1247" s="268"/>
      <c r="O1247" s="268"/>
    </row>
    <row r="1248" spans="9:15" x14ac:dyDescent="0.25">
      <c r="I1248" s="268"/>
      <c r="O1248" s="268"/>
    </row>
    <row r="1249" spans="9:15" x14ac:dyDescent="0.25">
      <c r="I1249" s="268"/>
      <c r="O1249" s="268"/>
    </row>
    <row r="1250" spans="9:15" x14ac:dyDescent="0.25">
      <c r="I1250" s="268"/>
      <c r="O1250" s="268"/>
    </row>
    <row r="1251" spans="9:15" x14ac:dyDescent="0.25">
      <c r="I1251" s="268"/>
      <c r="O1251" s="268"/>
    </row>
    <row r="1252" spans="9:15" x14ac:dyDescent="0.25">
      <c r="I1252" s="268"/>
      <c r="O1252" s="268"/>
    </row>
    <row r="1253" spans="9:15" x14ac:dyDescent="0.25">
      <c r="I1253" s="268"/>
      <c r="O1253" s="268"/>
    </row>
    <row r="1254" spans="9:15" x14ac:dyDescent="0.25">
      <c r="I1254" s="268"/>
      <c r="O1254" s="268"/>
    </row>
    <row r="1255" spans="9:15" x14ac:dyDescent="0.25">
      <c r="I1255" s="268"/>
      <c r="O1255" s="268"/>
    </row>
    <row r="1256" spans="9:15" x14ac:dyDescent="0.25">
      <c r="I1256" s="268"/>
      <c r="O1256" s="268"/>
    </row>
    <row r="1257" spans="9:15" x14ac:dyDescent="0.25">
      <c r="I1257" s="268"/>
      <c r="O1257" s="268"/>
    </row>
    <row r="1258" spans="9:15" x14ac:dyDescent="0.25">
      <c r="I1258" s="268"/>
      <c r="O1258" s="268"/>
    </row>
    <row r="1259" spans="9:15" x14ac:dyDescent="0.25">
      <c r="I1259" s="268"/>
      <c r="O1259" s="268"/>
    </row>
    <row r="1260" spans="9:15" x14ac:dyDescent="0.25">
      <c r="I1260" s="268"/>
      <c r="O1260" s="268"/>
    </row>
    <row r="1261" spans="9:15" x14ac:dyDescent="0.25">
      <c r="I1261" s="268"/>
      <c r="O1261" s="268"/>
    </row>
    <row r="1262" spans="9:15" x14ac:dyDescent="0.25">
      <c r="I1262" s="268"/>
      <c r="O1262" s="268"/>
    </row>
    <row r="1263" spans="9:15" x14ac:dyDescent="0.25">
      <c r="I1263" s="268"/>
      <c r="O1263" s="268"/>
    </row>
    <row r="1264" spans="9:15" x14ac:dyDescent="0.25">
      <c r="I1264" s="268"/>
      <c r="O1264" s="268"/>
    </row>
    <row r="1265" spans="9:15" x14ac:dyDescent="0.25">
      <c r="I1265" s="268"/>
      <c r="O1265" s="268"/>
    </row>
    <row r="1266" spans="9:15" x14ac:dyDescent="0.25">
      <c r="I1266" s="268"/>
      <c r="O1266" s="268"/>
    </row>
    <row r="1267" spans="9:15" x14ac:dyDescent="0.25">
      <c r="I1267" s="268"/>
      <c r="O1267" s="268"/>
    </row>
    <row r="1268" spans="9:15" x14ac:dyDescent="0.25">
      <c r="I1268" s="268"/>
      <c r="O1268" s="268"/>
    </row>
    <row r="1269" spans="9:15" x14ac:dyDescent="0.25">
      <c r="I1269" s="268"/>
      <c r="O1269" s="268"/>
    </row>
    <row r="1270" spans="9:15" x14ac:dyDescent="0.25">
      <c r="I1270" s="268"/>
      <c r="O1270" s="268"/>
    </row>
    <row r="1271" spans="9:15" x14ac:dyDescent="0.25">
      <c r="I1271" s="268"/>
      <c r="O1271" s="268"/>
    </row>
    <row r="1272" spans="9:15" x14ac:dyDescent="0.25">
      <c r="I1272" s="268"/>
      <c r="O1272" s="268"/>
    </row>
    <row r="1273" spans="9:15" x14ac:dyDescent="0.25">
      <c r="I1273" s="268"/>
      <c r="O1273" s="268"/>
    </row>
    <row r="1274" spans="9:15" x14ac:dyDescent="0.25">
      <c r="I1274" s="268"/>
      <c r="O1274" s="268"/>
    </row>
    <row r="1275" spans="9:15" x14ac:dyDescent="0.25">
      <c r="I1275" s="268"/>
      <c r="O1275" s="268"/>
    </row>
    <row r="1276" spans="9:15" x14ac:dyDescent="0.25">
      <c r="I1276" s="268"/>
      <c r="O1276" s="268"/>
    </row>
    <row r="1277" spans="9:15" x14ac:dyDescent="0.25">
      <c r="I1277" s="268"/>
      <c r="O1277" s="268"/>
    </row>
    <row r="1278" spans="9:15" x14ac:dyDescent="0.25">
      <c r="I1278" s="268"/>
      <c r="O1278" s="268"/>
    </row>
    <row r="1279" spans="9:15" x14ac:dyDescent="0.25">
      <c r="I1279" s="268"/>
      <c r="O1279" s="268"/>
    </row>
    <row r="1280" spans="9:15" x14ac:dyDescent="0.25">
      <c r="I1280" s="268"/>
      <c r="O1280" s="268"/>
    </row>
    <row r="1281" spans="9:15" x14ac:dyDescent="0.25">
      <c r="I1281" s="268"/>
      <c r="O1281" s="268"/>
    </row>
    <row r="1282" spans="9:15" x14ac:dyDescent="0.25">
      <c r="I1282" s="268"/>
      <c r="O1282" s="268"/>
    </row>
    <row r="1283" spans="9:15" x14ac:dyDescent="0.25">
      <c r="I1283" s="268"/>
      <c r="O1283" s="268"/>
    </row>
    <row r="1284" spans="9:15" x14ac:dyDescent="0.25">
      <c r="I1284" s="268"/>
      <c r="O1284" s="268"/>
    </row>
    <row r="1285" spans="9:15" x14ac:dyDescent="0.25">
      <c r="I1285" s="268"/>
      <c r="O1285" s="268"/>
    </row>
    <row r="1286" spans="9:15" x14ac:dyDescent="0.25">
      <c r="I1286" s="268"/>
      <c r="O1286" s="268"/>
    </row>
    <row r="1287" spans="9:15" x14ac:dyDescent="0.25">
      <c r="I1287" s="268"/>
      <c r="O1287" s="268"/>
    </row>
    <row r="1288" spans="9:15" x14ac:dyDescent="0.25">
      <c r="I1288" s="268"/>
      <c r="O1288" s="268"/>
    </row>
    <row r="1289" spans="9:15" x14ac:dyDescent="0.25">
      <c r="I1289" s="268"/>
      <c r="O1289" s="268"/>
    </row>
    <row r="1290" spans="9:15" x14ac:dyDescent="0.25">
      <c r="I1290" s="268"/>
      <c r="O1290" s="268"/>
    </row>
    <row r="1291" spans="9:15" x14ac:dyDescent="0.25">
      <c r="I1291" s="268"/>
      <c r="O1291" s="268"/>
    </row>
    <row r="1292" spans="9:15" x14ac:dyDescent="0.25">
      <c r="I1292" s="268"/>
      <c r="O1292" s="268"/>
    </row>
    <row r="1293" spans="9:15" x14ac:dyDescent="0.25">
      <c r="I1293" s="268"/>
      <c r="O1293" s="268"/>
    </row>
    <row r="1294" spans="9:15" x14ac:dyDescent="0.25">
      <c r="I1294" s="268"/>
      <c r="O1294" s="268"/>
    </row>
    <row r="1295" spans="9:15" x14ac:dyDescent="0.25">
      <c r="I1295" s="268"/>
      <c r="O1295" s="268"/>
    </row>
    <row r="1296" spans="9:15" x14ac:dyDescent="0.25">
      <c r="I1296" s="268"/>
      <c r="O1296" s="268"/>
    </row>
    <row r="1297" spans="9:15" x14ac:dyDescent="0.25">
      <c r="I1297" s="268"/>
      <c r="O1297" s="268"/>
    </row>
    <row r="1298" spans="9:15" x14ac:dyDescent="0.25">
      <c r="I1298" s="268"/>
      <c r="O1298" s="268"/>
    </row>
    <row r="1299" spans="9:15" x14ac:dyDescent="0.25">
      <c r="I1299" s="268"/>
      <c r="O1299" s="268"/>
    </row>
    <row r="1300" spans="9:15" x14ac:dyDescent="0.25">
      <c r="I1300" s="268"/>
      <c r="O1300" s="268"/>
    </row>
    <row r="1301" spans="9:15" x14ac:dyDescent="0.25">
      <c r="I1301" s="268"/>
      <c r="O1301" s="268"/>
    </row>
    <row r="1302" spans="9:15" x14ac:dyDescent="0.25">
      <c r="I1302" s="268"/>
      <c r="O1302" s="268"/>
    </row>
    <row r="1303" spans="9:15" x14ac:dyDescent="0.25">
      <c r="I1303" s="268"/>
      <c r="O1303" s="268"/>
    </row>
    <row r="1304" spans="9:15" x14ac:dyDescent="0.25">
      <c r="I1304" s="268"/>
      <c r="O1304" s="268"/>
    </row>
    <row r="1305" spans="9:15" x14ac:dyDescent="0.25">
      <c r="I1305" s="268"/>
      <c r="O1305" s="268"/>
    </row>
    <row r="1306" spans="9:15" x14ac:dyDescent="0.25">
      <c r="I1306" s="268"/>
      <c r="O1306" s="268"/>
    </row>
    <row r="1307" spans="9:15" x14ac:dyDescent="0.25">
      <c r="I1307" s="268"/>
      <c r="O1307" s="268"/>
    </row>
    <row r="1308" spans="9:15" x14ac:dyDescent="0.25">
      <c r="I1308" s="268"/>
      <c r="O1308" s="268"/>
    </row>
    <row r="1309" spans="9:15" x14ac:dyDescent="0.25">
      <c r="I1309" s="268"/>
      <c r="O1309" s="268"/>
    </row>
    <row r="1310" spans="9:15" x14ac:dyDescent="0.25">
      <c r="I1310" s="268"/>
      <c r="O1310" s="268"/>
    </row>
    <row r="1311" spans="9:15" x14ac:dyDescent="0.25">
      <c r="I1311" s="268"/>
      <c r="O1311" s="268"/>
    </row>
    <row r="1312" spans="9:15" x14ac:dyDescent="0.25">
      <c r="I1312" s="268"/>
      <c r="O1312" s="268"/>
    </row>
    <row r="1313" spans="9:15" x14ac:dyDescent="0.25">
      <c r="I1313" s="268"/>
      <c r="O1313" s="268"/>
    </row>
    <row r="1314" spans="9:15" x14ac:dyDescent="0.25">
      <c r="I1314" s="268"/>
      <c r="O1314" s="268"/>
    </row>
    <row r="1315" spans="9:15" x14ac:dyDescent="0.25">
      <c r="I1315" s="268"/>
      <c r="O1315" s="268"/>
    </row>
    <row r="1316" spans="9:15" x14ac:dyDescent="0.25">
      <c r="I1316" s="268"/>
      <c r="O1316" s="268"/>
    </row>
    <row r="1317" spans="9:15" x14ac:dyDescent="0.25">
      <c r="I1317" s="268"/>
      <c r="O1317" s="268"/>
    </row>
    <row r="1318" spans="9:15" x14ac:dyDescent="0.25">
      <c r="I1318" s="268"/>
      <c r="O1318" s="268"/>
    </row>
    <row r="1319" spans="9:15" x14ac:dyDescent="0.25">
      <c r="I1319" s="268"/>
      <c r="O1319" s="268"/>
    </row>
    <row r="1320" spans="9:15" x14ac:dyDescent="0.25">
      <c r="I1320" s="268"/>
      <c r="O1320" s="268"/>
    </row>
    <row r="1321" spans="9:15" x14ac:dyDescent="0.25">
      <c r="I1321" s="268"/>
      <c r="O1321" s="268"/>
    </row>
    <row r="1322" spans="9:15" x14ac:dyDescent="0.25">
      <c r="I1322" s="268"/>
      <c r="O1322" s="268"/>
    </row>
    <row r="1323" spans="9:15" x14ac:dyDescent="0.25">
      <c r="I1323" s="268"/>
      <c r="O1323" s="268"/>
    </row>
    <row r="1324" spans="9:15" x14ac:dyDescent="0.25">
      <c r="I1324" s="268"/>
      <c r="O1324" s="268"/>
    </row>
    <row r="1325" spans="9:15" x14ac:dyDescent="0.25">
      <c r="I1325" s="268"/>
      <c r="O1325" s="268"/>
    </row>
    <row r="1326" spans="9:15" x14ac:dyDescent="0.25">
      <c r="I1326" s="268"/>
      <c r="O1326" s="268"/>
    </row>
    <row r="1327" spans="9:15" x14ac:dyDescent="0.25">
      <c r="I1327" s="268"/>
      <c r="O1327" s="268"/>
    </row>
    <row r="1328" spans="9:15" x14ac:dyDescent="0.25">
      <c r="I1328" s="268"/>
      <c r="O1328" s="268"/>
    </row>
    <row r="1329" spans="9:15" x14ac:dyDescent="0.25">
      <c r="I1329" s="268"/>
      <c r="O1329" s="268"/>
    </row>
    <row r="1330" spans="9:15" x14ac:dyDescent="0.25">
      <c r="I1330" s="268"/>
      <c r="O1330" s="268"/>
    </row>
    <row r="1331" spans="9:15" x14ac:dyDescent="0.25">
      <c r="I1331" s="268"/>
      <c r="O1331" s="268"/>
    </row>
    <row r="1332" spans="9:15" x14ac:dyDescent="0.25">
      <c r="I1332" s="268"/>
      <c r="O1332" s="268"/>
    </row>
    <row r="1333" spans="9:15" x14ac:dyDescent="0.25">
      <c r="I1333" s="268"/>
      <c r="O1333" s="268"/>
    </row>
    <row r="1334" spans="9:15" x14ac:dyDescent="0.25">
      <c r="I1334" s="268"/>
      <c r="O1334" s="268"/>
    </row>
    <row r="1335" spans="9:15" x14ac:dyDescent="0.25">
      <c r="I1335" s="268"/>
      <c r="O1335" s="268"/>
    </row>
    <row r="1336" spans="9:15" x14ac:dyDescent="0.25">
      <c r="I1336" s="268"/>
      <c r="O1336" s="268"/>
    </row>
    <row r="1337" spans="9:15" x14ac:dyDescent="0.25">
      <c r="I1337" s="268"/>
      <c r="O1337" s="268"/>
    </row>
    <row r="1338" spans="9:15" x14ac:dyDescent="0.25">
      <c r="I1338" s="268"/>
      <c r="O1338" s="268"/>
    </row>
    <row r="1339" spans="9:15" x14ac:dyDescent="0.25">
      <c r="I1339" s="268"/>
      <c r="O1339" s="268"/>
    </row>
    <row r="1340" spans="9:15" x14ac:dyDescent="0.25">
      <c r="I1340" s="268"/>
      <c r="O1340" s="268"/>
    </row>
    <row r="1341" spans="9:15" x14ac:dyDescent="0.25">
      <c r="I1341" s="268"/>
      <c r="O1341" s="268"/>
    </row>
    <row r="1342" spans="9:15" x14ac:dyDescent="0.25">
      <c r="I1342" s="268"/>
      <c r="O1342" s="268"/>
    </row>
    <row r="1343" spans="9:15" x14ac:dyDescent="0.25">
      <c r="I1343" s="268"/>
      <c r="O1343" s="268"/>
    </row>
    <row r="1344" spans="9:15" x14ac:dyDescent="0.25">
      <c r="I1344" s="268"/>
      <c r="O1344" s="268"/>
    </row>
    <row r="1345" spans="9:15" x14ac:dyDescent="0.25">
      <c r="I1345" s="268"/>
      <c r="O1345" s="268"/>
    </row>
    <row r="1346" spans="9:15" x14ac:dyDescent="0.25">
      <c r="I1346" s="268"/>
      <c r="O1346" s="268"/>
    </row>
    <row r="1347" spans="9:15" x14ac:dyDescent="0.25">
      <c r="I1347" s="268"/>
      <c r="O1347" s="268"/>
    </row>
    <row r="1348" spans="9:15" x14ac:dyDescent="0.25">
      <c r="I1348" s="268"/>
      <c r="O1348" s="268"/>
    </row>
    <row r="1349" spans="9:15" x14ac:dyDescent="0.25">
      <c r="I1349" s="268"/>
      <c r="O1349" s="268"/>
    </row>
    <row r="1350" spans="9:15" x14ac:dyDescent="0.25">
      <c r="I1350" s="268"/>
      <c r="O1350" s="268"/>
    </row>
    <row r="1351" spans="9:15" x14ac:dyDescent="0.25">
      <c r="I1351" s="268"/>
      <c r="O1351" s="268"/>
    </row>
    <row r="1352" spans="9:15" x14ac:dyDescent="0.25">
      <c r="I1352" s="268"/>
      <c r="O1352" s="268"/>
    </row>
    <row r="1353" spans="9:15" x14ac:dyDescent="0.25">
      <c r="I1353" s="268"/>
      <c r="O1353" s="268"/>
    </row>
    <row r="1354" spans="9:15" x14ac:dyDescent="0.25">
      <c r="I1354" s="268"/>
      <c r="O1354" s="268"/>
    </row>
    <row r="1355" spans="9:15" x14ac:dyDescent="0.25">
      <c r="I1355" s="268"/>
      <c r="O1355" s="268"/>
    </row>
    <row r="1356" spans="9:15" x14ac:dyDescent="0.25">
      <c r="I1356" s="268"/>
      <c r="O1356" s="268"/>
    </row>
    <row r="1357" spans="9:15" x14ac:dyDescent="0.25">
      <c r="I1357" s="268"/>
      <c r="O1357" s="268"/>
    </row>
    <row r="1358" spans="9:15" x14ac:dyDescent="0.25">
      <c r="I1358" s="268"/>
      <c r="O1358" s="268"/>
    </row>
    <row r="1359" spans="9:15" x14ac:dyDescent="0.25">
      <c r="I1359" s="268"/>
      <c r="O1359" s="268"/>
    </row>
    <row r="1360" spans="9:15" x14ac:dyDescent="0.25">
      <c r="I1360" s="268"/>
      <c r="O1360" s="268"/>
    </row>
    <row r="1361" spans="9:15" x14ac:dyDescent="0.25">
      <c r="I1361" s="268"/>
      <c r="O1361" s="268"/>
    </row>
    <row r="1362" spans="9:15" x14ac:dyDescent="0.25">
      <c r="I1362" s="268"/>
      <c r="O1362" s="268"/>
    </row>
    <row r="1363" spans="9:15" x14ac:dyDescent="0.25">
      <c r="I1363" s="268"/>
      <c r="O1363" s="268"/>
    </row>
    <row r="1364" spans="9:15" x14ac:dyDescent="0.25">
      <c r="I1364" s="268"/>
      <c r="O1364" s="268"/>
    </row>
    <row r="1365" spans="9:15" x14ac:dyDescent="0.25">
      <c r="I1365" s="268"/>
      <c r="O1365" s="268"/>
    </row>
    <row r="1366" spans="9:15" x14ac:dyDescent="0.25">
      <c r="I1366" s="268"/>
      <c r="O1366" s="268"/>
    </row>
    <row r="1367" spans="9:15" x14ac:dyDescent="0.25">
      <c r="I1367" s="268"/>
      <c r="O1367" s="268"/>
    </row>
    <row r="1368" spans="9:15" x14ac:dyDescent="0.25">
      <c r="I1368" s="268"/>
      <c r="O1368" s="268"/>
    </row>
    <row r="1369" spans="9:15" x14ac:dyDescent="0.25">
      <c r="I1369" s="268"/>
      <c r="O1369" s="268"/>
    </row>
    <row r="1370" spans="9:15" x14ac:dyDescent="0.25">
      <c r="I1370" s="268"/>
      <c r="O1370" s="268"/>
    </row>
    <row r="1371" spans="9:15" x14ac:dyDescent="0.25">
      <c r="I1371" s="268"/>
      <c r="O1371" s="268"/>
    </row>
    <row r="1372" spans="9:15" x14ac:dyDescent="0.25">
      <c r="I1372" s="268"/>
      <c r="O1372" s="268"/>
    </row>
    <row r="1373" spans="9:15" x14ac:dyDescent="0.25">
      <c r="I1373" s="268"/>
      <c r="O1373" s="268"/>
    </row>
    <row r="1374" spans="9:15" x14ac:dyDescent="0.25">
      <c r="I1374" s="268"/>
      <c r="O1374" s="268"/>
    </row>
    <row r="1375" spans="9:15" x14ac:dyDescent="0.25">
      <c r="I1375" s="268"/>
      <c r="O1375" s="268"/>
    </row>
    <row r="1376" spans="9:15" x14ac:dyDescent="0.25">
      <c r="I1376" s="268"/>
      <c r="O1376" s="268"/>
    </row>
    <row r="1377" spans="9:15" x14ac:dyDescent="0.25">
      <c r="I1377" s="268"/>
      <c r="O1377" s="268"/>
    </row>
    <row r="1378" spans="9:15" x14ac:dyDescent="0.25">
      <c r="I1378" s="268"/>
      <c r="O1378" s="268"/>
    </row>
    <row r="1379" spans="9:15" x14ac:dyDescent="0.25">
      <c r="I1379" s="268"/>
      <c r="O1379" s="268"/>
    </row>
    <row r="1380" spans="9:15" x14ac:dyDescent="0.25">
      <c r="I1380" s="268"/>
      <c r="O1380" s="268"/>
    </row>
    <row r="1381" spans="9:15" x14ac:dyDescent="0.25">
      <c r="I1381" s="268"/>
      <c r="O1381" s="268"/>
    </row>
    <row r="1382" spans="9:15" x14ac:dyDescent="0.25">
      <c r="I1382" s="268"/>
      <c r="O1382" s="268"/>
    </row>
    <row r="1383" spans="9:15" x14ac:dyDescent="0.25">
      <c r="I1383" s="268"/>
      <c r="O1383" s="268"/>
    </row>
    <row r="1384" spans="9:15" x14ac:dyDescent="0.25">
      <c r="I1384" s="268"/>
      <c r="O1384" s="268"/>
    </row>
    <row r="1385" spans="9:15" x14ac:dyDescent="0.25">
      <c r="I1385" s="268"/>
      <c r="O1385" s="268"/>
    </row>
    <row r="1386" spans="9:15" x14ac:dyDescent="0.25">
      <c r="I1386" s="268"/>
      <c r="O1386" s="268"/>
    </row>
    <row r="1387" spans="9:15" x14ac:dyDescent="0.25">
      <c r="I1387" s="268"/>
      <c r="O1387" s="268"/>
    </row>
    <row r="1388" spans="9:15" x14ac:dyDescent="0.25">
      <c r="I1388" s="268"/>
      <c r="O1388" s="268"/>
    </row>
    <row r="1389" spans="9:15" x14ac:dyDescent="0.25">
      <c r="I1389" s="268"/>
      <c r="O1389" s="268"/>
    </row>
    <row r="1390" spans="9:15" x14ac:dyDescent="0.25">
      <c r="I1390" s="268"/>
      <c r="O1390" s="268"/>
    </row>
    <row r="1391" spans="9:15" x14ac:dyDescent="0.25">
      <c r="I1391" s="268"/>
      <c r="O1391" s="268"/>
    </row>
    <row r="1392" spans="9:15" x14ac:dyDescent="0.25">
      <c r="I1392" s="268"/>
      <c r="O1392" s="268"/>
    </row>
    <row r="1393" spans="9:15" x14ac:dyDescent="0.25">
      <c r="I1393" s="268"/>
      <c r="O1393" s="268"/>
    </row>
    <row r="1394" spans="9:15" x14ac:dyDescent="0.25">
      <c r="I1394" s="268"/>
      <c r="O1394" s="268"/>
    </row>
    <row r="1395" spans="9:15" x14ac:dyDescent="0.25">
      <c r="I1395" s="268"/>
      <c r="O1395" s="268"/>
    </row>
    <row r="1396" spans="9:15" x14ac:dyDescent="0.25">
      <c r="I1396" s="268"/>
      <c r="O1396" s="268"/>
    </row>
    <row r="1397" spans="9:15" x14ac:dyDescent="0.25">
      <c r="I1397" s="268"/>
      <c r="O1397" s="268"/>
    </row>
    <row r="1398" spans="9:15" x14ac:dyDescent="0.25">
      <c r="I1398" s="268"/>
      <c r="O1398" s="268"/>
    </row>
    <row r="1399" spans="9:15" x14ac:dyDescent="0.25">
      <c r="I1399" s="268"/>
      <c r="O1399" s="268"/>
    </row>
    <row r="1400" spans="9:15" x14ac:dyDescent="0.25">
      <c r="I1400" s="268"/>
      <c r="O1400" s="268"/>
    </row>
    <row r="1401" spans="9:15" x14ac:dyDescent="0.25">
      <c r="I1401" s="268"/>
      <c r="O1401" s="268"/>
    </row>
    <row r="1402" spans="9:15" x14ac:dyDescent="0.25">
      <c r="I1402" s="268"/>
      <c r="O1402" s="268"/>
    </row>
    <row r="1403" spans="9:15" x14ac:dyDescent="0.25">
      <c r="I1403" s="268"/>
      <c r="O1403" s="268"/>
    </row>
    <row r="1404" spans="9:15" x14ac:dyDescent="0.25">
      <c r="I1404" s="268"/>
      <c r="O1404" s="268"/>
    </row>
    <row r="1405" spans="9:15" x14ac:dyDescent="0.25">
      <c r="I1405" s="268"/>
      <c r="O1405" s="268"/>
    </row>
    <row r="1406" spans="9:15" x14ac:dyDescent="0.25">
      <c r="I1406" s="268"/>
      <c r="O1406" s="268"/>
    </row>
    <row r="1407" spans="9:15" x14ac:dyDescent="0.25">
      <c r="I1407" s="268"/>
      <c r="O1407" s="268"/>
    </row>
    <row r="1408" spans="9:15" x14ac:dyDescent="0.25">
      <c r="I1408" s="268"/>
      <c r="O1408" s="268"/>
    </row>
    <row r="1409" spans="9:15" x14ac:dyDescent="0.25">
      <c r="I1409" s="268"/>
      <c r="O1409" s="268"/>
    </row>
    <row r="1410" spans="9:15" x14ac:dyDescent="0.25">
      <c r="I1410" s="268"/>
      <c r="O1410" s="268"/>
    </row>
    <row r="1411" spans="9:15" x14ac:dyDescent="0.25">
      <c r="I1411" s="268"/>
      <c r="O1411" s="268"/>
    </row>
    <row r="1412" spans="9:15" x14ac:dyDescent="0.25">
      <c r="I1412" s="268"/>
      <c r="O1412" s="268"/>
    </row>
    <row r="1413" spans="9:15" x14ac:dyDescent="0.25">
      <c r="I1413" s="268"/>
      <c r="O1413" s="268"/>
    </row>
    <row r="1414" spans="9:15" x14ac:dyDescent="0.25">
      <c r="I1414" s="268"/>
      <c r="O1414" s="268"/>
    </row>
    <row r="1415" spans="9:15" x14ac:dyDescent="0.25">
      <c r="I1415" s="268"/>
      <c r="O1415" s="268"/>
    </row>
    <row r="1416" spans="9:15" x14ac:dyDescent="0.25">
      <c r="I1416" s="268"/>
      <c r="O1416" s="268"/>
    </row>
    <row r="1417" spans="9:15" x14ac:dyDescent="0.25">
      <c r="I1417" s="268"/>
      <c r="O1417" s="268"/>
    </row>
    <row r="1418" spans="9:15" x14ac:dyDescent="0.25">
      <c r="I1418" s="268"/>
      <c r="O1418" s="268"/>
    </row>
    <row r="1419" spans="9:15" x14ac:dyDescent="0.25">
      <c r="I1419" s="268"/>
      <c r="O1419" s="268"/>
    </row>
    <row r="1420" spans="9:15" x14ac:dyDescent="0.25">
      <c r="I1420" s="268"/>
      <c r="O1420" s="268"/>
    </row>
    <row r="1421" spans="9:15" x14ac:dyDescent="0.25">
      <c r="I1421" s="268"/>
      <c r="O1421" s="268"/>
    </row>
    <row r="1422" spans="9:15" x14ac:dyDescent="0.25">
      <c r="I1422" s="268"/>
      <c r="O1422" s="268"/>
    </row>
    <row r="1423" spans="9:15" x14ac:dyDescent="0.25">
      <c r="I1423" s="268"/>
      <c r="O1423" s="268"/>
    </row>
    <row r="1424" spans="9:15" x14ac:dyDescent="0.25">
      <c r="I1424" s="268"/>
      <c r="O1424" s="268"/>
    </row>
    <row r="1425" spans="9:15" x14ac:dyDescent="0.25">
      <c r="I1425" s="268"/>
      <c r="O1425" s="268"/>
    </row>
    <row r="1426" spans="9:15" x14ac:dyDescent="0.25">
      <c r="I1426" s="268"/>
      <c r="O1426" s="268"/>
    </row>
    <row r="1427" spans="9:15" x14ac:dyDescent="0.25">
      <c r="I1427" s="268"/>
      <c r="O1427" s="268"/>
    </row>
    <row r="1428" spans="9:15" x14ac:dyDescent="0.25">
      <c r="I1428" s="268"/>
      <c r="O1428" s="268"/>
    </row>
    <row r="1429" spans="9:15" x14ac:dyDescent="0.25">
      <c r="I1429" s="268"/>
      <c r="O1429" s="268"/>
    </row>
    <row r="1430" spans="9:15" x14ac:dyDescent="0.25">
      <c r="I1430" s="268"/>
      <c r="O1430" s="268"/>
    </row>
    <row r="1431" spans="9:15" x14ac:dyDescent="0.25">
      <c r="I1431" s="268"/>
      <c r="O1431" s="268"/>
    </row>
    <row r="1432" spans="9:15" x14ac:dyDescent="0.25">
      <c r="I1432" s="268"/>
      <c r="O1432" s="268"/>
    </row>
    <row r="1433" spans="9:15" x14ac:dyDescent="0.25">
      <c r="I1433" s="268"/>
      <c r="O1433" s="268"/>
    </row>
    <row r="1434" spans="9:15" x14ac:dyDescent="0.25">
      <c r="I1434" s="268"/>
      <c r="O1434" s="268"/>
    </row>
    <row r="1435" spans="9:15" x14ac:dyDescent="0.25">
      <c r="I1435" s="268"/>
      <c r="O1435" s="268"/>
    </row>
    <row r="1436" spans="9:15" x14ac:dyDescent="0.25">
      <c r="I1436" s="268"/>
      <c r="O1436" s="268"/>
    </row>
    <row r="1437" spans="9:15" x14ac:dyDescent="0.25">
      <c r="I1437" s="268"/>
      <c r="O1437" s="268"/>
    </row>
    <row r="1438" spans="9:15" x14ac:dyDescent="0.25">
      <c r="I1438" s="268"/>
      <c r="O1438" s="268"/>
    </row>
    <row r="1439" spans="9:15" x14ac:dyDescent="0.25">
      <c r="I1439" s="268"/>
      <c r="O1439" s="268"/>
    </row>
    <row r="1440" spans="9:15" x14ac:dyDescent="0.25">
      <c r="I1440" s="268"/>
      <c r="O1440" s="268"/>
    </row>
    <row r="1441" spans="9:15" x14ac:dyDescent="0.25">
      <c r="I1441" s="268"/>
      <c r="O1441" s="268"/>
    </row>
    <row r="1442" spans="9:15" x14ac:dyDescent="0.25">
      <c r="I1442" s="268"/>
      <c r="O1442" s="268"/>
    </row>
    <row r="1443" spans="9:15" x14ac:dyDescent="0.25">
      <c r="I1443" s="268"/>
      <c r="O1443" s="268"/>
    </row>
    <row r="1444" spans="9:15" x14ac:dyDescent="0.25">
      <c r="I1444" s="268"/>
      <c r="O1444" s="268"/>
    </row>
    <row r="1445" spans="9:15" x14ac:dyDescent="0.25">
      <c r="I1445" s="268"/>
      <c r="O1445" s="268"/>
    </row>
    <row r="1446" spans="9:15" x14ac:dyDescent="0.25">
      <c r="I1446" s="268"/>
      <c r="O1446" s="268"/>
    </row>
    <row r="1447" spans="9:15" x14ac:dyDescent="0.25">
      <c r="I1447" s="268"/>
      <c r="O1447" s="268"/>
    </row>
    <row r="1448" spans="9:15" x14ac:dyDescent="0.25">
      <c r="I1448" s="268"/>
      <c r="O1448" s="268"/>
    </row>
    <row r="1449" spans="9:15" x14ac:dyDescent="0.25">
      <c r="I1449" s="268"/>
      <c r="O1449" s="268"/>
    </row>
    <row r="1450" spans="9:15" x14ac:dyDescent="0.25">
      <c r="I1450" s="268"/>
      <c r="O1450" s="268"/>
    </row>
    <row r="1451" spans="9:15" x14ac:dyDescent="0.25">
      <c r="I1451" s="268"/>
      <c r="O1451" s="268"/>
    </row>
    <row r="1452" spans="9:15" x14ac:dyDescent="0.25">
      <c r="I1452" s="268"/>
      <c r="O1452" s="268"/>
    </row>
    <row r="1453" spans="9:15" x14ac:dyDescent="0.25">
      <c r="I1453" s="268"/>
      <c r="O1453" s="268"/>
    </row>
    <row r="1454" spans="9:15" x14ac:dyDescent="0.25">
      <c r="I1454" s="268"/>
      <c r="O1454" s="268"/>
    </row>
    <row r="1455" spans="9:15" x14ac:dyDescent="0.25">
      <c r="I1455" s="268"/>
      <c r="O1455" s="268"/>
    </row>
    <row r="1456" spans="9:15" x14ac:dyDescent="0.25">
      <c r="I1456" s="268"/>
      <c r="O1456" s="268"/>
    </row>
    <row r="1457" spans="9:15" x14ac:dyDescent="0.25">
      <c r="I1457" s="268"/>
      <c r="O1457" s="268"/>
    </row>
    <row r="1458" spans="9:15" x14ac:dyDescent="0.25">
      <c r="I1458" s="268"/>
      <c r="O1458" s="268"/>
    </row>
    <row r="1459" spans="9:15" x14ac:dyDescent="0.25">
      <c r="I1459" s="268"/>
      <c r="O1459" s="268"/>
    </row>
    <row r="1460" spans="9:15" x14ac:dyDescent="0.25">
      <c r="I1460" s="268"/>
      <c r="O1460" s="268"/>
    </row>
    <row r="1461" spans="9:15" x14ac:dyDescent="0.25">
      <c r="I1461" s="268"/>
      <c r="O1461" s="268"/>
    </row>
    <row r="1462" spans="9:15" x14ac:dyDescent="0.25">
      <c r="I1462" s="268"/>
      <c r="O1462" s="268"/>
    </row>
    <row r="1463" spans="9:15" x14ac:dyDescent="0.25">
      <c r="I1463" s="268"/>
      <c r="O1463" s="268"/>
    </row>
    <row r="1464" spans="9:15" x14ac:dyDescent="0.25">
      <c r="I1464" s="268"/>
      <c r="O1464" s="268"/>
    </row>
    <row r="1465" spans="9:15" x14ac:dyDescent="0.25">
      <c r="I1465" s="268"/>
      <c r="O1465" s="268"/>
    </row>
    <row r="1466" spans="9:15" x14ac:dyDescent="0.25">
      <c r="I1466" s="268"/>
      <c r="O1466" s="268"/>
    </row>
    <row r="1467" spans="9:15" x14ac:dyDescent="0.25">
      <c r="I1467" s="268"/>
      <c r="O1467" s="268"/>
    </row>
    <row r="1468" spans="9:15" x14ac:dyDescent="0.25">
      <c r="I1468" s="268"/>
      <c r="O1468" s="268"/>
    </row>
    <row r="1469" spans="9:15" x14ac:dyDescent="0.25">
      <c r="I1469" s="268"/>
      <c r="O1469" s="268"/>
    </row>
    <row r="1470" spans="9:15" x14ac:dyDescent="0.25">
      <c r="I1470" s="268"/>
      <c r="O1470" s="268"/>
    </row>
    <row r="1471" spans="9:15" x14ac:dyDescent="0.25">
      <c r="I1471" s="268"/>
      <c r="O1471" s="268"/>
    </row>
    <row r="1472" spans="9:15" x14ac:dyDescent="0.25">
      <c r="I1472" s="268"/>
      <c r="O1472" s="268"/>
    </row>
    <row r="1473" spans="9:15" x14ac:dyDescent="0.25">
      <c r="I1473" s="268"/>
      <c r="O1473" s="268"/>
    </row>
    <row r="1474" spans="9:15" x14ac:dyDescent="0.25">
      <c r="I1474" s="268"/>
      <c r="O1474" s="268"/>
    </row>
    <row r="1475" spans="9:15" x14ac:dyDescent="0.25">
      <c r="I1475" s="268"/>
      <c r="O1475" s="268"/>
    </row>
    <row r="1476" spans="9:15" x14ac:dyDescent="0.25">
      <c r="I1476" s="268"/>
      <c r="O1476" s="268"/>
    </row>
    <row r="1477" spans="9:15" x14ac:dyDescent="0.25">
      <c r="I1477" s="268"/>
      <c r="O1477" s="268"/>
    </row>
    <row r="1478" spans="9:15" x14ac:dyDescent="0.25">
      <c r="I1478" s="268"/>
      <c r="O1478" s="268"/>
    </row>
    <row r="1479" spans="9:15" x14ac:dyDescent="0.25">
      <c r="I1479" s="268"/>
      <c r="O1479" s="268"/>
    </row>
    <row r="1480" spans="9:15" x14ac:dyDescent="0.25">
      <c r="I1480" s="268"/>
      <c r="O1480" s="268"/>
    </row>
    <row r="1481" spans="9:15" x14ac:dyDescent="0.25">
      <c r="I1481" s="268"/>
      <c r="O1481" s="268"/>
    </row>
    <row r="1482" spans="9:15" x14ac:dyDescent="0.25">
      <c r="I1482" s="268"/>
      <c r="O1482" s="268"/>
    </row>
    <row r="1483" spans="9:15" x14ac:dyDescent="0.25">
      <c r="I1483" s="268"/>
      <c r="O1483" s="268"/>
    </row>
    <row r="1484" spans="9:15" x14ac:dyDescent="0.25">
      <c r="I1484" s="268"/>
      <c r="O1484" s="268"/>
    </row>
    <row r="1485" spans="9:15" x14ac:dyDescent="0.25">
      <c r="I1485" s="268"/>
      <c r="O1485" s="268"/>
    </row>
    <row r="1486" spans="9:15" x14ac:dyDescent="0.25">
      <c r="I1486" s="268"/>
      <c r="O1486" s="268"/>
    </row>
    <row r="1487" spans="9:15" x14ac:dyDescent="0.25">
      <c r="I1487" s="268"/>
      <c r="O1487" s="268"/>
    </row>
    <row r="1488" spans="9:15" x14ac:dyDescent="0.25">
      <c r="I1488" s="268"/>
      <c r="O1488" s="268"/>
    </row>
    <row r="1489" spans="9:15" x14ac:dyDescent="0.25">
      <c r="I1489" s="268"/>
      <c r="O1489" s="268"/>
    </row>
    <row r="1490" spans="9:15" x14ac:dyDescent="0.25">
      <c r="I1490" s="268"/>
      <c r="O1490" s="268"/>
    </row>
    <row r="1491" spans="9:15" x14ac:dyDescent="0.25">
      <c r="I1491" s="268"/>
      <c r="O1491" s="268"/>
    </row>
    <row r="1492" spans="9:15" x14ac:dyDescent="0.25">
      <c r="I1492" s="268"/>
      <c r="O1492" s="268"/>
    </row>
    <row r="1493" spans="9:15" x14ac:dyDescent="0.25">
      <c r="I1493" s="268"/>
      <c r="O1493" s="268"/>
    </row>
    <row r="1494" spans="9:15" x14ac:dyDescent="0.25">
      <c r="I1494" s="268"/>
      <c r="O1494" s="268"/>
    </row>
    <row r="1495" spans="9:15" x14ac:dyDescent="0.25">
      <c r="I1495" s="268"/>
      <c r="O1495" s="268"/>
    </row>
    <row r="1496" spans="9:15" x14ac:dyDescent="0.25">
      <c r="I1496" s="268"/>
      <c r="O1496" s="268"/>
    </row>
    <row r="1497" spans="9:15" x14ac:dyDescent="0.25">
      <c r="I1497" s="268"/>
      <c r="O1497" s="268"/>
    </row>
    <row r="1498" spans="9:15" x14ac:dyDescent="0.25">
      <c r="I1498" s="268"/>
      <c r="O1498" s="268"/>
    </row>
    <row r="1499" spans="9:15" x14ac:dyDescent="0.25">
      <c r="I1499" s="268"/>
      <c r="O1499" s="268"/>
    </row>
    <row r="1500" spans="9:15" x14ac:dyDescent="0.25">
      <c r="I1500" s="268"/>
      <c r="O1500" s="268"/>
    </row>
    <row r="1501" spans="9:15" x14ac:dyDescent="0.25">
      <c r="I1501" s="268"/>
      <c r="O1501" s="268"/>
    </row>
    <row r="1502" spans="9:15" x14ac:dyDescent="0.25">
      <c r="I1502" s="268"/>
      <c r="O1502" s="268"/>
    </row>
    <row r="1503" spans="9:15" x14ac:dyDescent="0.25">
      <c r="I1503" s="268"/>
      <c r="O1503" s="268"/>
    </row>
    <row r="1504" spans="9:15" x14ac:dyDescent="0.25">
      <c r="I1504" s="268"/>
      <c r="O1504" s="268"/>
    </row>
    <row r="1505" spans="9:15" x14ac:dyDescent="0.25">
      <c r="I1505" s="268"/>
      <c r="O1505" s="268"/>
    </row>
    <row r="1506" spans="9:15" x14ac:dyDescent="0.25">
      <c r="I1506" s="268"/>
      <c r="O1506" s="268"/>
    </row>
    <row r="1507" spans="9:15" x14ac:dyDescent="0.25">
      <c r="I1507" s="268"/>
      <c r="O1507" s="268"/>
    </row>
    <row r="1508" spans="9:15" x14ac:dyDescent="0.25">
      <c r="I1508" s="268"/>
      <c r="O1508" s="268"/>
    </row>
    <row r="1509" spans="9:15" x14ac:dyDescent="0.25">
      <c r="I1509" s="268"/>
      <c r="O1509" s="268"/>
    </row>
    <row r="1510" spans="9:15" x14ac:dyDescent="0.25">
      <c r="I1510" s="268"/>
      <c r="O1510" s="268"/>
    </row>
    <row r="1511" spans="9:15" x14ac:dyDescent="0.25">
      <c r="I1511" s="268"/>
      <c r="O1511" s="268"/>
    </row>
    <row r="1512" spans="9:15" x14ac:dyDescent="0.25">
      <c r="I1512" s="268"/>
      <c r="O1512" s="268"/>
    </row>
    <row r="1513" spans="9:15" x14ac:dyDescent="0.25">
      <c r="I1513" s="268"/>
      <c r="O1513" s="268"/>
    </row>
    <row r="1514" spans="9:15" x14ac:dyDescent="0.25">
      <c r="I1514" s="268"/>
      <c r="O1514" s="268"/>
    </row>
    <row r="1515" spans="9:15" x14ac:dyDescent="0.25">
      <c r="I1515" s="268"/>
      <c r="O1515" s="268"/>
    </row>
    <row r="1516" spans="9:15" x14ac:dyDescent="0.25">
      <c r="I1516" s="268"/>
      <c r="O1516" s="268"/>
    </row>
    <row r="1517" spans="9:15" x14ac:dyDescent="0.25">
      <c r="I1517" s="268"/>
      <c r="O1517" s="268"/>
    </row>
    <row r="1518" spans="9:15" x14ac:dyDescent="0.25">
      <c r="I1518" s="268"/>
      <c r="O1518" s="268"/>
    </row>
    <row r="1519" spans="9:15" x14ac:dyDescent="0.25">
      <c r="I1519" s="268"/>
      <c r="O1519" s="268"/>
    </row>
    <row r="1520" spans="9:15" x14ac:dyDescent="0.25">
      <c r="I1520" s="268"/>
      <c r="O1520" s="268"/>
    </row>
    <row r="1521" spans="9:15" x14ac:dyDescent="0.25">
      <c r="I1521" s="268"/>
      <c r="O1521" s="268"/>
    </row>
    <row r="1522" spans="9:15" x14ac:dyDescent="0.25">
      <c r="I1522" s="268"/>
      <c r="O1522" s="268"/>
    </row>
    <row r="1523" spans="9:15" x14ac:dyDescent="0.25">
      <c r="I1523" s="268"/>
      <c r="O1523" s="268"/>
    </row>
    <row r="1524" spans="9:15" x14ac:dyDescent="0.25">
      <c r="I1524" s="268"/>
      <c r="O1524" s="268"/>
    </row>
    <row r="1525" spans="9:15" x14ac:dyDescent="0.25">
      <c r="I1525" s="268"/>
      <c r="O1525" s="268"/>
    </row>
    <row r="1526" spans="9:15" x14ac:dyDescent="0.25">
      <c r="I1526" s="268"/>
      <c r="O1526" s="268"/>
    </row>
    <row r="1527" spans="9:15" x14ac:dyDescent="0.25">
      <c r="I1527" s="268"/>
      <c r="O1527" s="268"/>
    </row>
    <row r="1528" spans="9:15" x14ac:dyDescent="0.25">
      <c r="I1528" s="268"/>
      <c r="O1528" s="268"/>
    </row>
    <row r="1529" spans="9:15" x14ac:dyDescent="0.25">
      <c r="I1529" s="268"/>
      <c r="O1529" s="268"/>
    </row>
    <row r="1530" spans="9:15" x14ac:dyDescent="0.25">
      <c r="I1530" s="268"/>
      <c r="O1530" s="268"/>
    </row>
    <row r="1531" spans="9:15" x14ac:dyDescent="0.25">
      <c r="I1531" s="268"/>
      <c r="O1531" s="268"/>
    </row>
    <row r="1532" spans="9:15" x14ac:dyDescent="0.25">
      <c r="I1532" s="268"/>
      <c r="O1532" s="268"/>
    </row>
    <row r="1533" spans="9:15" x14ac:dyDescent="0.25">
      <c r="I1533" s="268"/>
      <c r="O1533" s="268"/>
    </row>
    <row r="1534" spans="9:15" x14ac:dyDescent="0.25">
      <c r="I1534" s="268"/>
      <c r="O1534" s="268"/>
    </row>
    <row r="1535" spans="9:15" x14ac:dyDescent="0.25">
      <c r="I1535" s="268"/>
      <c r="O1535" s="268"/>
    </row>
    <row r="1536" spans="9:15" x14ac:dyDescent="0.25">
      <c r="I1536" s="268"/>
      <c r="O1536" s="268"/>
    </row>
    <row r="1537" spans="9:15" x14ac:dyDescent="0.25">
      <c r="I1537" s="268"/>
      <c r="O1537" s="268"/>
    </row>
    <row r="1538" spans="9:15" x14ac:dyDescent="0.25">
      <c r="I1538" s="268"/>
      <c r="O1538" s="268"/>
    </row>
    <row r="1539" spans="9:15" x14ac:dyDescent="0.25">
      <c r="I1539" s="268"/>
      <c r="O1539" s="268"/>
    </row>
    <row r="1540" spans="9:15" x14ac:dyDescent="0.25">
      <c r="I1540" s="268"/>
      <c r="O1540" s="268"/>
    </row>
    <row r="1541" spans="9:15" x14ac:dyDescent="0.25">
      <c r="I1541" s="268"/>
      <c r="O1541" s="268"/>
    </row>
    <row r="1542" spans="9:15" x14ac:dyDescent="0.25">
      <c r="I1542" s="268"/>
      <c r="O1542" s="268"/>
    </row>
    <row r="1543" spans="9:15" x14ac:dyDescent="0.25">
      <c r="I1543" s="268"/>
      <c r="O1543" s="268"/>
    </row>
    <row r="1544" spans="9:15" x14ac:dyDescent="0.25">
      <c r="I1544" s="268"/>
      <c r="O1544" s="268"/>
    </row>
    <row r="1545" spans="9:15" x14ac:dyDescent="0.25">
      <c r="I1545" s="268"/>
      <c r="O1545" s="268"/>
    </row>
    <row r="1546" spans="9:15" x14ac:dyDescent="0.25">
      <c r="I1546" s="268"/>
      <c r="O1546" s="268"/>
    </row>
    <row r="1547" spans="9:15" x14ac:dyDescent="0.25">
      <c r="I1547" s="268"/>
      <c r="O1547" s="268"/>
    </row>
    <row r="1548" spans="9:15" x14ac:dyDescent="0.25">
      <c r="I1548" s="268"/>
      <c r="O1548" s="268"/>
    </row>
    <row r="1549" spans="9:15" x14ac:dyDescent="0.25">
      <c r="I1549" s="268"/>
      <c r="O1549" s="268"/>
    </row>
    <row r="1550" spans="9:15" x14ac:dyDescent="0.25">
      <c r="I1550" s="268"/>
      <c r="O1550" s="268"/>
    </row>
    <row r="1551" spans="9:15" x14ac:dyDescent="0.25">
      <c r="I1551" s="268"/>
      <c r="O1551" s="268"/>
    </row>
    <row r="1552" spans="9:15" x14ac:dyDescent="0.25">
      <c r="I1552" s="268"/>
      <c r="O1552" s="268"/>
    </row>
    <row r="1553" spans="9:15" x14ac:dyDescent="0.25">
      <c r="I1553" s="268"/>
      <c r="O1553" s="268"/>
    </row>
    <row r="1554" spans="9:15" x14ac:dyDescent="0.25">
      <c r="I1554" s="268"/>
      <c r="O1554" s="268"/>
    </row>
    <row r="1555" spans="9:15" x14ac:dyDescent="0.25">
      <c r="I1555" s="268"/>
      <c r="O1555" s="268"/>
    </row>
    <row r="1556" spans="9:15" x14ac:dyDescent="0.25">
      <c r="I1556" s="268"/>
      <c r="O1556" s="268"/>
    </row>
    <row r="1557" spans="9:15" x14ac:dyDescent="0.25">
      <c r="I1557" s="268"/>
      <c r="O1557" s="268"/>
    </row>
    <row r="1558" spans="9:15" x14ac:dyDescent="0.25">
      <c r="I1558" s="268"/>
      <c r="O1558" s="268"/>
    </row>
    <row r="1559" spans="9:15" x14ac:dyDescent="0.25">
      <c r="I1559" s="268"/>
      <c r="O1559" s="268"/>
    </row>
    <row r="1560" spans="9:15" x14ac:dyDescent="0.25">
      <c r="I1560" s="268"/>
      <c r="O1560" s="268"/>
    </row>
    <row r="1561" spans="9:15" x14ac:dyDescent="0.25">
      <c r="I1561" s="268"/>
      <c r="O1561" s="268"/>
    </row>
    <row r="1562" spans="9:15" x14ac:dyDescent="0.25">
      <c r="I1562" s="268"/>
      <c r="O1562" s="268"/>
    </row>
    <row r="1563" spans="9:15" x14ac:dyDescent="0.25">
      <c r="I1563" s="268"/>
      <c r="O1563" s="268"/>
    </row>
    <row r="1564" spans="9:15" x14ac:dyDescent="0.25">
      <c r="I1564" s="268"/>
      <c r="O1564" s="268"/>
    </row>
    <row r="1565" spans="9:15" x14ac:dyDescent="0.25">
      <c r="I1565" s="268"/>
      <c r="O1565" s="268"/>
    </row>
    <row r="1566" spans="9:15" x14ac:dyDescent="0.25">
      <c r="I1566" s="268"/>
      <c r="O1566" s="268"/>
    </row>
    <row r="1567" spans="9:15" x14ac:dyDescent="0.25">
      <c r="I1567" s="268"/>
      <c r="O1567" s="268"/>
    </row>
    <row r="1568" spans="9:15" x14ac:dyDescent="0.25">
      <c r="I1568" s="268"/>
      <c r="O1568" s="268"/>
    </row>
    <row r="1569" spans="9:15" x14ac:dyDescent="0.25">
      <c r="I1569" s="268"/>
      <c r="O1569" s="268"/>
    </row>
    <row r="1570" spans="9:15" x14ac:dyDescent="0.25">
      <c r="I1570" s="268"/>
      <c r="O1570" s="268"/>
    </row>
    <row r="1571" spans="9:15" x14ac:dyDescent="0.25">
      <c r="I1571" s="268"/>
      <c r="O1571" s="268"/>
    </row>
    <row r="1572" spans="9:15" x14ac:dyDescent="0.25">
      <c r="I1572" s="268"/>
      <c r="O1572" s="268"/>
    </row>
    <row r="1573" spans="9:15" x14ac:dyDescent="0.25">
      <c r="I1573" s="268"/>
      <c r="O1573" s="268"/>
    </row>
    <row r="1574" spans="9:15" x14ac:dyDescent="0.25">
      <c r="I1574" s="268"/>
      <c r="O1574" s="268"/>
    </row>
    <row r="1575" spans="9:15" x14ac:dyDescent="0.25">
      <c r="I1575" s="268"/>
      <c r="O1575" s="268"/>
    </row>
    <row r="1576" spans="9:15" x14ac:dyDescent="0.25">
      <c r="I1576" s="268"/>
      <c r="O1576" s="268"/>
    </row>
    <row r="1577" spans="9:15" x14ac:dyDescent="0.25">
      <c r="I1577" s="268"/>
      <c r="O1577" s="268"/>
    </row>
    <row r="1578" spans="9:15" x14ac:dyDescent="0.25">
      <c r="I1578" s="268"/>
      <c r="O1578" s="268"/>
    </row>
    <row r="1579" spans="9:15" x14ac:dyDescent="0.25">
      <c r="I1579" s="268"/>
      <c r="O1579" s="268"/>
    </row>
    <row r="1580" spans="9:15" x14ac:dyDescent="0.25">
      <c r="I1580" s="268"/>
      <c r="O1580" s="268"/>
    </row>
    <row r="1581" spans="9:15" x14ac:dyDescent="0.25">
      <c r="I1581" s="268"/>
      <c r="O1581" s="268"/>
    </row>
    <row r="1582" spans="9:15" x14ac:dyDescent="0.25">
      <c r="I1582" s="268"/>
      <c r="O1582" s="268"/>
    </row>
    <row r="1583" spans="9:15" x14ac:dyDescent="0.25">
      <c r="I1583" s="268"/>
      <c r="O1583" s="268"/>
    </row>
    <row r="1584" spans="9:15" x14ac:dyDescent="0.25">
      <c r="I1584" s="268"/>
      <c r="O1584" s="268"/>
    </row>
    <row r="1585" spans="9:15" x14ac:dyDescent="0.25">
      <c r="I1585" s="268"/>
      <c r="O1585" s="268"/>
    </row>
    <row r="1586" spans="9:15" x14ac:dyDescent="0.25">
      <c r="I1586" s="268"/>
      <c r="O1586" s="268"/>
    </row>
    <row r="1587" spans="9:15" x14ac:dyDescent="0.25">
      <c r="I1587" s="268"/>
      <c r="O1587" s="268"/>
    </row>
    <row r="1588" spans="9:15" x14ac:dyDescent="0.25">
      <c r="I1588" s="268"/>
      <c r="O1588" s="268"/>
    </row>
    <row r="1589" spans="9:15" x14ac:dyDescent="0.25">
      <c r="I1589" s="268"/>
      <c r="O1589" s="268"/>
    </row>
    <row r="1590" spans="9:15" x14ac:dyDescent="0.25">
      <c r="I1590" s="268"/>
      <c r="O1590" s="268"/>
    </row>
    <row r="1591" spans="9:15" x14ac:dyDescent="0.25">
      <c r="I1591" s="268"/>
      <c r="O1591" s="268"/>
    </row>
    <row r="1592" spans="9:15" x14ac:dyDescent="0.25">
      <c r="I1592" s="268"/>
      <c r="O1592" s="268"/>
    </row>
    <row r="1593" spans="9:15" x14ac:dyDescent="0.25">
      <c r="I1593" s="268"/>
      <c r="O1593" s="268"/>
    </row>
    <row r="1594" spans="9:15" x14ac:dyDescent="0.25">
      <c r="I1594" s="268"/>
      <c r="O1594" s="268"/>
    </row>
    <row r="1595" spans="9:15" x14ac:dyDescent="0.25">
      <c r="I1595" s="268"/>
      <c r="O1595" s="268"/>
    </row>
    <row r="1596" spans="9:15" x14ac:dyDescent="0.25">
      <c r="I1596" s="268"/>
      <c r="O1596" s="268"/>
    </row>
    <row r="1597" spans="9:15" x14ac:dyDescent="0.25">
      <c r="I1597" s="268"/>
      <c r="O1597" s="268"/>
    </row>
    <row r="1598" spans="9:15" x14ac:dyDescent="0.25">
      <c r="I1598" s="268"/>
      <c r="O1598" s="268"/>
    </row>
    <row r="1599" spans="9:15" x14ac:dyDescent="0.25">
      <c r="I1599" s="268"/>
      <c r="O1599" s="268"/>
    </row>
    <row r="1600" spans="9:15" x14ac:dyDescent="0.25">
      <c r="I1600" s="268"/>
      <c r="O1600" s="268"/>
    </row>
    <row r="1601" spans="9:15" x14ac:dyDescent="0.25">
      <c r="I1601" s="268"/>
      <c r="O1601" s="268"/>
    </row>
    <row r="1602" spans="9:15" x14ac:dyDescent="0.25">
      <c r="I1602" s="268"/>
      <c r="O1602" s="268"/>
    </row>
    <row r="1603" spans="9:15" x14ac:dyDescent="0.25">
      <c r="I1603" s="268"/>
      <c r="O1603" s="268"/>
    </row>
    <row r="1604" spans="9:15" x14ac:dyDescent="0.25">
      <c r="I1604" s="268"/>
      <c r="O1604" s="268"/>
    </row>
    <row r="1605" spans="9:15" x14ac:dyDescent="0.25">
      <c r="I1605" s="268"/>
      <c r="O1605" s="268"/>
    </row>
    <row r="1606" spans="9:15" x14ac:dyDescent="0.25">
      <c r="I1606" s="268"/>
      <c r="O1606" s="268"/>
    </row>
    <row r="1607" spans="9:15" x14ac:dyDescent="0.25">
      <c r="I1607" s="268"/>
      <c r="O1607" s="268"/>
    </row>
    <row r="1608" spans="9:15" x14ac:dyDescent="0.25">
      <c r="I1608" s="268"/>
      <c r="O1608" s="268"/>
    </row>
    <row r="1609" spans="9:15" x14ac:dyDescent="0.25">
      <c r="I1609" s="268"/>
      <c r="O1609" s="268"/>
    </row>
    <row r="1610" spans="9:15" x14ac:dyDescent="0.25">
      <c r="I1610" s="268"/>
      <c r="O1610" s="268"/>
    </row>
    <row r="1611" spans="9:15" x14ac:dyDescent="0.25">
      <c r="I1611" s="268"/>
      <c r="O1611" s="268"/>
    </row>
    <row r="1612" spans="9:15" x14ac:dyDescent="0.25">
      <c r="I1612" s="268"/>
      <c r="O1612" s="268"/>
    </row>
    <row r="1613" spans="9:15" x14ac:dyDescent="0.25">
      <c r="I1613" s="268"/>
      <c r="O1613" s="268"/>
    </row>
    <row r="1614" spans="9:15" x14ac:dyDescent="0.25">
      <c r="I1614" s="268"/>
      <c r="O1614" s="268"/>
    </row>
    <row r="1615" spans="9:15" x14ac:dyDescent="0.25">
      <c r="I1615" s="268"/>
      <c r="O1615" s="268"/>
    </row>
    <row r="1616" spans="9:15" x14ac:dyDescent="0.25">
      <c r="I1616" s="268"/>
      <c r="O1616" s="268"/>
    </row>
    <row r="1617" spans="9:15" x14ac:dyDescent="0.25">
      <c r="I1617" s="268"/>
      <c r="O1617" s="268"/>
    </row>
    <row r="1618" spans="9:15" x14ac:dyDescent="0.25">
      <c r="I1618" s="268"/>
      <c r="O1618" s="268"/>
    </row>
    <row r="1619" spans="9:15" x14ac:dyDescent="0.25">
      <c r="I1619" s="268"/>
      <c r="O1619" s="268"/>
    </row>
    <row r="1620" spans="9:15" x14ac:dyDescent="0.25">
      <c r="I1620" s="268"/>
      <c r="O1620" s="268"/>
    </row>
    <row r="1621" spans="9:15" x14ac:dyDescent="0.25">
      <c r="I1621" s="268"/>
      <c r="O1621" s="268"/>
    </row>
    <row r="1622" spans="9:15" x14ac:dyDescent="0.25">
      <c r="I1622" s="268"/>
      <c r="O1622" s="268"/>
    </row>
    <row r="1623" spans="9:15" x14ac:dyDescent="0.25">
      <c r="I1623" s="268"/>
      <c r="O1623" s="268"/>
    </row>
    <row r="1624" spans="9:15" x14ac:dyDescent="0.25">
      <c r="I1624" s="268"/>
      <c r="O1624" s="268"/>
    </row>
    <row r="1625" spans="9:15" x14ac:dyDescent="0.25">
      <c r="I1625" s="268"/>
      <c r="O1625" s="268"/>
    </row>
    <row r="1626" spans="9:15" x14ac:dyDescent="0.25">
      <c r="I1626" s="268"/>
      <c r="O1626" s="268"/>
    </row>
    <row r="1627" spans="9:15" x14ac:dyDescent="0.25">
      <c r="I1627" s="268"/>
      <c r="O1627" s="268"/>
    </row>
    <row r="1628" spans="9:15" x14ac:dyDescent="0.25">
      <c r="I1628" s="268"/>
      <c r="O1628" s="268"/>
    </row>
    <row r="1629" spans="9:15" x14ac:dyDescent="0.25">
      <c r="I1629" s="268"/>
      <c r="O1629" s="268"/>
    </row>
    <row r="1630" spans="9:15" x14ac:dyDescent="0.25">
      <c r="I1630" s="268"/>
      <c r="O1630" s="268"/>
    </row>
    <row r="1631" spans="9:15" x14ac:dyDescent="0.25">
      <c r="I1631" s="268"/>
      <c r="O1631" s="268"/>
    </row>
    <row r="1632" spans="9:15" x14ac:dyDescent="0.25">
      <c r="I1632" s="268"/>
      <c r="O1632" s="268"/>
    </row>
    <row r="1633" spans="9:15" x14ac:dyDescent="0.25">
      <c r="I1633" s="268"/>
      <c r="O1633" s="268"/>
    </row>
    <row r="1634" spans="9:15" x14ac:dyDescent="0.25">
      <c r="I1634" s="268"/>
      <c r="O1634" s="268"/>
    </row>
    <row r="1635" spans="9:15" x14ac:dyDescent="0.25">
      <c r="I1635" s="268"/>
      <c r="O1635" s="268"/>
    </row>
    <row r="1636" spans="9:15" x14ac:dyDescent="0.25">
      <c r="I1636" s="268"/>
      <c r="O1636" s="268"/>
    </row>
    <row r="1637" spans="9:15" x14ac:dyDescent="0.25">
      <c r="I1637" s="268"/>
      <c r="O1637" s="268"/>
    </row>
    <row r="1638" spans="9:15" x14ac:dyDescent="0.25">
      <c r="I1638" s="268"/>
      <c r="O1638" s="268"/>
    </row>
    <row r="1639" spans="9:15" x14ac:dyDescent="0.25">
      <c r="I1639" s="268"/>
      <c r="O1639" s="268"/>
    </row>
    <row r="1640" spans="9:15" x14ac:dyDescent="0.25">
      <c r="I1640" s="268"/>
      <c r="O1640" s="268"/>
    </row>
    <row r="1641" spans="9:15" x14ac:dyDescent="0.25">
      <c r="I1641" s="268"/>
      <c r="O1641" s="268"/>
    </row>
    <row r="1642" spans="9:15" x14ac:dyDescent="0.25">
      <c r="I1642" s="268"/>
      <c r="O1642" s="268"/>
    </row>
    <row r="1643" spans="9:15" x14ac:dyDescent="0.25">
      <c r="I1643" s="268"/>
      <c r="O1643" s="268"/>
    </row>
    <row r="1644" spans="9:15" x14ac:dyDescent="0.25">
      <c r="I1644" s="268"/>
      <c r="O1644" s="268"/>
    </row>
    <row r="1645" spans="9:15" x14ac:dyDescent="0.25">
      <c r="I1645" s="268"/>
      <c r="O1645" s="268"/>
    </row>
    <row r="1646" spans="9:15" x14ac:dyDescent="0.25">
      <c r="I1646" s="268"/>
      <c r="O1646" s="268"/>
    </row>
    <row r="1647" spans="9:15" x14ac:dyDescent="0.25">
      <c r="I1647" s="268"/>
      <c r="O1647" s="268"/>
    </row>
    <row r="1648" spans="9:15" x14ac:dyDescent="0.25">
      <c r="I1648" s="268"/>
      <c r="O1648" s="268"/>
    </row>
    <row r="1649" spans="9:15" x14ac:dyDescent="0.25">
      <c r="I1649" s="268"/>
      <c r="O1649" s="268"/>
    </row>
    <row r="1650" spans="9:15" x14ac:dyDescent="0.25">
      <c r="I1650" s="268"/>
      <c r="O1650" s="268"/>
    </row>
    <row r="1651" spans="9:15" x14ac:dyDescent="0.25">
      <c r="I1651" s="268"/>
      <c r="O1651" s="268"/>
    </row>
    <row r="1652" spans="9:15" x14ac:dyDescent="0.25">
      <c r="I1652" s="268"/>
      <c r="O1652" s="268"/>
    </row>
    <row r="1653" spans="9:15" x14ac:dyDescent="0.25">
      <c r="I1653" s="268"/>
      <c r="O1653" s="268"/>
    </row>
    <row r="1654" spans="9:15" x14ac:dyDescent="0.25">
      <c r="I1654" s="268"/>
      <c r="O1654" s="268"/>
    </row>
    <row r="1655" spans="9:15" x14ac:dyDescent="0.25">
      <c r="I1655" s="268"/>
      <c r="O1655" s="268"/>
    </row>
    <row r="1656" spans="9:15" x14ac:dyDescent="0.25">
      <c r="I1656" s="268"/>
      <c r="O1656" s="268"/>
    </row>
    <row r="1657" spans="9:15" x14ac:dyDescent="0.25">
      <c r="I1657" s="268"/>
      <c r="O1657" s="268"/>
    </row>
    <row r="1658" spans="9:15" x14ac:dyDescent="0.25">
      <c r="I1658" s="268"/>
      <c r="O1658" s="268"/>
    </row>
    <row r="1659" spans="9:15" x14ac:dyDescent="0.25">
      <c r="I1659" s="268"/>
      <c r="O1659" s="268"/>
    </row>
    <row r="1660" spans="9:15" x14ac:dyDescent="0.25">
      <c r="I1660" s="268"/>
      <c r="O1660" s="268"/>
    </row>
    <row r="1661" spans="9:15" x14ac:dyDescent="0.25">
      <c r="I1661" s="268"/>
      <c r="O1661" s="268"/>
    </row>
    <row r="1662" spans="9:15" x14ac:dyDescent="0.25">
      <c r="I1662" s="268"/>
      <c r="O1662" s="268"/>
    </row>
    <row r="1663" spans="9:15" x14ac:dyDescent="0.25">
      <c r="I1663" s="268"/>
      <c r="O1663" s="268"/>
    </row>
    <row r="1664" spans="9:15" x14ac:dyDescent="0.25">
      <c r="I1664" s="268"/>
      <c r="O1664" s="268"/>
    </row>
    <row r="1665" spans="9:15" x14ac:dyDescent="0.25">
      <c r="I1665" s="268"/>
      <c r="O1665" s="268"/>
    </row>
    <row r="1666" spans="9:15" x14ac:dyDescent="0.25">
      <c r="I1666" s="268"/>
      <c r="O1666" s="268"/>
    </row>
    <row r="1667" spans="9:15" x14ac:dyDescent="0.25">
      <c r="I1667" s="268"/>
      <c r="O1667" s="268"/>
    </row>
    <row r="1668" spans="9:15" x14ac:dyDescent="0.25">
      <c r="I1668" s="268"/>
      <c r="O1668" s="268"/>
    </row>
    <row r="1669" spans="9:15" x14ac:dyDescent="0.25">
      <c r="I1669" s="268"/>
      <c r="O1669" s="268"/>
    </row>
    <row r="1670" spans="9:15" x14ac:dyDescent="0.25">
      <c r="I1670" s="268"/>
      <c r="O1670" s="268"/>
    </row>
    <row r="1671" spans="9:15" x14ac:dyDescent="0.25">
      <c r="I1671" s="268"/>
      <c r="O1671" s="268"/>
    </row>
    <row r="1672" spans="9:15" x14ac:dyDescent="0.25">
      <c r="I1672" s="268"/>
      <c r="O1672" s="268"/>
    </row>
    <row r="1673" spans="9:15" x14ac:dyDescent="0.25">
      <c r="I1673" s="268"/>
      <c r="O1673" s="268"/>
    </row>
    <row r="1674" spans="9:15" x14ac:dyDescent="0.25">
      <c r="I1674" s="268"/>
      <c r="O1674" s="268"/>
    </row>
    <row r="1675" spans="9:15" x14ac:dyDescent="0.25">
      <c r="I1675" s="268"/>
      <c r="O1675" s="268"/>
    </row>
    <row r="1676" spans="9:15" x14ac:dyDescent="0.25">
      <c r="I1676" s="268"/>
      <c r="O1676" s="268"/>
    </row>
    <row r="1677" spans="9:15" x14ac:dyDescent="0.25">
      <c r="I1677" s="268"/>
      <c r="O1677" s="268"/>
    </row>
    <row r="1678" spans="9:15" x14ac:dyDescent="0.25">
      <c r="I1678" s="268"/>
      <c r="O1678" s="268"/>
    </row>
    <row r="1679" spans="9:15" x14ac:dyDescent="0.25">
      <c r="I1679" s="268"/>
      <c r="O1679" s="268"/>
    </row>
    <row r="1680" spans="9:15" x14ac:dyDescent="0.25">
      <c r="I1680" s="268"/>
      <c r="O1680" s="268"/>
    </row>
    <row r="1681" spans="9:15" x14ac:dyDescent="0.25">
      <c r="I1681" s="268"/>
      <c r="O1681" s="268"/>
    </row>
    <row r="1682" spans="9:15" x14ac:dyDescent="0.25">
      <c r="I1682" s="268"/>
      <c r="O1682" s="268"/>
    </row>
    <row r="1683" spans="9:15" x14ac:dyDescent="0.25">
      <c r="I1683" s="268"/>
      <c r="O1683" s="268"/>
    </row>
    <row r="1684" spans="9:15" x14ac:dyDescent="0.25">
      <c r="I1684" s="268"/>
      <c r="O1684" s="268"/>
    </row>
    <row r="1685" spans="9:15" x14ac:dyDescent="0.25">
      <c r="I1685" s="268"/>
      <c r="O1685" s="268"/>
    </row>
    <row r="1686" spans="9:15" x14ac:dyDescent="0.25">
      <c r="I1686" s="268"/>
      <c r="O1686" s="268"/>
    </row>
    <row r="1687" spans="9:15" x14ac:dyDescent="0.25">
      <c r="I1687" s="268"/>
      <c r="O1687" s="268"/>
    </row>
    <row r="1688" spans="9:15" x14ac:dyDescent="0.25">
      <c r="I1688" s="268"/>
      <c r="O1688" s="268"/>
    </row>
    <row r="1689" spans="9:15" x14ac:dyDescent="0.25">
      <c r="I1689" s="268"/>
      <c r="O1689" s="268"/>
    </row>
    <row r="1690" spans="9:15" x14ac:dyDescent="0.25">
      <c r="I1690" s="268"/>
      <c r="O1690" s="268"/>
    </row>
    <row r="1691" spans="9:15" x14ac:dyDescent="0.25">
      <c r="I1691" s="268"/>
      <c r="O1691" s="268"/>
    </row>
    <row r="1692" spans="9:15" x14ac:dyDescent="0.25">
      <c r="I1692" s="268"/>
      <c r="O1692" s="268"/>
    </row>
    <row r="1693" spans="9:15" x14ac:dyDescent="0.25">
      <c r="I1693" s="268"/>
      <c r="O1693" s="268"/>
    </row>
    <row r="1694" spans="9:15" x14ac:dyDescent="0.25">
      <c r="I1694" s="268"/>
      <c r="O1694" s="268"/>
    </row>
    <row r="1695" spans="9:15" x14ac:dyDescent="0.25">
      <c r="I1695" s="268"/>
      <c r="O1695" s="268"/>
    </row>
    <row r="1696" spans="9:15" x14ac:dyDescent="0.25">
      <c r="I1696" s="268"/>
      <c r="O1696" s="268"/>
    </row>
    <row r="1697" spans="9:15" x14ac:dyDescent="0.25">
      <c r="I1697" s="268"/>
      <c r="O1697" s="268"/>
    </row>
    <row r="1698" spans="9:15" x14ac:dyDescent="0.25">
      <c r="I1698" s="268"/>
      <c r="O1698" s="268"/>
    </row>
    <row r="1699" spans="9:15" x14ac:dyDescent="0.25">
      <c r="I1699" s="268"/>
      <c r="O1699" s="268"/>
    </row>
    <row r="1700" spans="9:15" x14ac:dyDescent="0.25">
      <c r="I1700" s="268"/>
      <c r="O1700" s="268"/>
    </row>
    <row r="1701" spans="9:15" x14ac:dyDescent="0.25">
      <c r="I1701" s="268"/>
      <c r="O1701" s="268"/>
    </row>
    <row r="1702" spans="9:15" x14ac:dyDescent="0.25">
      <c r="I1702" s="268"/>
      <c r="O1702" s="268"/>
    </row>
    <row r="1703" spans="9:15" x14ac:dyDescent="0.25">
      <c r="I1703" s="268"/>
      <c r="O1703" s="268"/>
    </row>
    <row r="1704" spans="9:15" x14ac:dyDescent="0.25">
      <c r="I1704" s="268"/>
      <c r="O1704" s="268"/>
    </row>
    <row r="1705" spans="9:15" x14ac:dyDescent="0.25">
      <c r="I1705" s="268"/>
      <c r="O1705" s="268"/>
    </row>
    <row r="1706" spans="9:15" x14ac:dyDescent="0.25">
      <c r="I1706" s="268"/>
      <c r="O1706" s="268"/>
    </row>
    <row r="1707" spans="9:15" x14ac:dyDescent="0.25">
      <c r="I1707" s="268"/>
      <c r="O1707" s="268"/>
    </row>
    <row r="1708" spans="9:15" x14ac:dyDescent="0.25">
      <c r="I1708" s="268"/>
      <c r="O1708" s="268"/>
    </row>
    <row r="1709" spans="9:15" x14ac:dyDescent="0.25">
      <c r="I1709" s="268"/>
      <c r="O1709" s="268"/>
    </row>
    <row r="1710" spans="9:15" x14ac:dyDescent="0.25">
      <c r="I1710" s="268"/>
      <c r="O1710" s="268"/>
    </row>
    <row r="1711" spans="9:15" x14ac:dyDescent="0.25">
      <c r="I1711" s="268"/>
      <c r="O1711" s="268"/>
    </row>
    <row r="1712" spans="9:15" x14ac:dyDescent="0.25">
      <c r="I1712" s="268"/>
      <c r="O1712" s="268"/>
    </row>
    <row r="1713" spans="9:15" x14ac:dyDescent="0.25">
      <c r="I1713" s="268"/>
      <c r="O1713" s="268"/>
    </row>
    <row r="1714" spans="9:15" x14ac:dyDescent="0.25">
      <c r="I1714" s="268"/>
      <c r="O1714" s="268"/>
    </row>
    <row r="1715" spans="9:15" x14ac:dyDescent="0.25">
      <c r="I1715" s="268"/>
      <c r="O1715" s="268"/>
    </row>
    <row r="1716" spans="9:15" x14ac:dyDescent="0.25">
      <c r="I1716" s="268"/>
      <c r="O1716" s="268"/>
    </row>
    <row r="1717" spans="9:15" x14ac:dyDescent="0.25">
      <c r="I1717" s="268"/>
      <c r="O1717" s="268"/>
    </row>
    <row r="1718" spans="9:15" x14ac:dyDescent="0.25">
      <c r="I1718" s="268"/>
      <c r="O1718" s="268"/>
    </row>
    <row r="1719" spans="9:15" x14ac:dyDescent="0.25">
      <c r="I1719" s="268"/>
      <c r="O1719" s="268"/>
    </row>
    <row r="1720" spans="9:15" x14ac:dyDescent="0.25">
      <c r="I1720" s="268"/>
      <c r="O1720" s="268"/>
    </row>
    <row r="1721" spans="9:15" x14ac:dyDescent="0.25">
      <c r="I1721" s="268"/>
      <c r="O1721" s="268"/>
    </row>
    <row r="1722" spans="9:15" x14ac:dyDescent="0.25">
      <c r="I1722" s="268"/>
      <c r="O1722" s="268"/>
    </row>
    <row r="1723" spans="9:15" x14ac:dyDescent="0.25">
      <c r="I1723" s="268"/>
      <c r="O1723" s="268"/>
    </row>
    <row r="1724" spans="9:15" x14ac:dyDescent="0.25">
      <c r="I1724" s="268"/>
      <c r="O1724" s="268"/>
    </row>
    <row r="1725" spans="9:15" x14ac:dyDescent="0.25">
      <c r="I1725" s="268"/>
      <c r="O1725" s="268"/>
    </row>
    <row r="1726" spans="9:15" x14ac:dyDescent="0.25">
      <c r="I1726" s="268"/>
      <c r="O1726" s="268"/>
    </row>
    <row r="1727" spans="9:15" x14ac:dyDescent="0.25">
      <c r="I1727" s="268"/>
      <c r="O1727" s="268"/>
    </row>
    <row r="1728" spans="9:15" x14ac:dyDescent="0.25">
      <c r="I1728" s="268"/>
      <c r="O1728" s="268"/>
    </row>
    <row r="1729" spans="9:15" x14ac:dyDescent="0.25">
      <c r="I1729" s="268"/>
      <c r="O1729" s="268"/>
    </row>
    <row r="1730" spans="9:15" x14ac:dyDescent="0.25">
      <c r="I1730" s="268"/>
      <c r="O1730" s="268"/>
    </row>
    <row r="1731" spans="9:15" x14ac:dyDescent="0.25">
      <c r="I1731" s="268"/>
      <c r="O1731" s="268"/>
    </row>
    <row r="1732" spans="9:15" x14ac:dyDescent="0.25">
      <c r="I1732" s="268"/>
      <c r="O1732" s="268"/>
    </row>
    <row r="1733" spans="9:15" x14ac:dyDescent="0.25">
      <c r="I1733" s="268"/>
      <c r="O1733" s="268"/>
    </row>
    <row r="1734" spans="9:15" x14ac:dyDescent="0.25">
      <c r="I1734" s="268"/>
      <c r="O1734" s="268"/>
    </row>
    <row r="1735" spans="9:15" x14ac:dyDescent="0.25">
      <c r="I1735" s="268"/>
      <c r="O1735" s="268"/>
    </row>
    <row r="1736" spans="9:15" x14ac:dyDescent="0.25">
      <c r="I1736" s="268"/>
      <c r="O1736" s="268"/>
    </row>
    <row r="1737" spans="9:15" x14ac:dyDescent="0.25">
      <c r="I1737" s="268"/>
      <c r="O1737" s="268"/>
    </row>
    <row r="1738" spans="9:15" x14ac:dyDescent="0.25">
      <c r="I1738" s="268"/>
      <c r="O1738" s="268"/>
    </row>
    <row r="1739" spans="9:15" x14ac:dyDescent="0.25">
      <c r="I1739" s="268"/>
      <c r="O1739" s="268"/>
    </row>
    <row r="1740" spans="9:15" x14ac:dyDescent="0.25">
      <c r="I1740" s="268"/>
      <c r="O1740" s="268"/>
    </row>
    <row r="1741" spans="9:15" x14ac:dyDescent="0.25">
      <c r="I1741" s="268"/>
      <c r="O1741" s="268"/>
    </row>
    <row r="1742" spans="9:15" x14ac:dyDescent="0.25">
      <c r="I1742" s="268"/>
      <c r="O1742" s="268"/>
    </row>
    <row r="1743" spans="9:15" x14ac:dyDescent="0.25">
      <c r="I1743" s="268"/>
      <c r="O1743" s="268"/>
    </row>
    <row r="1744" spans="9:15" x14ac:dyDescent="0.25">
      <c r="I1744" s="268"/>
      <c r="O1744" s="268"/>
    </row>
    <row r="1745" spans="9:15" x14ac:dyDescent="0.25">
      <c r="I1745" s="268"/>
      <c r="O1745" s="268"/>
    </row>
    <row r="1746" spans="9:15" x14ac:dyDescent="0.25">
      <c r="I1746" s="268"/>
      <c r="O1746" s="268"/>
    </row>
    <row r="1747" spans="9:15" x14ac:dyDescent="0.25">
      <c r="I1747" s="268"/>
      <c r="O1747" s="268"/>
    </row>
    <row r="1748" spans="9:15" x14ac:dyDescent="0.25">
      <c r="I1748" s="268"/>
      <c r="O1748" s="268"/>
    </row>
    <row r="1749" spans="9:15" x14ac:dyDescent="0.25">
      <c r="I1749" s="268"/>
      <c r="O1749" s="268"/>
    </row>
    <row r="1750" spans="9:15" x14ac:dyDescent="0.25">
      <c r="I1750" s="268"/>
      <c r="O1750" s="268"/>
    </row>
    <row r="1751" spans="9:15" x14ac:dyDescent="0.25">
      <c r="I1751" s="268"/>
      <c r="O1751" s="268"/>
    </row>
    <row r="1752" spans="9:15" x14ac:dyDescent="0.25">
      <c r="I1752" s="268"/>
      <c r="O1752" s="268"/>
    </row>
    <row r="1753" spans="9:15" x14ac:dyDescent="0.25">
      <c r="I1753" s="268"/>
      <c r="O1753" s="268"/>
    </row>
    <row r="1754" spans="9:15" x14ac:dyDescent="0.25">
      <c r="I1754" s="268"/>
      <c r="O1754" s="268"/>
    </row>
    <row r="1755" spans="9:15" x14ac:dyDescent="0.25">
      <c r="I1755" s="268"/>
      <c r="O1755" s="268"/>
    </row>
    <row r="1756" spans="9:15" x14ac:dyDescent="0.25">
      <c r="I1756" s="268"/>
      <c r="O1756" s="268"/>
    </row>
    <row r="1757" spans="9:15" x14ac:dyDescent="0.25">
      <c r="I1757" s="268"/>
      <c r="O1757" s="268"/>
    </row>
    <row r="1758" spans="9:15" x14ac:dyDescent="0.25">
      <c r="I1758" s="268"/>
      <c r="O1758" s="268"/>
    </row>
    <row r="1759" spans="9:15" x14ac:dyDescent="0.25">
      <c r="I1759" s="268"/>
      <c r="O1759" s="268"/>
    </row>
    <row r="1760" spans="9:15" x14ac:dyDescent="0.25">
      <c r="I1760" s="268"/>
      <c r="O1760" s="268"/>
    </row>
    <row r="1761" spans="9:15" x14ac:dyDescent="0.25">
      <c r="I1761" s="268"/>
      <c r="O1761" s="268"/>
    </row>
    <row r="1762" spans="9:15" x14ac:dyDescent="0.25">
      <c r="I1762" s="268"/>
      <c r="O1762" s="268"/>
    </row>
    <row r="1763" spans="9:15" x14ac:dyDescent="0.25">
      <c r="I1763" s="268"/>
      <c r="O1763" s="268"/>
    </row>
    <row r="1764" spans="9:15" x14ac:dyDescent="0.25">
      <c r="I1764" s="268"/>
      <c r="O1764" s="268"/>
    </row>
    <row r="1765" spans="9:15" x14ac:dyDescent="0.25">
      <c r="I1765" s="268"/>
      <c r="O1765" s="268"/>
    </row>
    <row r="1766" spans="9:15" x14ac:dyDescent="0.25">
      <c r="I1766" s="268"/>
      <c r="O1766" s="268"/>
    </row>
    <row r="1767" spans="9:15" x14ac:dyDescent="0.25">
      <c r="I1767" s="268"/>
      <c r="O1767" s="268"/>
    </row>
    <row r="1768" spans="9:15" x14ac:dyDescent="0.25">
      <c r="I1768" s="268"/>
      <c r="O1768" s="268"/>
    </row>
    <row r="1769" spans="9:15" x14ac:dyDescent="0.25">
      <c r="I1769" s="268"/>
      <c r="O1769" s="268"/>
    </row>
    <row r="1770" spans="9:15" x14ac:dyDescent="0.25">
      <c r="I1770" s="268"/>
      <c r="O1770" s="268"/>
    </row>
    <row r="1771" spans="9:15" x14ac:dyDescent="0.25">
      <c r="I1771" s="268"/>
      <c r="O1771" s="268"/>
    </row>
    <row r="1772" spans="9:15" x14ac:dyDescent="0.25">
      <c r="I1772" s="268"/>
      <c r="O1772" s="268"/>
    </row>
    <row r="1773" spans="9:15" x14ac:dyDescent="0.25">
      <c r="I1773" s="268"/>
      <c r="O1773" s="268"/>
    </row>
    <row r="1774" spans="9:15" x14ac:dyDescent="0.25">
      <c r="I1774" s="268"/>
      <c r="O1774" s="268"/>
    </row>
    <row r="1775" spans="9:15" x14ac:dyDescent="0.25">
      <c r="I1775" s="268"/>
      <c r="O1775" s="268"/>
    </row>
    <row r="1776" spans="9:15" x14ac:dyDescent="0.25">
      <c r="I1776" s="268"/>
      <c r="O1776" s="268"/>
    </row>
    <row r="1777" spans="9:15" x14ac:dyDescent="0.25">
      <c r="I1777" s="268"/>
      <c r="O1777" s="268"/>
    </row>
    <row r="1778" spans="9:15" x14ac:dyDescent="0.25">
      <c r="I1778" s="268"/>
      <c r="O1778" s="268"/>
    </row>
    <row r="1779" spans="9:15" x14ac:dyDescent="0.25">
      <c r="I1779" s="268"/>
      <c r="O1779" s="268"/>
    </row>
    <row r="1780" spans="9:15" x14ac:dyDescent="0.25">
      <c r="I1780" s="268"/>
      <c r="O1780" s="268"/>
    </row>
    <row r="1781" spans="9:15" x14ac:dyDescent="0.25">
      <c r="I1781" s="268"/>
      <c r="O1781" s="268"/>
    </row>
    <row r="1782" spans="9:15" x14ac:dyDescent="0.25">
      <c r="I1782" s="268"/>
      <c r="O1782" s="268"/>
    </row>
    <row r="1783" spans="9:15" x14ac:dyDescent="0.25">
      <c r="I1783" s="268"/>
      <c r="O1783" s="268"/>
    </row>
    <row r="1784" spans="9:15" x14ac:dyDescent="0.25">
      <c r="I1784" s="268"/>
      <c r="O1784" s="268"/>
    </row>
    <row r="1785" spans="9:15" x14ac:dyDescent="0.25">
      <c r="I1785" s="268"/>
      <c r="O1785" s="268"/>
    </row>
    <row r="1786" spans="9:15" x14ac:dyDescent="0.25">
      <c r="I1786" s="268"/>
      <c r="O1786" s="268"/>
    </row>
    <row r="1787" spans="9:15" x14ac:dyDescent="0.25">
      <c r="I1787" s="268"/>
      <c r="O1787" s="268"/>
    </row>
    <row r="1788" spans="9:15" x14ac:dyDescent="0.25">
      <c r="I1788" s="268"/>
      <c r="O1788" s="268"/>
    </row>
    <row r="1789" spans="9:15" x14ac:dyDescent="0.25">
      <c r="I1789" s="268"/>
      <c r="O1789" s="268"/>
    </row>
    <row r="1790" spans="9:15" x14ac:dyDescent="0.25">
      <c r="I1790" s="268"/>
      <c r="O1790" s="268"/>
    </row>
    <row r="1791" spans="9:15" x14ac:dyDescent="0.25">
      <c r="I1791" s="268"/>
      <c r="O1791" s="268"/>
    </row>
    <row r="1792" spans="9:15" x14ac:dyDescent="0.25">
      <c r="I1792" s="268"/>
      <c r="O1792" s="268"/>
    </row>
    <row r="1793" spans="9:15" x14ac:dyDescent="0.25">
      <c r="I1793" s="268"/>
      <c r="O1793" s="268"/>
    </row>
    <row r="1794" spans="9:15" x14ac:dyDescent="0.25">
      <c r="I1794" s="268"/>
      <c r="O1794" s="268"/>
    </row>
    <row r="1795" spans="9:15" x14ac:dyDescent="0.25">
      <c r="I1795" s="268"/>
      <c r="O1795" s="268"/>
    </row>
    <row r="1796" spans="9:15" x14ac:dyDescent="0.25">
      <c r="I1796" s="268"/>
      <c r="O1796" s="268"/>
    </row>
    <row r="1797" spans="9:15" x14ac:dyDescent="0.25">
      <c r="I1797" s="268"/>
      <c r="O1797" s="268"/>
    </row>
    <row r="1798" spans="9:15" x14ac:dyDescent="0.25">
      <c r="I1798" s="268"/>
      <c r="O1798" s="268"/>
    </row>
    <row r="1799" spans="9:15" x14ac:dyDescent="0.25">
      <c r="I1799" s="268"/>
      <c r="O1799" s="268"/>
    </row>
    <row r="1800" spans="9:15" x14ac:dyDescent="0.25">
      <c r="I1800" s="268"/>
      <c r="O1800" s="268"/>
    </row>
    <row r="1801" spans="9:15" x14ac:dyDescent="0.25">
      <c r="I1801" s="268"/>
      <c r="O1801" s="268"/>
    </row>
    <row r="1802" spans="9:15" x14ac:dyDescent="0.25">
      <c r="I1802" s="268"/>
      <c r="O1802" s="268"/>
    </row>
    <row r="1803" spans="9:15" x14ac:dyDescent="0.25">
      <c r="I1803" s="268"/>
      <c r="O1803" s="268"/>
    </row>
    <row r="1804" spans="9:15" x14ac:dyDescent="0.25">
      <c r="I1804" s="268"/>
      <c r="O1804" s="268"/>
    </row>
    <row r="1805" spans="9:15" x14ac:dyDescent="0.25">
      <c r="I1805" s="268"/>
      <c r="O1805" s="268"/>
    </row>
    <row r="1806" spans="9:15" x14ac:dyDescent="0.25">
      <c r="I1806" s="268"/>
      <c r="O1806" s="268"/>
    </row>
    <row r="1807" spans="9:15" x14ac:dyDescent="0.25">
      <c r="I1807" s="268"/>
      <c r="O1807" s="268"/>
    </row>
    <row r="1808" spans="9:15" x14ac:dyDescent="0.25">
      <c r="I1808" s="268"/>
      <c r="O1808" s="268"/>
    </row>
    <row r="1809" spans="9:15" x14ac:dyDescent="0.25">
      <c r="I1809" s="268"/>
      <c r="O1809" s="268"/>
    </row>
    <row r="1810" spans="9:15" x14ac:dyDescent="0.25">
      <c r="I1810" s="268"/>
      <c r="O1810" s="268"/>
    </row>
    <row r="1811" spans="9:15" x14ac:dyDescent="0.25">
      <c r="I1811" s="268"/>
      <c r="O1811" s="268"/>
    </row>
    <row r="1812" spans="9:15" x14ac:dyDescent="0.25">
      <c r="I1812" s="268"/>
      <c r="O1812" s="268"/>
    </row>
    <row r="1813" spans="9:15" x14ac:dyDescent="0.25">
      <c r="I1813" s="268"/>
      <c r="O1813" s="268"/>
    </row>
    <row r="1814" spans="9:15" x14ac:dyDescent="0.25">
      <c r="I1814" s="268"/>
      <c r="O1814" s="268"/>
    </row>
    <row r="1815" spans="9:15" x14ac:dyDescent="0.25">
      <c r="I1815" s="268"/>
      <c r="O1815" s="268"/>
    </row>
    <row r="1816" spans="9:15" x14ac:dyDescent="0.25">
      <c r="I1816" s="268"/>
      <c r="O1816" s="268"/>
    </row>
    <row r="1817" spans="9:15" x14ac:dyDescent="0.25">
      <c r="I1817" s="268"/>
      <c r="O1817" s="268"/>
    </row>
    <row r="1818" spans="9:15" x14ac:dyDescent="0.25">
      <c r="I1818" s="268"/>
      <c r="O1818" s="268"/>
    </row>
    <row r="1819" spans="9:15" x14ac:dyDescent="0.25">
      <c r="I1819" s="268"/>
      <c r="O1819" s="268"/>
    </row>
    <row r="1820" spans="9:15" x14ac:dyDescent="0.25">
      <c r="I1820" s="268"/>
      <c r="O1820" s="268"/>
    </row>
    <row r="1821" spans="9:15" x14ac:dyDescent="0.25">
      <c r="I1821" s="268"/>
      <c r="O1821" s="268"/>
    </row>
    <row r="1822" spans="9:15" x14ac:dyDescent="0.25">
      <c r="I1822" s="268"/>
      <c r="O1822" s="268"/>
    </row>
    <row r="1823" spans="9:15" x14ac:dyDescent="0.25">
      <c r="I1823" s="268"/>
      <c r="O1823" s="268"/>
    </row>
    <row r="1824" spans="9:15" x14ac:dyDescent="0.25">
      <c r="I1824" s="268"/>
      <c r="O1824" s="268"/>
    </row>
    <row r="1825" spans="9:15" x14ac:dyDescent="0.25">
      <c r="I1825" s="268"/>
      <c r="O1825" s="268"/>
    </row>
    <row r="1826" spans="9:15" x14ac:dyDescent="0.25">
      <c r="I1826" s="268"/>
      <c r="O1826" s="268"/>
    </row>
    <row r="1827" spans="9:15" x14ac:dyDescent="0.25">
      <c r="I1827" s="268"/>
      <c r="O1827" s="268"/>
    </row>
    <row r="1828" spans="9:15" x14ac:dyDescent="0.25">
      <c r="I1828" s="268"/>
      <c r="O1828" s="268"/>
    </row>
    <row r="1829" spans="9:15" x14ac:dyDescent="0.25">
      <c r="I1829" s="268"/>
      <c r="O1829" s="268"/>
    </row>
    <row r="1830" spans="9:15" x14ac:dyDescent="0.25">
      <c r="I1830" s="268"/>
      <c r="O1830" s="268"/>
    </row>
    <row r="1831" spans="9:15" x14ac:dyDescent="0.25">
      <c r="I1831" s="268"/>
      <c r="O1831" s="268"/>
    </row>
    <row r="1832" spans="9:15" x14ac:dyDescent="0.25">
      <c r="I1832" s="268"/>
      <c r="O1832" s="268"/>
    </row>
    <row r="1833" spans="9:15" x14ac:dyDescent="0.25">
      <c r="I1833" s="268"/>
      <c r="O1833" s="268"/>
    </row>
    <row r="1834" spans="9:15" x14ac:dyDescent="0.25">
      <c r="I1834" s="268"/>
      <c r="O1834" s="268"/>
    </row>
    <row r="1835" spans="9:15" x14ac:dyDescent="0.25">
      <c r="I1835" s="268"/>
      <c r="O1835" s="268"/>
    </row>
    <row r="1836" spans="9:15" x14ac:dyDescent="0.25">
      <c r="I1836" s="268"/>
      <c r="O1836" s="268"/>
    </row>
    <row r="1837" spans="9:15" x14ac:dyDescent="0.25">
      <c r="I1837" s="268"/>
      <c r="O1837" s="268"/>
    </row>
    <row r="1838" spans="9:15" x14ac:dyDescent="0.25">
      <c r="I1838" s="268"/>
      <c r="O1838" s="268"/>
    </row>
    <row r="1839" spans="9:15" x14ac:dyDescent="0.25">
      <c r="I1839" s="268"/>
      <c r="O1839" s="268"/>
    </row>
    <row r="1840" spans="9:15" x14ac:dyDescent="0.25">
      <c r="I1840" s="268"/>
      <c r="O1840" s="268"/>
    </row>
    <row r="1841" spans="9:15" x14ac:dyDescent="0.25">
      <c r="I1841" s="268"/>
      <c r="O1841" s="268"/>
    </row>
    <row r="1842" spans="9:15" x14ac:dyDescent="0.25">
      <c r="I1842" s="268"/>
      <c r="O1842" s="268"/>
    </row>
    <row r="1843" spans="9:15" x14ac:dyDescent="0.25">
      <c r="I1843" s="268"/>
      <c r="O1843" s="268"/>
    </row>
    <row r="1844" spans="9:15" x14ac:dyDescent="0.25">
      <c r="I1844" s="268"/>
      <c r="O1844" s="268"/>
    </row>
    <row r="1845" spans="9:15" x14ac:dyDescent="0.25">
      <c r="I1845" s="268"/>
      <c r="O1845" s="268"/>
    </row>
    <row r="1846" spans="9:15" x14ac:dyDescent="0.25">
      <c r="I1846" s="268"/>
      <c r="O1846" s="268"/>
    </row>
    <row r="1847" spans="9:15" x14ac:dyDescent="0.25">
      <c r="I1847" s="268"/>
      <c r="O1847" s="268"/>
    </row>
    <row r="1848" spans="9:15" x14ac:dyDescent="0.25">
      <c r="I1848" s="268"/>
      <c r="O1848" s="268"/>
    </row>
    <row r="1849" spans="9:15" x14ac:dyDescent="0.25">
      <c r="I1849" s="268"/>
      <c r="O1849" s="268"/>
    </row>
    <row r="1850" spans="9:15" x14ac:dyDescent="0.25">
      <c r="I1850" s="268"/>
      <c r="O1850" s="268"/>
    </row>
    <row r="1851" spans="9:15" x14ac:dyDescent="0.25">
      <c r="I1851" s="268"/>
      <c r="O1851" s="268"/>
    </row>
    <row r="1852" spans="9:15" x14ac:dyDescent="0.25">
      <c r="I1852" s="268"/>
      <c r="O1852" s="268"/>
    </row>
    <row r="1853" spans="9:15" x14ac:dyDescent="0.25">
      <c r="I1853" s="268"/>
      <c r="O1853" s="268"/>
    </row>
    <row r="1854" spans="9:15" x14ac:dyDescent="0.25">
      <c r="I1854" s="268"/>
      <c r="O1854" s="268"/>
    </row>
    <row r="1855" spans="9:15" x14ac:dyDescent="0.25">
      <c r="I1855" s="268"/>
      <c r="O1855" s="268"/>
    </row>
    <row r="1856" spans="9:15" x14ac:dyDescent="0.25">
      <c r="I1856" s="268"/>
      <c r="O1856" s="268"/>
    </row>
    <row r="1857" spans="9:15" x14ac:dyDescent="0.25">
      <c r="I1857" s="268"/>
      <c r="O1857" s="268"/>
    </row>
    <row r="1858" spans="9:15" x14ac:dyDescent="0.25">
      <c r="I1858" s="268"/>
      <c r="O1858" s="268"/>
    </row>
    <row r="1859" spans="9:15" x14ac:dyDescent="0.25">
      <c r="I1859" s="268"/>
      <c r="O1859" s="268"/>
    </row>
    <row r="1860" spans="9:15" x14ac:dyDescent="0.25">
      <c r="I1860" s="268"/>
      <c r="O1860" s="268"/>
    </row>
    <row r="1861" spans="9:15" x14ac:dyDescent="0.25">
      <c r="I1861" s="268"/>
      <c r="O1861" s="268"/>
    </row>
    <row r="1862" spans="9:15" x14ac:dyDescent="0.25">
      <c r="I1862" s="268"/>
      <c r="O1862" s="268"/>
    </row>
    <row r="1863" spans="9:15" x14ac:dyDescent="0.25">
      <c r="I1863" s="268"/>
      <c r="O1863" s="268"/>
    </row>
    <row r="1864" spans="9:15" x14ac:dyDescent="0.25">
      <c r="I1864" s="268"/>
      <c r="O1864" s="268"/>
    </row>
    <row r="1865" spans="9:15" x14ac:dyDescent="0.25">
      <c r="I1865" s="268"/>
      <c r="O1865" s="268"/>
    </row>
    <row r="1866" spans="9:15" x14ac:dyDescent="0.25">
      <c r="I1866" s="268"/>
      <c r="O1866" s="268"/>
    </row>
    <row r="1867" spans="9:15" x14ac:dyDescent="0.25">
      <c r="I1867" s="268"/>
      <c r="O1867" s="268"/>
    </row>
    <row r="1868" spans="9:15" x14ac:dyDescent="0.25">
      <c r="I1868" s="268"/>
      <c r="O1868" s="268"/>
    </row>
    <row r="1869" spans="9:15" x14ac:dyDescent="0.25">
      <c r="I1869" s="268"/>
      <c r="O1869" s="268"/>
    </row>
    <row r="1870" spans="9:15" x14ac:dyDescent="0.25">
      <c r="I1870" s="268"/>
      <c r="O1870" s="268"/>
    </row>
    <row r="1871" spans="9:15" x14ac:dyDescent="0.25">
      <c r="I1871" s="268"/>
      <c r="O1871" s="268"/>
    </row>
    <row r="1872" spans="9:15" x14ac:dyDescent="0.25">
      <c r="I1872" s="268"/>
      <c r="O1872" s="268"/>
    </row>
    <row r="1873" spans="9:15" x14ac:dyDescent="0.25">
      <c r="I1873" s="268"/>
      <c r="O1873" s="268"/>
    </row>
    <row r="1874" spans="9:15" x14ac:dyDescent="0.25">
      <c r="I1874" s="268"/>
      <c r="O1874" s="268"/>
    </row>
    <row r="1875" spans="9:15" x14ac:dyDescent="0.25">
      <c r="I1875" s="268"/>
      <c r="O1875" s="268"/>
    </row>
    <row r="1876" spans="9:15" x14ac:dyDescent="0.25">
      <c r="I1876" s="268"/>
      <c r="O1876" s="268"/>
    </row>
    <row r="1877" spans="9:15" x14ac:dyDescent="0.25">
      <c r="I1877" s="268"/>
      <c r="O1877" s="268"/>
    </row>
    <row r="1878" spans="9:15" x14ac:dyDescent="0.25">
      <c r="I1878" s="268"/>
      <c r="O1878" s="268"/>
    </row>
    <row r="1879" spans="9:15" x14ac:dyDescent="0.25">
      <c r="I1879" s="268"/>
      <c r="O1879" s="268"/>
    </row>
    <row r="1880" spans="9:15" x14ac:dyDescent="0.25">
      <c r="I1880" s="268"/>
      <c r="O1880" s="268"/>
    </row>
    <row r="1881" spans="9:15" x14ac:dyDescent="0.25">
      <c r="I1881" s="268"/>
      <c r="O1881" s="268"/>
    </row>
    <row r="1882" spans="9:15" x14ac:dyDescent="0.25">
      <c r="I1882" s="268"/>
      <c r="O1882" s="268"/>
    </row>
    <row r="1883" spans="9:15" x14ac:dyDescent="0.25">
      <c r="I1883" s="268"/>
      <c r="O1883" s="268"/>
    </row>
    <row r="1884" spans="9:15" x14ac:dyDescent="0.25">
      <c r="I1884" s="268"/>
      <c r="O1884" s="268"/>
    </row>
    <row r="1885" spans="9:15" x14ac:dyDescent="0.25">
      <c r="I1885" s="268"/>
      <c r="O1885" s="268"/>
    </row>
    <row r="1886" spans="9:15" x14ac:dyDescent="0.25">
      <c r="I1886" s="268"/>
      <c r="O1886" s="268"/>
    </row>
    <row r="1887" spans="9:15" x14ac:dyDescent="0.25">
      <c r="I1887" s="268"/>
      <c r="O1887" s="268"/>
    </row>
    <row r="1888" spans="9:15" x14ac:dyDescent="0.25">
      <c r="I1888" s="268"/>
      <c r="O1888" s="268"/>
    </row>
    <row r="1889" spans="9:15" x14ac:dyDescent="0.25">
      <c r="I1889" s="268"/>
      <c r="O1889" s="268"/>
    </row>
    <row r="1890" spans="9:15" x14ac:dyDescent="0.25">
      <c r="I1890" s="268"/>
      <c r="O1890" s="268"/>
    </row>
    <row r="1891" spans="9:15" x14ac:dyDescent="0.25">
      <c r="I1891" s="268"/>
      <c r="O1891" s="268"/>
    </row>
    <row r="1892" spans="9:15" x14ac:dyDescent="0.25">
      <c r="I1892" s="268"/>
      <c r="O1892" s="268"/>
    </row>
    <row r="1893" spans="9:15" x14ac:dyDescent="0.25">
      <c r="I1893" s="268"/>
      <c r="O1893" s="268"/>
    </row>
    <row r="1894" spans="9:15" x14ac:dyDescent="0.25">
      <c r="I1894" s="268"/>
      <c r="O1894" s="268"/>
    </row>
    <row r="1895" spans="9:15" x14ac:dyDescent="0.25">
      <c r="I1895" s="268"/>
      <c r="O1895" s="268"/>
    </row>
    <row r="1896" spans="9:15" x14ac:dyDescent="0.25">
      <c r="I1896" s="268"/>
      <c r="O1896" s="268"/>
    </row>
    <row r="1897" spans="9:15" x14ac:dyDescent="0.25">
      <c r="I1897" s="268"/>
      <c r="O1897" s="268"/>
    </row>
    <row r="1898" spans="9:15" x14ac:dyDescent="0.25">
      <c r="I1898" s="268"/>
      <c r="O1898" s="268"/>
    </row>
    <row r="1899" spans="9:15" x14ac:dyDescent="0.25">
      <c r="I1899" s="268"/>
      <c r="O1899" s="268"/>
    </row>
    <row r="1900" spans="9:15" x14ac:dyDescent="0.25">
      <c r="I1900" s="268"/>
      <c r="O1900" s="268"/>
    </row>
    <row r="1901" spans="9:15" x14ac:dyDescent="0.25">
      <c r="I1901" s="268"/>
      <c r="O1901" s="268"/>
    </row>
    <row r="1902" spans="9:15" x14ac:dyDescent="0.25">
      <c r="I1902" s="268"/>
      <c r="O1902" s="268"/>
    </row>
    <row r="1903" spans="9:15" x14ac:dyDescent="0.25">
      <c r="I1903" s="268"/>
      <c r="O1903" s="268"/>
    </row>
    <row r="1904" spans="9:15" x14ac:dyDescent="0.25">
      <c r="I1904" s="268"/>
      <c r="O1904" s="268"/>
    </row>
    <row r="1905" spans="9:15" x14ac:dyDescent="0.25">
      <c r="I1905" s="268"/>
      <c r="O1905" s="268"/>
    </row>
    <row r="1906" spans="9:15" x14ac:dyDescent="0.25">
      <c r="I1906" s="268"/>
      <c r="O1906" s="268"/>
    </row>
    <row r="1907" spans="9:15" x14ac:dyDescent="0.25">
      <c r="I1907" s="268"/>
      <c r="O1907" s="268"/>
    </row>
    <row r="1908" spans="9:15" x14ac:dyDescent="0.25">
      <c r="I1908" s="268"/>
      <c r="O1908" s="268"/>
    </row>
    <row r="1909" spans="9:15" x14ac:dyDescent="0.25">
      <c r="I1909" s="268"/>
      <c r="O1909" s="268"/>
    </row>
    <row r="1910" spans="9:15" x14ac:dyDescent="0.25">
      <c r="I1910" s="268"/>
      <c r="O1910" s="268"/>
    </row>
    <row r="1911" spans="9:15" x14ac:dyDescent="0.25">
      <c r="I1911" s="268"/>
      <c r="O1911" s="268"/>
    </row>
    <row r="1912" spans="9:15" x14ac:dyDescent="0.25">
      <c r="I1912" s="268"/>
      <c r="O1912" s="268"/>
    </row>
    <row r="1913" spans="9:15" x14ac:dyDescent="0.25">
      <c r="I1913" s="268"/>
      <c r="O1913" s="268"/>
    </row>
    <row r="1914" spans="9:15" x14ac:dyDescent="0.25">
      <c r="I1914" s="268"/>
      <c r="O1914" s="268"/>
    </row>
    <row r="1915" spans="9:15" x14ac:dyDescent="0.25">
      <c r="I1915" s="268"/>
      <c r="O1915" s="268"/>
    </row>
    <row r="1916" spans="9:15" x14ac:dyDescent="0.25">
      <c r="I1916" s="268"/>
      <c r="O1916" s="268"/>
    </row>
    <row r="1917" spans="9:15" x14ac:dyDescent="0.25">
      <c r="I1917" s="268"/>
      <c r="O1917" s="268"/>
    </row>
    <row r="1918" spans="9:15" x14ac:dyDescent="0.25">
      <c r="I1918" s="268"/>
      <c r="O1918" s="268"/>
    </row>
    <row r="1919" spans="9:15" x14ac:dyDescent="0.25">
      <c r="I1919" s="268"/>
      <c r="O1919" s="268"/>
    </row>
    <row r="1920" spans="9:15" x14ac:dyDescent="0.25">
      <c r="I1920" s="268"/>
      <c r="O1920" s="268"/>
    </row>
    <row r="1921" spans="9:15" x14ac:dyDescent="0.25">
      <c r="I1921" s="268"/>
      <c r="O1921" s="268"/>
    </row>
    <row r="1922" spans="9:15" x14ac:dyDescent="0.25">
      <c r="I1922" s="268"/>
      <c r="O1922" s="268"/>
    </row>
    <row r="1923" spans="9:15" x14ac:dyDescent="0.25">
      <c r="I1923" s="268"/>
      <c r="O1923" s="268"/>
    </row>
    <row r="1924" spans="9:15" x14ac:dyDescent="0.25">
      <c r="I1924" s="268"/>
      <c r="O1924" s="268"/>
    </row>
    <row r="1925" spans="9:15" x14ac:dyDescent="0.25">
      <c r="I1925" s="268"/>
      <c r="O1925" s="268"/>
    </row>
    <row r="1926" spans="9:15" x14ac:dyDescent="0.25">
      <c r="I1926" s="268"/>
      <c r="O1926" s="268"/>
    </row>
    <row r="1927" spans="9:15" x14ac:dyDescent="0.25">
      <c r="I1927" s="268"/>
      <c r="O1927" s="268"/>
    </row>
    <row r="1928" spans="9:15" x14ac:dyDescent="0.25">
      <c r="I1928" s="268"/>
      <c r="O1928" s="268"/>
    </row>
    <row r="1929" spans="9:15" x14ac:dyDescent="0.25">
      <c r="I1929" s="268"/>
      <c r="O1929" s="268"/>
    </row>
    <row r="1930" spans="9:15" x14ac:dyDescent="0.25">
      <c r="I1930" s="268"/>
      <c r="O1930" s="268"/>
    </row>
    <row r="1931" spans="9:15" x14ac:dyDescent="0.25">
      <c r="I1931" s="268"/>
      <c r="O1931" s="268"/>
    </row>
    <row r="1932" spans="9:15" x14ac:dyDescent="0.25">
      <c r="I1932" s="268"/>
      <c r="O1932" s="268"/>
    </row>
    <row r="1933" spans="9:15" x14ac:dyDescent="0.25">
      <c r="I1933" s="268"/>
      <c r="O1933" s="268"/>
    </row>
    <row r="1934" spans="9:15" x14ac:dyDescent="0.25">
      <c r="I1934" s="268"/>
      <c r="O1934" s="268"/>
    </row>
    <row r="1935" spans="9:15" x14ac:dyDescent="0.25">
      <c r="I1935" s="268"/>
      <c r="O1935" s="268"/>
    </row>
    <row r="1936" spans="9:15" x14ac:dyDescent="0.25">
      <c r="I1936" s="268"/>
      <c r="O1936" s="268"/>
    </row>
    <row r="1937" spans="9:15" x14ac:dyDescent="0.25">
      <c r="I1937" s="268"/>
      <c r="O1937" s="268"/>
    </row>
    <row r="1938" spans="9:15" x14ac:dyDescent="0.25">
      <c r="I1938" s="268"/>
      <c r="O1938" s="268"/>
    </row>
    <row r="1939" spans="9:15" x14ac:dyDescent="0.25">
      <c r="I1939" s="268"/>
      <c r="O1939" s="268"/>
    </row>
    <row r="1940" spans="9:15" x14ac:dyDescent="0.25">
      <c r="I1940" s="268"/>
      <c r="O1940" s="268"/>
    </row>
    <row r="1941" spans="9:15" x14ac:dyDescent="0.25">
      <c r="I1941" s="268"/>
      <c r="O1941" s="268"/>
    </row>
    <row r="1942" spans="9:15" x14ac:dyDescent="0.25">
      <c r="I1942" s="268"/>
      <c r="O1942" s="268"/>
    </row>
    <row r="1943" spans="9:15" x14ac:dyDescent="0.25">
      <c r="I1943" s="268"/>
      <c r="O1943" s="268"/>
    </row>
    <row r="1944" spans="9:15" x14ac:dyDescent="0.25">
      <c r="I1944" s="268"/>
      <c r="O1944" s="268"/>
    </row>
    <row r="1945" spans="9:15" x14ac:dyDescent="0.25">
      <c r="I1945" s="268"/>
      <c r="O1945" s="268"/>
    </row>
    <row r="1946" spans="9:15" x14ac:dyDescent="0.25">
      <c r="I1946" s="268"/>
      <c r="O1946" s="268"/>
    </row>
    <row r="1947" spans="9:15" x14ac:dyDescent="0.25">
      <c r="I1947" s="268"/>
      <c r="O1947" s="268"/>
    </row>
    <row r="1948" spans="9:15" x14ac:dyDescent="0.25">
      <c r="I1948" s="268"/>
      <c r="O1948" s="268"/>
    </row>
    <row r="1949" spans="9:15" x14ac:dyDescent="0.25">
      <c r="I1949" s="268"/>
      <c r="O1949" s="268"/>
    </row>
    <row r="1950" spans="9:15" x14ac:dyDescent="0.25">
      <c r="I1950" s="268"/>
      <c r="O1950" s="268"/>
    </row>
    <row r="1951" spans="9:15" x14ac:dyDescent="0.25">
      <c r="I1951" s="268"/>
      <c r="O1951" s="268"/>
    </row>
    <row r="1952" spans="9:15" x14ac:dyDescent="0.25">
      <c r="I1952" s="268"/>
      <c r="O1952" s="268"/>
    </row>
    <row r="1953" spans="9:15" x14ac:dyDescent="0.25">
      <c r="I1953" s="268"/>
      <c r="O1953" s="268"/>
    </row>
    <row r="1954" spans="9:15" x14ac:dyDescent="0.25">
      <c r="I1954" s="268"/>
      <c r="O1954" s="268"/>
    </row>
    <row r="1955" spans="9:15" x14ac:dyDescent="0.25">
      <c r="I1955" s="268"/>
      <c r="O1955" s="268"/>
    </row>
    <row r="1956" spans="9:15" x14ac:dyDescent="0.25">
      <c r="I1956" s="268"/>
      <c r="O1956" s="268"/>
    </row>
    <row r="1957" spans="9:15" x14ac:dyDescent="0.25">
      <c r="I1957" s="268"/>
      <c r="O1957" s="268"/>
    </row>
    <row r="1958" spans="9:15" x14ac:dyDescent="0.25">
      <c r="I1958" s="268"/>
      <c r="O1958" s="268"/>
    </row>
    <row r="1959" spans="9:15" x14ac:dyDescent="0.25">
      <c r="I1959" s="268"/>
      <c r="O1959" s="268"/>
    </row>
    <row r="1960" spans="9:15" x14ac:dyDescent="0.25">
      <c r="I1960" s="268"/>
      <c r="O1960" s="268"/>
    </row>
    <row r="1961" spans="9:15" x14ac:dyDescent="0.25">
      <c r="I1961" s="268"/>
      <c r="O1961" s="268"/>
    </row>
    <row r="1962" spans="9:15" x14ac:dyDescent="0.25">
      <c r="I1962" s="268"/>
      <c r="O1962" s="268"/>
    </row>
    <row r="1963" spans="9:15" x14ac:dyDescent="0.25">
      <c r="I1963" s="268"/>
      <c r="O1963" s="268"/>
    </row>
    <row r="1964" spans="9:15" x14ac:dyDescent="0.25">
      <c r="I1964" s="268"/>
      <c r="O1964" s="268"/>
    </row>
    <row r="1965" spans="9:15" x14ac:dyDescent="0.25">
      <c r="I1965" s="268"/>
      <c r="O1965" s="268"/>
    </row>
    <row r="1966" spans="9:15" x14ac:dyDescent="0.25">
      <c r="I1966" s="268"/>
      <c r="O1966" s="268"/>
    </row>
    <row r="1967" spans="9:15" x14ac:dyDescent="0.25">
      <c r="I1967" s="268"/>
      <c r="O1967" s="268"/>
    </row>
    <row r="1968" spans="9:15" x14ac:dyDescent="0.25">
      <c r="I1968" s="268"/>
      <c r="O1968" s="268"/>
    </row>
    <row r="1969" spans="9:15" x14ac:dyDescent="0.25">
      <c r="I1969" s="268"/>
      <c r="O1969" s="268"/>
    </row>
    <row r="1970" spans="9:15" x14ac:dyDescent="0.25">
      <c r="I1970" s="268"/>
      <c r="O1970" s="268"/>
    </row>
    <row r="1971" spans="9:15" x14ac:dyDescent="0.25">
      <c r="I1971" s="268"/>
      <c r="O1971" s="268"/>
    </row>
    <row r="1972" spans="9:15" x14ac:dyDescent="0.25">
      <c r="I1972" s="268"/>
      <c r="O1972" s="268"/>
    </row>
    <row r="1973" spans="9:15" x14ac:dyDescent="0.25">
      <c r="I1973" s="268"/>
      <c r="O1973" s="268"/>
    </row>
    <row r="1974" spans="9:15" x14ac:dyDescent="0.25">
      <c r="I1974" s="268"/>
      <c r="O1974" s="268"/>
    </row>
    <row r="1975" spans="9:15" x14ac:dyDescent="0.25">
      <c r="I1975" s="268"/>
      <c r="O1975" s="268"/>
    </row>
    <row r="1976" spans="9:15" x14ac:dyDescent="0.25">
      <c r="I1976" s="268"/>
      <c r="O1976" s="268"/>
    </row>
    <row r="1977" spans="9:15" x14ac:dyDescent="0.25">
      <c r="I1977" s="268"/>
      <c r="O1977" s="268"/>
    </row>
    <row r="1978" spans="9:15" x14ac:dyDescent="0.25">
      <c r="I1978" s="268"/>
      <c r="O1978" s="268"/>
    </row>
    <row r="1979" spans="9:15" x14ac:dyDescent="0.25">
      <c r="I1979" s="268"/>
      <c r="O1979" s="268"/>
    </row>
    <row r="1980" spans="9:15" x14ac:dyDescent="0.25">
      <c r="I1980" s="268"/>
      <c r="O1980" s="268"/>
    </row>
    <row r="1981" spans="9:15" x14ac:dyDescent="0.25">
      <c r="I1981" s="268"/>
      <c r="O1981" s="268"/>
    </row>
    <row r="1982" spans="9:15" x14ac:dyDescent="0.25">
      <c r="I1982" s="268"/>
      <c r="O1982" s="268"/>
    </row>
    <row r="1983" spans="9:15" x14ac:dyDescent="0.25">
      <c r="I1983" s="268"/>
      <c r="O1983" s="268"/>
    </row>
    <row r="1984" spans="9:15" x14ac:dyDescent="0.25">
      <c r="I1984" s="268"/>
      <c r="O1984" s="268"/>
    </row>
    <row r="1985" spans="9:15" x14ac:dyDescent="0.25">
      <c r="I1985" s="268"/>
      <c r="O1985" s="268"/>
    </row>
    <row r="1986" spans="9:15" x14ac:dyDescent="0.25">
      <c r="I1986" s="268"/>
      <c r="O1986" s="268"/>
    </row>
    <row r="1987" spans="9:15" x14ac:dyDescent="0.25">
      <c r="I1987" s="268"/>
      <c r="O1987" s="268"/>
    </row>
    <row r="1988" spans="9:15" x14ac:dyDescent="0.25">
      <c r="I1988" s="268"/>
      <c r="O1988" s="268"/>
    </row>
    <row r="1989" spans="9:15" x14ac:dyDescent="0.25">
      <c r="I1989" s="268"/>
      <c r="O1989" s="268"/>
    </row>
    <row r="1990" spans="9:15" x14ac:dyDescent="0.25">
      <c r="I1990" s="268"/>
      <c r="O1990" s="268"/>
    </row>
    <row r="1991" spans="9:15" x14ac:dyDescent="0.25">
      <c r="I1991" s="268"/>
      <c r="O1991" s="268"/>
    </row>
    <row r="1992" spans="9:15" x14ac:dyDescent="0.25">
      <c r="I1992" s="268"/>
      <c r="O1992" s="268"/>
    </row>
    <row r="1993" spans="9:15" x14ac:dyDescent="0.25">
      <c r="I1993" s="268"/>
      <c r="O1993" s="268"/>
    </row>
    <row r="1994" spans="9:15" x14ac:dyDescent="0.25">
      <c r="I1994" s="268"/>
      <c r="O1994" s="268"/>
    </row>
    <row r="1995" spans="9:15" x14ac:dyDescent="0.25">
      <c r="I1995" s="268"/>
      <c r="O1995" s="268"/>
    </row>
    <row r="1996" spans="9:15" x14ac:dyDescent="0.25">
      <c r="I1996" s="268"/>
      <c r="O1996" s="268"/>
    </row>
    <row r="1997" spans="9:15" x14ac:dyDescent="0.25">
      <c r="I1997" s="268"/>
      <c r="O1997" s="268"/>
    </row>
    <row r="1998" spans="9:15" x14ac:dyDescent="0.25">
      <c r="I1998" s="268"/>
      <c r="O1998" s="268"/>
    </row>
    <row r="1999" spans="9:15" x14ac:dyDescent="0.25">
      <c r="I1999" s="268"/>
      <c r="O1999" s="268"/>
    </row>
    <row r="2000" spans="9:15" x14ac:dyDescent="0.25">
      <c r="I2000" s="268"/>
      <c r="O2000" s="268"/>
    </row>
    <row r="2001" spans="9:15" x14ac:dyDescent="0.25">
      <c r="I2001" s="268"/>
      <c r="O2001" s="268"/>
    </row>
    <row r="2002" spans="9:15" x14ac:dyDescent="0.25">
      <c r="I2002" s="268"/>
      <c r="O2002" s="268"/>
    </row>
    <row r="2003" spans="9:15" x14ac:dyDescent="0.25">
      <c r="I2003" s="268"/>
      <c r="O2003" s="268"/>
    </row>
    <row r="2004" spans="9:15" x14ac:dyDescent="0.25">
      <c r="I2004" s="268"/>
      <c r="O2004" s="268"/>
    </row>
    <row r="2005" spans="9:15" x14ac:dyDescent="0.25">
      <c r="I2005" s="268"/>
      <c r="O2005" s="268"/>
    </row>
    <row r="2006" spans="9:15" x14ac:dyDescent="0.25">
      <c r="I2006" s="268"/>
      <c r="O2006" s="268"/>
    </row>
    <row r="2007" spans="9:15" x14ac:dyDescent="0.25">
      <c r="I2007" s="268"/>
      <c r="O2007" s="268"/>
    </row>
    <row r="2008" spans="9:15" x14ac:dyDescent="0.25">
      <c r="I2008" s="268"/>
      <c r="O2008" s="268"/>
    </row>
    <row r="2009" spans="9:15" x14ac:dyDescent="0.25">
      <c r="I2009" s="268"/>
      <c r="O2009" s="268"/>
    </row>
    <row r="2010" spans="9:15" x14ac:dyDescent="0.25">
      <c r="I2010" s="268"/>
      <c r="O2010" s="268"/>
    </row>
    <row r="2011" spans="9:15" x14ac:dyDescent="0.25">
      <c r="I2011" s="268"/>
      <c r="O2011" s="268"/>
    </row>
    <row r="2012" spans="9:15" x14ac:dyDescent="0.25">
      <c r="I2012" s="268"/>
      <c r="O2012" s="268"/>
    </row>
    <row r="2013" spans="9:15" x14ac:dyDescent="0.25">
      <c r="I2013" s="268"/>
      <c r="O2013" s="268"/>
    </row>
    <row r="2014" spans="9:15" x14ac:dyDescent="0.25">
      <c r="I2014" s="268"/>
      <c r="O2014" s="268"/>
    </row>
    <row r="2015" spans="9:15" x14ac:dyDescent="0.25">
      <c r="I2015" s="268"/>
      <c r="O2015" s="268"/>
    </row>
    <row r="2016" spans="9:15" x14ac:dyDescent="0.25">
      <c r="I2016" s="268"/>
      <c r="O2016" s="268"/>
    </row>
    <row r="2017" spans="9:15" x14ac:dyDescent="0.25">
      <c r="I2017" s="268"/>
      <c r="O2017" s="268"/>
    </row>
    <row r="2018" spans="9:15" x14ac:dyDescent="0.25">
      <c r="I2018" s="268"/>
      <c r="O2018" s="268"/>
    </row>
    <row r="2019" spans="9:15" x14ac:dyDescent="0.25">
      <c r="I2019" s="268"/>
      <c r="O2019" s="268"/>
    </row>
    <row r="2020" spans="9:15" x14ac:dyDescent="0.25">
      <c r="I2020" s="268"/>
      <c r="O2020" s="268"/>
    </row>
    <row r="2021" spans="9:15" x14ac:dyDescent="0.25">
      <c r="I2021" s="268"/>
      <c r="O2021" s="268"/>
    </row>
    <row r="2022" spans="9:15" x14ac:dyDescent="0.25">
      <c r="I2022" s="268"/>
      <c r="O2022" s="268"/>
    </row>
    <row r="2023" spans="9:15" x14ac:dyDescent="0.25">
      <c r="I2023" s="268"/>
      <c r="O2023" s="268"/>
    </row>
    <row r="2024" spans="9:15" x14ac:dyDescent="0.25">
      <c r="I2024" s="268"/>
      <c r="O2024" s="268"/>
    </row>
    <row r="2025" spans="9:15" x14ac:dyDescent="0.25">
      <c r="I2025" s="268"/>
      <c r="O2025" s="268"/>
    </row>
    <row r="2026" spans="9:15" x14ac:dyDescent="0.25">
      <c r="I2026" s="268"/>
      <c r="O2026" s="268"/>
    </row>
    <row r="2027" spans="9:15" x14ac:dyDescent="0.25">
      <c r="I2027" s="268"/>
      <c r="O2027" s="268"/>
    </row>
    <row r="2028" spans="9:15" x14ac:dyDescent="0.25">
      <c r="I2028" s="268"/>
      <c r="O2028" s="268"/>
    </row>
    <row r="2029" spans="9:15" x14ac:dyDescent="0.25">
      <c r="I2029" s="268"/>
      <c r="O2029" s="268"/>
    </row>
    <row r="2030" spans="9:15" x14ac:dyDescent="0.25">
      <c r="I2030" s="268"/>
      <c r="O2030" s="268"/>
    </row>
    <row r="2031" spans="9:15" x14ac:dyDescent="0.25">
      <c r="I2031" s="268"/>
      <c r="O2031" s="268"/>
    </row>
    <row r="2032" spans="9:15" x14ac:dyDescent="0.25">
      <c r="I2032" s="268"/>
      <c r="O2032" s="268"/>
    </row>
    <row r="2033" spans="9:15" x14ac:dyDescent="0.25">
      <c r="I2033" s="268"/>
      <c r="O2033" s="268"/>
    </row>
    <row r="2034" spans="9:15" x14ac:dyDescent="0.25">
      <c r="I2034" s="268"/>
      <c r="O2034" s="268"/>
    </row>
    <row r="2035" spans="9:15" x14ac:dyDescent="0.25">
      <c r="I2035" s="268"/>
      <c r="O2035" s="268"/>
    </row>
    <row r="2036" spans="9:15" x14ac:dyDescent="0.25">
      <c r="I2036" s="268"/>
      <c r="O2036" s="268"/>
    </row>
    <row r="2037" spans="9:15" x14ac:dyDescent="0.25">
      <c r="I2037" s="268"/>
      <c r="O2037" s="268"/>
    </row>
    <row r="2038" spans="9:15" x14ac:dyDescent="0.25">
      <c r="I2038" s="268"/>
      <c r="O2038" s="268"/>
    </row>
    <row r="2039" spans="9:15" x14ac:dyDescent="0.25">
      <c r="I2039" s="268"/>
      <c r="O2039" s="268"/>
    </row>
    <row r="2040" spans="9:15" x14ac:dyDescent="0.25">
      <c r="I2040" s="268"/>
      <c r="O2040" s="268"/>
    </row>
    <row r="2041" spans="9:15" x14ac:dyDescent="0.25">
      <c r="I2041" s="268"/>
      <c r="O2041" s="268"/>
    </row>
    <row r="2042" spans="9:15" x14ac:dyDescent="0.25">
      <c r="I2042" s="268"/>
      <c r="O2042" s="268"/>
    </row>
    <row r="2043" spans="9:15" x14ac:dyDescent="0.25">
      <c r="I2043" s="268"/>
      <c r="O2043" s="268"/>
    </row>
    <row r="2044" spans="9:15" x14ac:dyDescent="0.25">
      <c r="I2044" s="268"/>
      <c r="O2044" s="268"/>
    </row>
    <row r="2045" spans="9:15" x14ac:dyDescent="0.25">
      <c r="I2045" s="268"/>
      <c r="O2045" s="268"/>
    </row>
    <row r="2046" spans="9:15" x14ac:dyDescent="0.25">
      <c r="I2046" s="268"/>
      <c r="O2046" s="268"/>
    </row>
    <row r="2047" spans="9:15" x14ac:dyDescent="0.25">
      <c r="I2047" s="268"/>
      <c r="O2047" s="268"/>
    </row>
    <row r="2048" spans="9:15" x14ac:dyDescent="0.25">
      <c r="I2048" s="268"/>
      <c r="O2048" s="268"/>
    </row>
    <row r="2049" spans="9:15" x14ac:dyDescent="0.25">
      <c r="I2049" s="268"/>
      <c r="O2049" s="268"/>
    </row>
    <row r="2050" spans="9:15" x14ac:dyDescent="0.25">
      <c r="I2050" s="268"/>
      <c r="O2050" s="268"/>
    </row>
    <row r="2051" spans="9:15" x14ac:dyDescent="0.25">
      <c r="I2051" s="268"/>
      <c r="O2051" s="268"/>
    </row>
    <row r="2052" spans="9:15" x14ac:dyDescent="0.25">
      <c r="I2052" s="268"/>
      <c r="O2052" s="268"/>
    </row>
    <row r="2053" spans="9:15" x14ac:dyDescent="0.25">
      <c r="I2053" s="268"/>
      <c r="O2053" s="268"/>
    </row>
    <row r="2054" spans="9:15" x14ac:dyDescent="0.25">
      <c r="I2054" s="268"/>
      <c r="O2054" s="268"/>
    </row>
    <row r="2055" spans="9:15" x14ac:dyDescent="0.25">
      <c r="I2055" s="268"/>
      <c r="O2055" s="268"/>
    </row>
    <row r="2056" spans="9:15" x14ac:dyDescent="0.25">
      <c r="I2056" s="268"/>
      <c r="O2056" s="268"/>
    </row>
    <row r="2057" spans="9:15" x14ac:dyDescent="0.25">
      <c r="I2057" s="268"/>
      <c r="O2057" s="268"/>
    </row>
    <row r="2058" spans="9:15" x14ac:dyDescent="0.25">
      <c r="I2058" s="268"/>
      <c r="O2058" s="268"/>
    </row>
    <row r="2059" spans="9:15" x14ac:dyDescent="0.25">
      <c r="I2059" s="268"/>
      <c r="O2059" s="268"/>
    </row>
    <row r="2060" spans="9:15" x14ac:dyDescent="0.25">
      <c r="I2060" s="268"/>
      <c r="O2060" s="268"/>
    </row>
    <row r="2061" spans="9:15" x14ac:dyDescent="0.25">
      <c r="I2061" s="268"/>
      <c r="O2061" s="268"/>
    </row>
    <row r="2062" spans="9:15" x14ac:dyDescent="0.25">
      <c r="I2062" s="268"/>
      <c r="O2062" s="268"/>
    </row>
    <row r="2063" spans="9:15" x14ac:dyDescent="0.25">
      <c r="I2063" s="268"/>
      <c r="O2063" s="268"/>
    </row>
    <row r="2064" spans="9:15" x14ac:dyDescent="0.25">
      <c r="I2064" s="268"/>
      <c r="O2064" s="268"/>
    </row>
    <row r="2065" spans="9:15" x14ac:dyDescent="0.25">
      <c r="I2065" s="268"/>
      <c r="O2065" s="268"/>
    </row>
    <row r="2066" spans="9:15" x14ac:dyDescent="0.25">
      <c r="I2066" s="268"/>
      <c r="O2066" s="268"/>
    </row>
    <row r="2067" spans="9:15" x14ac:dyDescent="0.25">
      <c r="I2067" s="268"/>
      <c r="O2067" s="268"/>
    </row>
    <row r="2068" spans="9:15" x14ac:dyDescent="0.25">
      <c r="I2068" s="268"/>
      <c r="O2068" s="268"/>
    </row>
    <row r="2069" spans="9:15" x14ac:dyDescent="0.25">
      <c r="I2069" s="268"/>
      <c r="O2069" s="268"/>
    </row>
    <row r="2070" spans="9:15" x14ac:dyDescent="0.25">
      <c r="I2070" s="268"/>
      <c r="O2070" s="268"/>
    </row>
    <row r="2071" spans="9:15" x14ac:dyDescent="0.25">
      <c r="I2071" s="268"/>
      <c r="O2071" s="268"/>
    </row>
    <row r="2072" spans="9:15" x14ac:dyDescent="0.25">
      <c r="I2072" s="268"/>
      <c r="O2072" s="268"/>
    </row>
    <row r="2073" spans="9:15" x14ac:dyDescent="0.25">
      <c r="I2073" s="268"/>
      <c r="O2073" s="268"/>
    </row>
    <row r="2074" spans="9:15" x14ac:dyDescent="0.25">
      <c r="I2074" s="268"/>
      <c r="O2074" s="268"/>
    </row>
    <row r="2075" spans="9:15" x14ac:dyDescent="0.25">
      <c r="I2075" s="268"/>
      <c r="O2075" s="268"/>
    </row>
    <row r="2076" spans="9:15" x14ac:dyDescent="0.25">
      <c r="I2076" s="268"/>
      <c r="O2076" s="268"/>
    </row>
    <row r="2077" spans="9:15" x14ac:dyDescent="0.25">
      <c r="I2077" s="268"/>
      <c r="O2077" s="268"/>
    </row>
    <row r="2078" spans="9:15" x14ac:dyDescent="0.25">
      <c r="I2078" s="268"/>
      <c r="O2078" s="268"/>
    </row>
    <row r="2079" spans="9:15" x14ac:dyDescent="0.25">
      <c r="I2079" s="268"/>
      <c r="O2079" s="268"/>
    </row>
    <row r="2080" spans="9:15" x14ac:dyDescent="0.25">
      <c r="I2080" s="268"/>
      <c r="O2080" s="268"/>
    </row>
    <row r="2081" spans="9:15" x14ac:dyDescent="0.25">
      <c r="I2081" s="268"/>
      <c r="O2081" s="268"/>
    </row>
    <row r="2082" spans="9:15" x14ac:dyDescent="0.25">
      <c r="I2082" s="268"/>
      <c r="O2082" s="268"/>
    </row>
    <row r="2083" spans="9:15" x14ac:dyDescent="0.25">
      <c r="I2083" s="268"/>
      <c r="O2083" s="268"/>
    </row>
    <row r="2084" spans="9:15" x14ac:dyDescent="0.25">
      <c r="I2084" s="268"/>
      <c r="O2084" s="268"/>
    </row>
    <row r="2085" spans="9:15" x14ac:dyDescent="0.25">
      <c r="I2085" s="268"/>
      <c r="O2085" s="268"/>
    </row>
    <row r="2086" spans="9:15" x14ac:dyDescent="0.25">
      <c r="I2086" s="268"/>
      <c r="O2086" s="268"/>
    </row>
    <row r="2087" spans="9:15" x14ac:dyDescent="0.25">
      <c r="I2087" s="268"/>
      <c r="O2087" s="268"/>
    </row>
    <row r="2088" spans="9:15" x14ac:dyDescent="0.25">
      <c r="I2088" s="268"/>
      <c r="O2088" s="268"/>
    </row>
    <row r="2089" spans="9:15" x14ac:dyDescent="0.25">
      <c r="I2089" s="268"/>
      <c r="O2089" s="268"/>
    </row>
    <row r="2090" spans="9:15" x14ac:dyDescent="0.25">
      <c r="I2090" s="268"/>
      <c r="O2090" s="268"/>
    </row>
    <row r="2091" spans="9:15" x14ac:dyDescent="0.25">
      <c r="I2091" s="268"/>
      <c r="O2091" s="268"/>
    </row>
    <row r="2092" spans="9:15" x14ac:dyDescent="0.25">
      <c r="I2092" s="268"/>
      <c r="O2092" s="268"/>
    </row>
    <row r="2093" spans="9:15" x14ac:dyDescent="0.25">
      <c r="I2093" s="268"/>
      <c r="O2093" s="268"/>
    </row>
    <row r="2094" spans="9:15" x14ac:dyDescent="0.25">
      <c r="I2094" s="268"/>
      <c r="O2094" s="268"/>
    </row>
    <row r="2095" spans="9:15" x14ac:dyDescent="0.25">
      <c r="I2095" s="268"/>
      <c r="O2095" s="268"/>
    </row>
    <row r="2096" spans="9:15" x14ac:dyDescent="0.25">
      <c r="I2096" s="268"/>
      <c r="O2096" s="268"/>
    </row>
    <row r="2097" spans="9:15" x14ac:dyDescent="0.25">
      <c r="I2097" s="268"/>
      <c r="O2097" s="268"/>
    </row>
    <row r="2098" spans="9:15" x14ac:dyDescent="0.25">
      <c r="I2098" s="268"/>
      <c r="O2098" s="268"/>
    </row>
    <row r="2099" spans="9:15" x14ac:dyDescent="0.25">
      <c r="I2099" s="268"/>
      <c r="O2099" s="268"/>
    </row>
    <row r="2100" spans="9:15" x14ac:dyDescent="0.25">
      <c r="I2100" s="268"/>
      <c r="O2100" s="268"/>
    </row>
    <row r="2101" spans="9:15" x14ac:dyDescent="0.25">
      <c r="I2101" s="268"/>
      <c r="O2101" s="268"/>
    </row>
    <row r="2102" spans="9:15" x14ac:dyDescent="0.25">
      <c r="I2102" s="268"/>
      <c r="O2102" s="268"/>
    </row>
    <row r="2103" spans="9:15" x14ac:dyDescent="0.25">
      <c r="I2103" s="268"/>
      <c r="O2103" s="268"/>
    </row>
    <row r="2104" spans="9:15" x14ac:dyDescent="0.25">
      <c r="I2104" s="268"/>
      <c r="O2104" s="268"/>
    </row>
    <row r="2105" spans="9:15" x14ac:dyDescent="0.25">
      <c r="I2105" s="268"/>
      <c r="O2105" s="268"/>
    </row>
    <row r="2106" spans="9:15" x14ac:dyDescent="0.25">
      <c r="I2106" s="268"/>
      <c r="O2106" s="268"/>
    </row>
    <row r="2107" spans="9:15" x14ac:dyDescent="0.25">
      <c r="I2107" s="268"/>
      <c r="O2107" s="268"/>
    </row>
    <row r="2108" spans="9:15" x14ac:dyDescent="0.25">
      <c r="I2108" s="268"/>
      <c r="O2108" s="268"/>
    </row>
    <row r="2109" spans="9:15" x14ac:dyDescent="0.25">
      <c r="I2109" s="268"/>
      <c r="O2109" s="268"/>
    </row>
    <row r="2110" spans="9:15" x14ac:dyDescent="0.25">
      <c r="I2110" s="268"/>
      <c r="O2110" s="268"/>
    </row>
    <row r="2111" spans="9:15" x14ac:dyDescent="0.25">
      <c r="I2111" s="268"/>
      <c r="O2111" s="268"/>
    </row>
    <row r="2112" spans="9:15" x14ac:dyDescent="0.25">
      <c r="I2112" s="268"/>
      <c r="O2112" s="268"/>
    </row>
    <row r="2113" spans="9:15" x14ac:dyDescent="0.25">
      <c r="I2113" s="268"/>
      <c r="O2113" s="268"/>
    </row>
    <row r="2114" spans="9:15" x14ac:dyDescent="0.25">
      <c r="I2114" s="268"/>
      <c r="O2114" s="268"/>
    </row>
    <row r="2115" spans="9:15" x14ac:dyDescent="0.25">
      <c r="I2115" s="268"/>
      <c r="O2115" s="268"/>
    </row>
    <row r="2116" spans="9:15" x14ac:dyDescent="0.25">
      <c r="I2116" s="268"/>
      <c r="O2116" s="268"/>
    </row>
    <row r="2117" spans="9:15" x14ac:dyDescent="0.25">
      <c r="I2117" s="268"/>
      <c r="O2117" s="268"/>
    </row>
    <row r="2118" spans="9:15" x14ac:dyDescent="0.25">
      <c r="I2118" s="268"/>
      <c r="O2118" s="268"/>
    </row>
    <row r="2119" spans="9:15" x14ac:dyDescent="0.25">
      <c r="I2119" s="268"/>
      <c r="O2119" s="268"/>
    </row>
    <row r="2120" spans="9:15" x14ac:dyDescent="0.25">
      <c r="I2120" s="268"/>
      <c r="O2120" s="268"/>
    </row>
    <row r="2121" spans="9:15" x14ac:dyDescent="0.25">
      <c r="I2121" s="268"/>
      <c r="O2121" s="268"/>
    </row>
    <row r="2122" spans="9:15" x14ac:dyDescent="0.25">
      <c r="I2122" s="268"/>
      <c r="O2122" s="268"/>
    </row>
    <row r="2123" spans="9:15" x14ac:dyDescent="0.25">
      <c r="I2123" s="268"/>
      <c r="O2123" s="268"/>
    </row>
    <row r="2124" spans="9:15" x14ac:dyDescent="0.25">
      <c r="I2124" s="268"/>
      <c r="O2124" s="268"/>
    </row>
    <row r="2125" spans="9:15" x14ac:dyDescent="0.25">
      <c r="I2125" s="268"/>
      <c r="O2125" s="268"/>
    </row>
    <row r="2126" spans="9:15" x14ac:dyDescent="0.25">
      <c r="I2126" s="268"/>
      <c r="O2126" s="268"/>
    </row>
    <row r="2127" spans="9:15" x14ac:dyDescent="0.25">
      <c r="I2127" s="268"/>
      <c r="O2127" s="268"/>
    </row>
    <row r="2128" spans="9:15" x14ac:dyDescent="0.25">
      <c r="I2128" s="268"/>
      <c r="O2128" s="268"/>
    </row>
    <row r="2129" spans="9:15" x14ac:dyDescent="0.25">
      <c r="I2129" s="268"/>
      <c r="O2129" s="268"/>
    </row>
    <row r="2130" spans="9:15" x14ac:dyDescent="0.25">
      <c r="I2130" s="268"/>
      <c r="O2130" s="268"/>
    </row>
    <row r="2131" spans="9:15" x14ac:dyDescent="0.25">
      <c r="I2131" s="268"/>
      <c r="O2131" s="268"/>
    </row>
    <row r="2132" spans="9:15" x14ac:dyDescent="0.25">
      <c r="I2132" s="268"/>
      <c r="O2132" s="268"/>
    </row>
    <row r="2133" spans="9:15" x14ac:dyDescent="0.25">
      <c r="I2133" s="268"/>
      <c r="O2133" s="268"/>
    </row>
    <row r="2134" spans="9:15" x14ac:dyDescent="0.25">
      <c r="I2134" s="268"/>
      <c r="O2134" s="268"/>
    </row>
    <row r="2135" spans="9:15" x14ac:dyDescent="0.25">
      <c r="I2135" s="268"/>
      <c r="O2135" s="268"/>
    </row>
    <row r="2136" spans="9:15" x14ac:dyDescent="0.25">
      <c r="I2136" s="268"/>
      <c r="O2136" s="268"/>
    </row>
    <row r="2137" spans="9:15" x14ac:dyDescent="0.25">
      <c r="I2137" s="268"/>
      <c r="O2137" s="268"/>
    </row>
    <row r="2138" spans="9:15" x14ac:dyDescent="0.25">
      <c r="I2138" s="268"/>
      <c r="O2138" s="268"/>
    </row>
    <row r="2139" spans="9:15" x14ac:dyDescent="0.25">
      <c r="I2139" s="268"/>
      <c r="O2139" s="268"/>
    </row>
    <row r="2140" spans="9:15" x14ac:dyDescent="0.25">
      <c r="I2140" s="268"/>
      <c r="O2140" s="268"/>
    </row>
    <row r="2141" spans="9:15" x14ac:dyDescent="0.25">
      <c r="I2141" s="268"/>
      <c r="O2141" s="268"/>
    </row>
    <row r="2142" spans="9:15" x14ac:dyDescent="0.25">
      <c r="I2142" s="268"/>
      <c r="O2142" s="268"/>
    </row>
    <row r="2143" spans="9:15" x14ac:dyDescent="0.25">
      <c r="I2143" s="268"/>
      <c r="O2143" s="268"/>
    </row>
    <row r="2144" spans="9:15" x14ac:dyDescent="0.25">
      <c r="I2144" s="268"/>
      <c r="O2144" s="268"/>
    </row>
    <row r="2145" spans="9:15" x14ac:dyDescent="0.25">
      <c r="I2145" s="268"/>
      <c r="O2145" s="268"/>
    </row>
    <row r="2146" spans="9:15" x14ac:dyDescent="0.25">
      <c r="I2146" s="268"/>
      <c r="O2146" s="268"/>
    </row>
    <row r="2147" spans="9:15" x14ac:dyDescent="0.25">
      <c r="I2147" s="268"/>
      <c r="O2147" s="268"/>
    </row>
    <row r="2148" spans="9:15" x14ac:dyDescent="0.25">
      <c r="I2148" s="268"/>
      <c r="O2148" s="268"/>
    </row>
    <row r="2149" spans="9:15" x14ac:dyDescent="0.25">
      <c r="I2149" s="268"/>
      <c r="O2149" s="268"/>
    </row>
    <row r="2150" spans="9:15" x14ac:dyDescent="0.25">
      <c r="I2150" s="268"/>
      <c r="O2150" s="268"/>
    </row>
    <row r="2151" spans="9:15" x14ac:dyDescent="0.25">
      <c r="I2151" s="268"/>
      <c r="O2151" s="268"/>
    </row>
    <row r="2152" spans="9:15" x14ac:dyDescent="0.25">
      <c r="I2152" s="268"/>
      <c r="O2152" s="268"/>
    </row>
    <row r="2153" spans="9:15" x14ac:dyDescent="0.25">
      <c r="I2153" s="268"/>
      <c r="O2153" s="268"/>
    </row>
    <row r="2154" spans="9:15" x14ac:dyDescent="0.25">
      <c r="I2154" s="268"/>
      <c r="O2154" s="268"/>
    </row>
    <row r="2155" spans="9:15" x14ac:dyDescent="0.25">
      <c r="I2155" s="268"/>
      <c r="O2155" s="268"/>
    </row>
    <row r="2156" spans="9:15" x14ac:dyDescent="0.25">
      <c r="I2156" s="268"/>
      <c r="O2156" s="268"/>
    </row>
    <row r="2157" spans="9:15" x14ac:dyDescent="0.25">
      <c r="I2157" s="268"/>
      <c r="O2157" s="268"/>
    </row>
    <row r="2158" spans="9:15" x14ac:dyDescent="0.25">
      <c r="I2158" s="268"/>
      <c r="O2158" s="268"/>
    </row>
    <row r="2159" spans="9:15" x14ac:dyDescent="0.25">
      <c r="I2159" s="268"/>
      <c r="O2159" s="268"/>
    </row>
    <row r="2160" spans="9:15" x14ac:dyDescent="0.25">
      <c r="I2160" s="268"/>
      <c r="O2160" s="268"/>
    </row>
    <row r="2161" spans="9:15" x14ac:dyDescent="0.25">
      <c r="I2161" s="268"/>
      <c r="O2161" s="268"/>
    </row>
    <row r="2162" spans="9:15" x14ac:dyDescent="0.25">
      <c r="I2162" s="268"/>
      <c r="O2162" s="268"/>
    </row>
    <row r="2163" spans="9:15" x14ac:dyDescent="0.25">
      <c r="I2163" s="268"/>
      <c r="O2163" s="268"/>
    </row>
    <row r="2164" spans="9:15" x14ac:dyDescent="0.25">
      <c r="I2164" s="268"/>
      <c r="O2164" s="268"/>
    </row>
    <row r="2165" spans="9:15" x14ac:dyDescent="0.25">
      <c r="I2165" s="268"/>
      <c r="O2165" s="268"/>
    </row>
    <row r="2166" spans="9:15" x14ac:dyDescent="0.25">
      <c r="I2166" s="268"/>
      <c r="O2166" s="268"/>
    </row>
    <row r="2167" spans="9:15" x14ac:dyDescent="0.25">
      <c r="I2167" s="268"/>
      <c r="O2167" s="268"/>
    </row>
    <row r="2168" spans="9:15" x14ac:dyDescent="0.25">
      <c r="I2168" s="268"/>
      <c r="O2168" s="268"/>
    </row>
    <row r="2169" spans="9:15" x14ac:dyDescent="0.25">
      <c r="I2169" s="268"/>
      <c r="O2169" s="268"/>
    </row>
    <row r="2170" spans="9:15" x14ac:dyDescent="0.25">
      <c r="I2170" s="268"/>
      <c r="O2170" s="268"/>
    </row>
    <row r="2171" spans="9:15" x14ac:dyDescent="0.25">
      <c r="I2171" s="268"/>
      <c r="O2171" s="268"/>
    </row>
    <row r="2172" spans="9:15" x14ac:dyDescent="0.25">
      <c r="I2172" s="268"/>
      <c r="O2172" s="268"/>
    </row>
    <row r="2173" spans="9:15" x14ac:dyDescent="0.25">
      <c r="I2173" s="268"/>
      <c r="O2173" s="268"/>
    </row>
    <row r="2174" spans="9:15" x14ac:dyDescent="0.25">
      <c r="I2174" s="268"/>
      <c r="O2174" s="268"/>
    </row>
    <row r="2175" spans="9:15" x14ac:dyDescent="0.25">
      <c r="I2175" s="268"/>
      <c r="O2175" s="268"/>
    </row>
    <row r="2176" spans="9:15" x14ac:dyDescent="0.25">
      <c r="I2176" s="268"/>
      <c r="O2176" s="268"/>
    </row>
    <row r="2177" spans="9:15" x14ac:dyDescent="0.25">
      <c r="I2177" s="268"/>
      <c r="O2177" s="268"/>
    </row>
    <row r="2178" spans="9:15" x14ac:dyDescent="0.25">
      <c r="I2178" s="268"/>
      <c r="O2178" s="268"/>
    </row>
    <row r="2179" spans="9:15" x14ac:dyDescent="0.25">
      <c r="I2179" s="268"/>
      <c r="O2179" s="268"/>
    </row>
    <row r="2180" spans="9:15" x14ac:dyDescent="0.25">
      <c r="I2180" s="268"/>
      <c r="O2180" s="268"/>
    </row>
    <row r="2181" spans="9:15" x14ac:dyDescent="0.25">
      <c r="I2181" s="268"/>
      <c r="O2181" s="268"/>
    </row>
    <row r="2182" spans="9:15" x14ac:dyDescent="0.25">
      <c r="I2182" s="268"/>
      <c r="O2182" s="268"/>
    </row>
    <row r="2183" spans="9:15" x14ac:dyDescent="0.25">
      <c r="I2183" s="268"/>
      <c r="O2183" s="268"/>
    </row>
    <row r="2184" spans="9:15" x14ac:dyDescent="0.25">
      <c r="I2184" s="268"/>
      <c r="O2184" s="268"/>
    </row>
    <row r="2185" spans="9:15" x14ac:dyDescent="0.25">
      <c r="I2185" s="268"/>
      <c r="O2185" s="268"/>
    </row>
    <row r="2186" spans="9:15" x14ac:dyDescent="0.25">
      <c r="I2186" s="268"/>
      <c r="O2186" s="268"/>
    </row>
    <row r="2187" spans="9:15" x14ac:dyDescent="0.25">
      <c r="I2187" s="268"/>
      <c r="O2187" s="268"/>
    </row>
    <row r="2188" spans="9:15" x14ac:dyDescent="0.25">
      <c r="I2188" s="268"/>
      <c r="O2188" s="268"/>
    </row>
    <row r="2189" spans="9:15" x14ac:dyDescent="0.25">
      <c r="I2189" s="268"/>
      <c r="O2189" s="268"/>
    </row>
    <row r="2190" spans="9:15" x14ac:dyDescent="0.25">
      <c r="I2190" s="268"/>
      <c r="O2190" s="268"/>
    </row>
    <row r="2191" spans="9:15" x14ac:dyDescent="0.25">
      <c r="I2191" s="268"/>
      <c r="O2191" s="268"/>
    </row>
    <row r="2192" spans="9:15" x14ac:dyDescent="0.25">
      <c r="I2192" s="268"/>
      <c r="O2192" s="268"/>
    </row>
    <row r="2193" spans="9:15" x14ac:dyDescent="0.25">
      <c r="I2193" s="268"/>
      <c r="O2193" s="268"/>
    </row>
    <row r="2194" spans="9:15" x14ac:dyDescent="0.25">
      <c r="I2194" s="268"/>
      <c r="O2194" s="268"/>
    </row>
    <row r="2195" spans="9:15" x14ac:dyDescent="0.25">
      <c r="I2195" s="268"/>
      <c r="O2195" s="268"/>
    </row>
    <row r="2196" spans="9:15" x14ac:dyDescent="0.25">
      <c r="I2196" s="268"/>
      <c r="O2196" s="268"/>
    </row>
    <row r="2197" spans="9:15" x14ac:dyDescent="0.25">
      <c r="I2197" s="268"/>
      <c r="O2197" s="268"/>
    </row>
    <row r="2198" spans="9:15" x14ac:dyDescent="0.25">
      <c r="I2198" s="268"/>
      <c r="O2198" s="268"/>
    </row>
    <row r="2199" spans="9:15" x14ac:dyDescent="0.25">
      <c r="I2199" s="268"/>
      <c r="O2199" s="268"/>
    </row>
    <row r="2200" spans="9:15" x14ac:dyDescent="0.25">
      <c r="I2200" s="268"/>
      <c r="O2200" s="268"/>
    </row>
    <row r="2201" spans="9:15" x14ac:dyDescent="0.25">
      <c r="I2201" s="268"/>
      <c r="O2201" s="268"/>
    </row>
    <row r="2202" spans="9:15" x14ac:dyDescent="0.25">
      <c r="I2202" s="268"/>
      <c r="O2202" s="268"/>
    </row>
    <row r="2203" spans="9:15" x14ac:dyDescent="0.25">
      <c r="I2203" s="268"/>
      <c r="O2203" s="268"/>
    </row>
    <row r="2204" spans="9:15" x14ac:dyDescent="0.25">
      <c r="I2204" s="268"/>
      <c r="O2204" s="268"/>
    </row>
    <row r="2205" spans="9:15" x14ac:dyDescent="0.25">
      <c r="I2205" s="268"/>
      <c r="O2205" s="268"/>
    </row>
    <row r="2206" spans="9:15" x14ac:dyDescent="0.25">
      <c r="I2206" s="268"/>
      <c r="O2206" s="268"/>
    </row>
    <row r="2207" spans="9:15" x14ac:dyDescent="0.25">
      <c r="I2207" s="268"/>
      <c r="O2207" s="268"/>
    </row>
    <row r="2208" spans="9:15" x14ac:dyDescent="0.25">
      <c r="I2208" s="268"/>
      <c r="O2208" s="268"/>
    </row>
    <row r="2209" spans="9:15" x14ac:dyDescent="0.25">
      <c r="I2209" s="268"/>
      <c r="O2209" s="268"/>
    </row>
    <row r="2210" spans="9:15" x14ac:dyDescent="0.25">
      <c r="I2210" s="268"/>
      <c r="O2210" s="268"/>
    </row>
    <row r="2211" spans="9:15" x14ac:dyDescent="0.25">
      <c r="I2211" s="268"/>
      <c r="O2211" s="268"/>
    </row>
    <row r="2212" spans="9:15" x14ac:dyDescent="0.25">
      <c r="I2212" s="268"/>
      <c r="O2212" s="268"/>
    </row>
    <row r="2213" spans="9:15" x14ac:dyDescent="0.25">
      <c r="I2213" s="268"/>
      <c r="O2213" s="268"/>
    </row>
    <row r="2214" spans="9:15" x14ac:dyDescent="0.25">
      <c r="I2214" s="268"/>
      <c r="O2214" s="268"/>
    </row>
    <row r="2215" spans="9:15" x14ac:dyDescent="0.25">
      <c r="I2215" s="268"/>
      <c r="O2215" s="268"/>
    </row>
    <row r="2216" spans="9:15" x14ac:dyDescent="0.25">
      <c r="I2216" s="268"/>
      <c r="O2216" s="268"/>
    </row>
    <row r="2217" spans="9:15" x14ac:dyDescent="0.25">
      <c r="I2217" s="268"/>
      <c r="O2217" s="268"/>
    </row>
    <row r="2218" spans="9:15" x14ac:dyDescent="0.25">
      <c r="I2218" s="268"/>
      <c r="O2218" s="268"/>
    </row>
    <row r="2219" spans="9:15" x14ac:dyDescent="0.25">
      <c r="I2219" s="268"/>
      <c r="O2219" s="268"/>
    </row>
    <row r="2220" spans="9:15" x14ac:dyDescent="0.25">
      <c r="I2220" s="268"/>
      <c r="O2220" s="268"/>
    </row>
    <row r="2221" spans="9:15" x14ac:dyDescent="0.25">
      <c r="I2221" s="268"/>
      <c r="O2221" s="268"/>
    </row>
    <row r="2222" spans="9:15" x14ac:dyDescent="0.25">
      <c r="I2222" s="268"/>
      <c r="O2222" s="268"/>
    </row>
    <row r="2223" spans="9:15" x14ac:dyDescent="0.25">
      <c r="I2223" s="268"/>
      <c r="O2223" s="268"/>
    </row>
    <row r="2224" spans="9:15" x14ac:dyDescent="0.25">
      <c r="I2224" s="268"/>
      <c r="O2224" s="268"/>
    </row>
    <row r="2225" spans="9:15" x14ac:dyDescent="0.25">
      <c r="I2225" s="268"/>
      <c r="O2225" s="268"/>
    </row>
    <row r="2226" spans="9:15" x14ac:dyDescent="0.25">
      <c r="I2226" s="268"/>
      <c r="O2226" s="268"/>
    </row>
    <row r="2227" spans="9:15" x14ac:dyDescent="0.25">
      <c r="I2227" s="268"/>
      <c r="O2227" s="268"/>
    </row>
    <row r="2228" spans="9:15" x14ac:dyDescent="0.25">
      <c r="I2228" s="268"/>
      <c r="O2228" s="268"/>
    </row>
    <row r="2229" spans="9:15" x14ac:dyDescent="0.25">
      <c r="I2229" s="268"/>
      <c r="O2229" s="268"/>
    </row>
    <row r="2230" spans="9:15" x14ac:dyDescent="0.25">
      <c r="I2230" s="268"/>
      <c r="O2230" s="268"/>
    </row>
    <row r="2231" spans="9:15" x14ac:dyDescent="0.25">
      <c r="I2231" s="268"/>
      <c r="O2231" s="268"/>
    </row>
    <row r="2232" spans="9:15" x14ac:dyDescent="0.25">
      <c r="I2232" s="268"/>
      <c r="O2232" s="268"/>
    </row>
    <row r="2233" spans="9:15" x14ac:dyDescent="0.25">
      <c r="I2233" s="268"/>
      <c r="O2233" s="268"/>
    </row>
    <row r="2234" spans="9:15" x14ac:dyDescent="0.25">
      <c r="I2234" s="268"/>
      <c r="O2234" s="268"/>
    </row>
    <row r="2235" spans="9:15" x14ac:dyDescent="0.25">
      <c r="I2235" s="268"/>
      <c r="O2235" s="268"/>
    </row>
    <row r="2236" spans="9:15" x14ac:dyDescent="0.25">
      <c r="I2236" s="268"/>
      <c r="O2236" s="268"/>
    </row>
    <row r="2237" spans="9:15" x14ac:dyDescent="0.25">
      <c r="I2237" s="268"/>
      <c r="O2237" s="268"/>
    </row>
    <row r="2238" spans="9:15" x14ac:dyDescent="0.25">
      <c r="I2238" s="268"/>
      <c r="O2238" s="268"/>
    </row>
    <row r="2239" spans="9:15" x14ac:dyDescent="0.25">
      <c r="I2239" s="268"/>
      <c r="O2239" s="268"/>
    </row>
    <row r="2240" spans="9:15" x14ac:dyDescent="0.25">
      <c r="I2240" s="268"/>
      <c r="O2240" s="268"/>
    </row>
    <row r="2241" spans="9:15" x14ac:dyDescent="0.25">
      <c r="I2241" s="268"/>
      <c r="O2241" s="268"/>
    </row>
    <row r="2242" spans="9:15" x14ac:dyDescent="0.25">
      <c r="I2242" s="268"/>
      <c r="O2242" s="268"/>
    </row>
    <row r="2243" spans="9:15" x14ac:dyDescent="0.25">
      <c r="I2243" s="268"/>
      <c r="O2243" s="268"/>
    </row>
    <row r="2244" spans="9:15" x14ac:dyDescent="0.25">
      <c r="I2244" s="268"/>
      <c r="O2244" s="268"/>
    </row>
    <row r="2245" spans="9:15" x14ac:dyDescent="0.25">
      <c r="I2245" s="268"/>
      <c r="O2245" s="268"/>
    </row>
    <row r="2246" spans="9:15" x14ac:dyDescent="0.25">
      <c r="I2246" s="268"/>
      <c r="O2246" s="268"/>
    </row>
    <row r="2247" spans="9:15" x14ac:dyDescent="0.25">
      <c r="I2247" s="268"/>
      <c r="O2247" s="268"/>
    </row>
    <row r="2248" spans="9:15" x14ac:dyDescent="0.25">
      <c r="I2248" s="268"/>
      <c r="O2248" s="268"/>
    </row>
    <row r="2249" spans="9:15" x14ac:dyDescent="0.25">
      <c r="I2249" s="268"/>
      <c r="O2249" s="268"/>
    </row>
    <row r="2250" spans="9:15" x14ac:dyDescent="0.25">
      <c r="I2250" s="268"/>
      <c r="O2250" s="268"/>
    </row>
    <row r="2251" spans="9:15" x14ac:dyDescent="0.25">
      <c r="I2251" s="268"/>
      <c r="O2251" s="268"/>
    </row>
    <row r="2252" spans="9:15" x14ac:dyDescent="0.25">
      <c r="I2252" s="268"/>
      <c r="O2252" s="268"/>
    </row>
    <row r="2253" spans="9:15" x14ac:dyDescent="0.25">
      <c r="I2253" s="268"/>
      <c r="O2253" s="268"/>
    </row>
    <row r="2254" spans="9:15" x14ac:dyDescent="0.25">
      <c r="I2254" s="268"/>
      <c r="O2254" s="268"/>
    </row>
    <row r="2255" spans="9:15" x14ac:dyDescent="0.25">
      <c r="I2255" s="268"/>
      <c r="O2255" s="268"/>
    </row>
    <row r="2256" spans="9:15" x14ac:dyDescent="0.25">
      <c r="I2256" s="268"/>
      <c r="O2256" s="268"/>
    </row>
    <row r="2257" spans="9:15" x14ac:dyDescent="0.25">
      <c r="I2257" s="268"/>
      <c r="O2257" s="268"/>
    </row>
    <row r="2258" spans="9:15" x14ac:dyDescent="0.25">
      <c r="I2258" s="268"/>
      <c r="O2258" s="268"/>
    </row>
    <row r="2259" spans="9:15" x14ac:dyDescent="0.25">
      <c r="I2259" s="268"/>
      <c r="O2259" s="268"/>
    </row>
    <row r="2260" spans="9:15" x14ac:dyDescent="0.25">
      <c r="I2260" s="268"/>
      <c r="O2260" s="268"/>
    </row>
    <row r="2261" spans="9:15" x14ac:dyDescent="0.25">
      <c r="I2261" s="268"/>
      <c r="O2261" s="268"/>
    </row>
    <row r="2262" spans="9:15" x14ac:dyDescent="0.25">
      <c r="I2262" s="268"/>
      <c r="O2262" s="268"/>
    </row>
    <row r="2263" spans="9:15" x14ac:dyDescent="0.25">
      <c r="I2263" s="268"/>
      <c r="O2263" s="268"/>
    </row>
    <row r="2264" spans="9:15" x14ac:dyDescent="0.25">
      <c r="I2264" s="268"/>
      <c r="O2264" s="268"/>
    </row>
    <row r="2265" spans="9:15" x14ac:dyDescent="0.25">
      <c r="I2265" s="268"/>
      <c r="O2265" s="268"/>
    </row>
    <row r="2266" spans="9:15" x14ac:dyDescent="0.25">
      <c r="I2266" s="268"/>
      <c r="O2266" s="268"/>
    </row>
    <row r="2267" spans="9:15" x14ac:dyDescent="0.25">
      <c r="I2267" s="268"/>
      <c r="O2267" s="268"/>
    </row>
    <row r="2268" spans="9:15" x14ac:dyDescent="0.25">
      <c r="I2268" s="268"/>
      <c r="O2268" s="268"/>
    </row>
    <row r="2269" spans="9:15" x14ac:dyDescent="0.25">
      <c r="I2269" s="268"/>
      <c r="O2269" s="268"/>
    </row>
    <row r="2270" spans="9:15" x14ac:dyDescent="0.25">
      <c r="I2270" s="268"/>
      <c r="O2270" s="268"/>
    </row>
    <row r="2271" spans="9:15" x14ac:dyDescent="0.25">
      <c r="I2271" s="268"/>
      <c r="O2271" s="268"/>
    </row>
    <row r="2272" spans="9:15" x14ac:dyDescent="0.25">
      <c r="I2272" s="268"/>
      <c r="O2272" s="268"/>
    </row>
    <row r="2273" spans="9:15" x14ac:dyDescent="0.25">
      <c r="I2273" s="268"/>
      <c r="O2273" s="268"/>
    </row>
    <row r="2274" spans="9:15" x14ac:dyDescent="0.25">
      <c r="I2274" s="268"/>
      <c r="O2274" s="268"/>
    </row>
    <row r="2275" spans="9:15" x14ac:dyDescent="0.25">
      <c r="I2275" s="268"/>
      <c r="O2275" s="268"/>
    </row>
    <row r="2276" spans="9:15" x14ac:dyDescent="0.25">
      <c r="I2276" s="268"/>
      <c r="O2276" s="268"/>
    </row>
    <row r="2277" spans="9:15" x14ac:dyDescent="0.25">
      <c r="I2277" s="268"/>
      <c r="O2277" s="268"/>
    </row>
    <row r="2278" spans="9:15" x14ac:dyDescent="0.25">
      <c r="I2278" s="268"/>
      <c r="O2278" s="268"/>
    </row>
    <row r="2279" spans="9:15" x14ac:dyDescent="0.25">
      <c r="I2279" s="268"/>
      <c r="O2279" s="268"/>
    </row>
    <row r="2280" spans="9:15" x14ac:dyDescent="0.25">
      <c r="I2280" s="268"/>
      <c r="O2280" s="268"/>
    </row>
    <row r="2281" spans="9:15" x14ac:dyDescent="0.25">
      <c r="I2281" s="268"/>
      <c r="O2281" s="268"/>
    </row>
    <row r="2282" spans="9:15" x14ac:dyDescent="0.25">
      <c r="I2282" s="268"/>
      <c r="O2282" s="268"/>
    </row>
    <row r="2283" spans="9:15" x14ac:dyDescent="0.25">
      <c r="I2283" s="268"/>
      <c r="O2283" s="268"/>
    </row>
    <row r="2284" spans="9:15" x14ac:dyDescent="0.25">
      <c r="I2284" s="268"/>
      <c r="O2284" s="268"/>
    </row>
    <row r="2285" spans="9:15" x14ac:dyDescent="0.25">
      <c r="I2285" s="268"/>
      <c r="O2285" s="268"/>
    </row>
    <row r="2286" spans="9:15" x14ac:dyDescent="0.25">
      <c r="I2286" s="268"/>
      <c r="O2286" s="268"/>
    </row>
    <row r="2287" spans="9:15" x14ac:dyDescent="0.25">
      <c r="I2287" s="268"/>
      <c r="O2287" s="268"/>
    </row>
    <row r="2288" spans="9:15" x14ac:dyDescent="0.25">
      <c r="I2288" s="268"/>
      <c r="O2288" s="268"/>
    </row>
    <row r="2289" spans="9:15" x14ac:dyDescent="0.25">
      <c r="I2289" s="268"/>
      <c r="O2289" s="268"/>
    </row>
    <row r="2290" spans="9:15" x14ac:dyDescent="0.25">
      <c r="I2290" s="268"/>
      <c r="O2290" s="268"/>
    </row>
    <row r="2291" spans="9:15" x14ac:dyDescent="0.25">
      <c r="I2291" s="268"/>
      <c r="O2291" s="268"/>
    </row>
    <row r="2292" spans="9:15" x14ac:dyDescent="0.25">
      <c r="I2292" s="268"/>
      <c r="O2292" s="268"/>
    </row>
    <row r="2293" spans="9:15" x14ac:dyDescent="0.25">
      <c r="I2293" s="268"/>
      <c r="O2293" s="268"/>
    </row>
    <row r="2294" spans="9:15" x14ac:dyDescent="0.25">
      <c r="I2294" s="268"/>
      <c r="O2294" s="268"/>
    </row>
    <row r="2295" spans="9:15" x14ac:dyDescent="0.25">
      <c r="I2295" s="268"/>
      <c r="O2295" s="268"/>
    </row>
    <row r="2296" spans="9:15" x14ac:dyDescent="0.25">
      <c r="I2296" s="268"/>
      <c r="O2296" s="268"/>
    </row>
    <row r="2297" spans="9:15" x14ac:dyDescent="0.25">
      <c r="I2297" s="268"/>
      <c r="O2297" s="268"/>
    </row>
    <row r="2298" spans="9:15" x14ac:dyDescent="0.25">
      <c r="I2298" s="268"/>
      <c r="O2298" s="268"/>
    </row>
    <row r="2299" spans="9:15" x14ac:dyDescent="0.25">
      <c r="I2299" s="268"/>
      <c r="O2299" s="268"/>
    </row>
    <row r="2300" spans="9:15" x14ac:dyDescent="0.25">
      <c r="I2300" s="268"/>
      <c r="O2300" s="268"/>
    </row>
    <row r="2301" spans="9:15" x14ac:dyDescent="0.25">
      <c r="I2301" s="268"/>
      <c r="O2301" s="268"/>
    </row>
    <row r="2302" spans="9:15" x14ac:dyDescent="0.25">
      <c r="I2302" s="268"/>
      <c r="O2302" s="268"/>
    </row>
    <row r="2303" spans="9:15" x14ac:dyDescent="0.25">
      <c r="I2303" s="268"/>
      <c r="O2303" s="268"/>
    </row>
    <row r="2304" spans="9:15" x14ac:dyDescent="0.25">
      <c r="I2304" s="268"/>
      <c r="O2304" s="268"/>
    </row>
    <row r="2305" spans="9:15" x14ac:dyDescent="0.25">
      <c r="I2305" s="268"/>
      <c r="O2305" s="268"/>
    </row>
    <row r="2306" spans="9:15" x14ac:dyDescent="0.25">
      <c r="I2306" s="268"/>
      <c r="O2306" s="268"/>
    </row>
    <row r="2307" spans="9:15" x14ac:dyDescent="0.25">
      <c r="I2307" s="268"/>
      <c r="O2307" s="268"/>
    </row>
    <row r="2308" spans="9:15" x14ac:dyDescent="0.25">
      <c r="I2308" s="268"/>
      <c r="O2308" s="268"/>
    </row>
    <row r="2309" spans="9:15" x14ac:dyDescent="0.25">
      <c r="I2309" s="268"/>
      <c r="O2309" s="268"/>
    </row>
    <row r="2310" spans="9:15" x14ac:dyDescent="0.25">
      <c r="I2310" s="268"/>
      <c r="O2310" s="268"/>
    </row>
    <row r="2311" spans="9:15" x14ac:dyDescent="0.25">
      <c r="I2311" s="268"/>
      <c r="O2311" s="268"/>
    </row>
    <row r="2312" spans="9:15" x14ac:dyDescent="0.25">
      <c r="I2312" s="268"/>
      <c r="O2312" s="268"/>
    </row>
    <row r="2313" spans="9:15" x14ac:dyDescent="0.25">
      <c r="I2313" s="268"/>
      <c r="O2313" s="268"/>
    </row>
    <row r="2314" spans="9:15" x14ac:dyDescent="0.25">
      <c r="I2314" s="268"/>
      <c r="O2314" s="268"/>
    </row>
    <row r="2315" spans="9:15" x14ac:dyDescent="0.25">
      <c r="I2315" s="268"/>
      <c r="O2315" s="268"/>
    </row>
    <row r="2316" spans="9:15" x14ac:dyDescent="0.25">
      <c r="I2316" s="268"/>
      <c r="O2316" s="268"/>
    </row>
    <row r="2317" spans="9:15" x14ac:dyDescent="0.25">
      <c r="I2317" s="268"/>
      <c r="O2317" s="268"/>
    </row>
    <row r="2318" spans="9:15" x14ac:dyDescent="0.25">
      <c r="I2318" s="268"/>
      <c r="O2318" s="268"/>
    </row>
    <row r="2319" spans="9:15" x14ac:dyDescent="0.25">
      <c r="I2319" s="268"/>
      <c r="O2319" s="268"/>
    </row>
    <row r="2320" spans="9:15" x14ac:dyDescent="0.25">
      <c r="I2320" s="268"/>
      <c r="O2320" s="268"/>
    </row>
    <row r="2321" spans="9:15" x14ac:dyDescent="0.25">
      <c r="I2321" s="268"/>
      <c r="O2321" s="268"/>
    </row>
    <row r="2322" spans="9:15" x14ac:dyDescent="0.25">
      <c r="I2322" s="268"/>
      <c r="O2322" s="268"/>
    </row>
    <row r="2323" spans="9:15" x14ac:dyDescent="0.25">
      <c r="I2323" s="268"/>
      <c r="O2323" s="268"/>
    </row>
    <row r="2324" spans="9:15" x14ac:dyDescent="0.25">
      <c r="I2324" s="268"/>
      <c r="O2324" s="268"/>
    </row>
    <row r="2325" spans="9:15" x14ac:dyDescent="0.25">
      <c r="I2325" s="268"/>
      <c r="O2325" s="268"/>
    </row>
    <row r="2326" spans="9:15" x14ac:dyDescent="0.25">
      <c r="I2326" s="268"/>
      <c r="O2326" s="268"/>
    </row>
    <row r="2327" spans="9:15" x14ac:dyDescent="0.25">
      <c r="I2327" s="268"/>
      <c r="O2327" s="268"/>
    </row>
    <row r="2328" spans="9:15" x14ac:dyDescent="0.25">
      <c r="I2328" s="268"/>
      <c r="O2328" s="268"/>
    </row>
    <row r="2329" spans="9:15" x14ac:dyDescent="0.25">
      <c r="I2329" s="268"/>
      <c r="O2329" s="268"/>
    </row>
    <row r="2330" spans="9:15" x14ac:dyDescent="0.25">
      <c r="I2330" s="268"/>
      <c r="O2330" s="268"/>
    </row>
    <row r="2331" spans="9:15" x14ac:dyDescent="0.25">
      <c r="I2331" s="268"/>
      <c r="O2331" s="268"/>
    </row>
    <row r="2332" spans="9:15" x14ac:dyDescent="0.25">
      <c r="I2332" s="268"/>
      <c r="O2332" s="268"/>
    </row>
    <row r="2333" spans="9:15" x14ac:dyDescent="0.25">
      <c r="I2333" s="268"/>
      <c r="O2333" s="268"/>
    </row>
    <row r="2334" spans="9:15" x14ac:dyDescent="0.25">
      <c r="I2334" s="268"/>
      <c r="O2334" s="268"/>
    </row>
    <row r="2335" spans="9:15" x14ac:dyDescent="0.25">
      <c r="I2335" s="268"/>
      <c r="O2335" s="268"/>
    </row>
    <row r="2336" spans="9:15" x14ac:dyDescent="0.25">
      <c r="I2336" s="268"/>
      <c r="O2336" s="268"/>
    </row>
    <row r="2337" spans="9:15" x14ac:dyDescent="0.25">
      <c r="I2337" s="268"/>
      <c r="O2337" s="268"/>
    </row>
    <row r="2338" spans="9:15" x14ac:dyDescent="0.25">
      <c r="I2338" s="268"/>
      <c r="O2338" s="268"/>
    </row>
    <row r="2339" spans="9:15" x14ac:dyDescent="0.25">
      <c r="I2339" s="268"/>
      <c r="O2339" s="268"/>
    </row>
    <row r="2340" spans="9:15" x14ac:dyDescent="0.25">
      <c r="I2340" s="268"/>
      <c r="O2340" s="268"/>
    </row>
    <row r="2341" spans="9:15" x14ac:dyDescent="0.25">
      <c r="I2341" s="268"/>
      <c r="O2341" s="268"/>
    </row>
    <row r="2342" spans="9:15" x14ac:dyDescent="0.25">
      <c r="I2342" s="268"/>
      <c r="O2342" s="268"/>
    </row>
    <row r="2343" spans="9:15" x14ac:dyDescent="0.25">
      <c r="I2343" s="268"/>
      <c r="O2343" s="268"/>
    </row>
    <row r="2344" spans="9:15" x14ac:dyDescent="0.25">
      <c r="I2344" s="268"/>
      <c r="O2344" s="268"/>
    </row>
    <row r="2345" spans="9:15" x14ac:dyDescent="0.25">
      <c r="I2345" s="268"/>
      <c r="O2345" s="268"/>
    </row>
    <row r="2346" spans="9:15" x14ac:dyDescent="0.25">
      <c r="I2346" s="268"/>
      <c r="O2346" s="268"/>
    </row>
    <row r="2347" spans="9:15" x14ac:dyDescent="0.25">
      <c r="I2347" s="268"/>
      <c r="O2347" s="268"/>
    </row>
    <row r="2348" spans="9:15" x14ac:dyDescent="0.25">
      <c r="I2348" s="268"/>
      <c r="O2348" s="268"/>
    </row>
    <row r="2349" spans="9:15" x14ac:dyDescent="0.25">
      <c r="I2349" s="268"/>
      <c r="O2349" s="268"/>
    </row>
    <row r="2350" spans="9:15" x14ac:dyDescent="0.25">
      <c r="I2350" s="268"/>
      <c r="O2350" s="268"/>
    </row>
    <row r="2351" spans="9:15" x14ac:dyDescent="0.25">
      <c r="I2351" s="268"/>
      <c r="O2351" s="268"/>
    </row>
    <row r="2352" spans="9:15" x14ac:dyDescent="0.25">
      <c r="I2352" s="268"/>
      <c r="O2352" s="268"/>
    </row>
    <row r="2353" spans="9:15" x14ac:dyDescent="0.25">
      <c r="I2353" s="268"/>
      <c r="O2353" s="268"/>
    </row>
    <row r="2354" spans="9:15" x14ac:dyDescent="0.25">
      <c r="I2354" s="268"/>
      <c r="O2354" s="268"/>
    </row>
    <row r="2355" spans="9:15" x14ac:dyDescent="0.25">
      <c r="I2355" s="268"/>
      <c r="O2355" s="268"/>
    </row>
    <row r="2356" spans="9:15" x14ac:dyDescent="0.25">
      <c r="I2356" s="268"/>
      <c r="O2356" s="268"/>
    </row>
    <row r="2357" spans="9:15" x14ac:dyDescent="0.25">
      <c r="I2357" s="268"/>
      <c r="O2357" s="268"/>
    </row>
    <row r="2358" spans="9:15" x14ac:dyDescent="0.25">
      <c r="I2358" s="268"/>
      <c r="O2358" s="268"/>
    </row>
    <row r="2359" spans="9:15" x14ac:dyDescent="0.25">
      <c r="I2359" s="268"/>
      <c r="O2359" s="268"/>
    </row>
    <row r="2360" spans="9:15" x14ac:dyDescent="0.25">
      <c r="I2360" s="268"/>
      <c r="O2360" s="268"/>
    </row>
    <row r="2361" spans="9:15" x14ac:dyDescent="0.25">
      <c r="I2361" s="268"/>
      <c r="O2361" s="268"/>
    </row>
    <row r="2362" spans="9:15" x14ac:dyDescent="0.25">
      <c r="I2362" s="268"/>
      <c r="O2362" s="268"/>
    </row>
    <row r="2363" spans="9:15" x14ac:dyDescent="0.25">
      <c r="I2363" s="268"/>
      <c r="O2363" s="268"/>
    </row>
    <row r="2364" spans="9:15" x14ac:dyDescent="0.25">
      <c r="I2364" s="268"/>
      <c r="O2364" s="268"/>
    </row>
    <row r="2365" spans="9:15" x14ac:dyDescent="0.25">
      <c r="I2365" s="268"/>
      <c r="O2365" s="268"/>
    </row>
    <row r="2366" spans="9:15" x14ac:dyDescent="0.25">
      <c r="I2366" s="268"/>
      <c r="O2366" s="268"/>
    </row>
    <row r="2367" spans="9:15" x14ac:dyDescent="0.25">
      <c r="I2367" s="268"/>
      <c r="O2367" s="268"/>
    </row>
    <row r="2368" spans="9:15" x14ac:dyDescent="0.25">
      <c r="I2368" s="268"/>
      <c r="O2368" s="268"/>
    </row>
    <row r="2369" spans="9:15" x14ac:dyDescent="0.25">
      <c r="I2369" s="268"/>
      <c r="O2369" s="268"/>
    </row>
    <row r="2370" spans="9:15" x14ac:dyDescent="0.25">
      <c r="I2370" s="268"/>
      <c r="O2370" s="268"/>
    </row>
    <row r="2371" spans="9:15" x14ac:dyDescent="0.25">
      <c r="I2371" s="268"/>
      <c r="O2371" s="268"/>
    </row>
    <row r="2372" spans="9:15" x14ac:dyDescent="0.25">
      <c r="I2372" s="268"/>
      <c r="O2372" s="268"/>
    </row>
    <row r="2373" spans="9:15" x14ac:dyDescent="0.25">
      <c r="I2373" s="268"/>
      <c r="O2373" s="268"/>
    </row>
    <row r="2374" spans="9:15" x14ac:dyDescent="0.25">
      <c r="I2374" s="268"/>
      <c r="O2374" s="268"/>
    </row>
    <row r="2375" spans="9:15" x14ac:dyDescent="0.25">
      <c r="I2375" s="268"/>
      <c r="O2375" s="268"/>
    </row>
    <row r="2376" spans="9:15" x14ac:dyDescent="0.25">
      <c r="I2376" s="268"/>
      <c r="O2376" s="268"/>
    </row>
    <row r="2377" spans="9:15" x14ac:dyDescent="0.25">
      <c r="I2377" s="268"/>
      <c r="O2377" s="268"/>
    </row>
    <row r="2378" spans="9:15" x14ac:dyDescent="0.25">
      <c r="I2378" s="268"/>
      <c r="O2378" s="268"/>
    </row>
    <row r="2379" spans="9:15" x14ac:dyDescent="0.25">
      <c r="I2379" s="268"/>
      <c r="O2379" s="268"/>
    </row>
    <row r="2380" spans="9:15" x14ac:dyDescent="0.25">
      <c r="I2380" s="268"/>
      <c r="O2380" s="268"/>
    </row>
    <row r="2381" spans="9:15" x14ac:dyDescent="0.25">
      <c r="I2381" s="268"/>
      <c r="O2381" s="268"/>
    </row>
    <row r="2382" spans="9:15" x14ac:dyDescent="0.25">
      <c r="I2382" s="268"/>
      <c r="O2382" s="268"/>
    </row>
    <row r="2383" spans="9:15" x14ac:dyDescent="0.25">
      <c r="I2383" s="268"/>
      <c r="O2383" s="268"/>
    </row>
    <row r="2384" spans="9:15" x14ac:dyDescent="0.25">
      <c r="I2384" s="268"/>
      <c r="O2384" s="268"/>
    </row>
    <row r="2385" spans="9:15" x14ac:dyDescent="0.25">
      <c r="I2385" s="268"/>
      <c r="O2385" s="268"/>
    </row>
    <row r="2386" spans="9:15" x14ac:dyDescent="0.25">
      <c r="I2386" s="268"/>
      <c r="O2386" s="268"/>
    </row>
    <row r="2387" spans="9:15" x14ac:dyDescent="0.25">
      <c r="I2387" s="268"/>
      <c r="O2387" s="268"/>
    </row>
    <row r="2388" spans="9:15" x14ac:dyDescent="0.25">
      <c r="I2388" s="268"/>
      <c r="O2388" s="268"/>
    </row>
    <row r="2389" spans="9:15" x14ac:dyDescent="0.25">
      <c r="I2389" s="268"/>
      <c r="O2389" s="268"/>
    </row>
    <row r="2390" spans="9:15" x14ac:dyDescent="0.25">
      <c r="I2390" s="268"/>
      <c r="O2390" s="268"/>
    </row>
    <row r="2391" spans="9:15" x14ac:dyDescent="0.25">
      <c r="I2391" s="268"/>
      <c r="O2391" s="268"/>
    </row>
    <row r="2392" spans="9:15" x14ac:dyDescent="0.25">
      <c r="I2392" s="268"/>
      <c r="O2392" s="268"/>
    </row>
    <row r="2393" spans="9:15" x14ac:dyDescent="0.25">
      <c r="I2393" s="268"/>
      <c r="O2393" s="268"/>
    </row>
    <row r="2394" spans="9:15" x14ac:dyDescent="0.25">
      <c r="I2394" s="268"/>
      <c r="O2394" s="268"/>
    </row>
    <row r="2395" spans="9:15" x14ac:dyDescent="0.25">
      <c r="I2395" s="268"/>
      <c r="O2395" s="268"/>
    </row>
    <row r="2396" spans="9:15" x14ac:dyDescent="0.25">
      <c r="I2396" s="268"/>
      <c r="O2396" s="268"/>
    </row>
    <row r="2397" spans="9:15" x14ac:dyDescent="0.25">
      <c r="I2397" s="268"/>
      <c r="O2397" s="268"/>
    </row>
    <row r="2398" spans="9:15" x14ac:dyDescent="0.25">
      <c r="I2398" s="268"/>
      <c r="O2398" s="268"/>
    </row>
    <row r="2399" spans="9:15" x14ac:dyDescent="0.25">
      <c r="I2399" s="268"/>
      <c r="O2399" s="268"/>
    </row>
    <row r="2400" spans="9:15" x14ac:dyDescent="0.25">
      <c r="I2400" s="268"/>
      <c r="O2400" s="268"/>
    </row>
    <row r="2401" spans="9:15" x14ac:dyDescent="0.25">
      <c r="I2401" s="268"/>
      <c r="O2401" s="268"/>
    </row>
    <row r="2402" spans="9:15" x14ac:dyDescent="0.25">
      <c r="I2402" s="268"/>
      <c r="O2402" s="268"/>
    </row>
    <row r="2403" spans="9:15" x14ac:dyDescent="0.25">
      <c r="I2403" s="268"/>
      <c r="O2403" s="268"/>
    </row>
    <row r="2404" spans="9:15" x14ac:dyDescent="0.25">
      <c r="I2404" s="268"/>
      <c r="O2404" s="268"/>
    </row>
    <row r="2405" spans="9:15" x14ac:dyDescent="0.25">
      <c r="I2405" s="268"/>
      <c r="O2405" s="268"/>
    </row>
    <row r="2406" spans="9:15" x14ac:dyDescent="0.25">
      <c r="I2406" s="268"/>
      <c r="O2406" s="268"/>
    </row>
    <row r="2407" spans="9:15" x14ac:dyDescent="0.25">
      <c r="I2407" s="268"/>
      <c r="O2407" s="268"/>
    </row>
    <row r="2408" spans="9:15" x14ac:dyDescent="0.25">
      <c r="I2408" s="268"/>
      <c r="O2408" s="268"/>
    </row>
    <row r="2409" spans="9:15" x14ac:dyDescent="0.25">
      <c r="I2409" s="268"/>
      <c r="O2409" s="268"/>
    </row>
    <row r="2410" spans="9:15" x14ac:dyDescent="0.25">
      <c r="I2410" s="268"/>
      <c r="O2410" s="268"/>
    </row>
    <row r="2411" spans="9:15" x14ac:dyDescent="0.25">
      <c r="I2411" s="268"/>
      <c r="O2411" s="268"/>
    </row>
    <row r="2412" spans="9:15" x14ac:dyDescent="0.25">
      <c r="I2412" s="268"/>
      <c r="O2412" s="268"/>
    </row>
    <row r="2413" spans="9:15" x14ac:dyDescent="0.25">
      <c r="I2413" s="268"/>
      <c r="O2413" s="268"/>
    </row>
    <row r="2414" spans="9:15" x14ac:dyDescent="0.25">
      <c r="I2414" s="268"/>
      <c r="O2414" s="268"/>
    </row>
    <row r="2415" spans="9:15" x14ac:dyDescent="0.25">
      <c r="I2415" s="268"/>
      <c r="O2415" s="268"/>
    </row>
    <row r="2416" spans="9:15" x14ac:dyDescent="0.25">
      <c r="I2416" s="268"/>
      <c r="O2416" s="268"/>
    </row>
    <row r="2417" spans="9:15" x14ac:dyDescent="0.25">
      <c r="I2417" s="268"/>
      <c r="O2417" s="268"/>
    </row>
    <row r="2418" spans="9:15" x14ac:dyDescent="0.25">
      <c r="I2418" s="268"/>
      <c r="O2418" s="268"/>
    </row>
    <row r="2419" spans="9:15" x14ac:dyDescent="0.25">
      <c r="I2419" s="268"/>
      <c r="O2419" s="268"/>
    </row>
    <row r="2420" spans="9:15" x14ac:dyDescent="0.25">
      <c r="I2420" s="268"/>
      <c r="O2420" s="268"/>
    </row>
    <row r="2421" spans="9:15" x14ac:dyDescent="0.25">
      <c r="I2421" s="268"/>
      <c r="O2421" s="268"/>
    </row>
    <row r="2422" spans="9:15" x14ac:dyDescent="0.25">
      <c r="I2422" s="268"/>
      <c r="O2422" s="268"/>
    </row>
    <row r="2423" spans="9:15" x14ac:dyDescent="0.25">
      <c r="I2423" s="268"/>
      <c r="O2423" s="268"/>
    </row>
    <row r="2424" spans="9:15" x14ac:dyDescent="0.25">
      <c r="I2424" s="268"/>
      <c r="O2424" s="268"/>
    </row>
    <row r="2425" spans="9:15" x14ac:dyDescent="0.25">
      <c r="I2425" s="268"/>
      <c r="O2425" s="268"/>
    </row>
    <row r="2426" spans="9:15" x14ac:dyDescent="0.25">
      <c r="I2426" s="268"/>
      <c r="O2426" s="268"/>
    </row>
    <row r="2427" spans="9:15" x14ac:dyDescent="0.25">
      <c r="I2427" s="268"/>
      <c r="O2427" s="268"/>
    </row>
    <row r="2428" spans="9:15" x14ac:dyDescent="0.25">
      <c r="I2428" s="268"/>
      <c r="O2428" s="268"/>
    </row>
    <row r="2429" spans="9:15" x14ac:dyDescent="0.25">
      <c r="I2429" s="268"/>
      <c r="O2429" s="268"/>
    </row>
    <row r="2430" spans="9:15" x14ac:dyDescent="0.25">
      <c r="I2430" s="268"/>
      <c r="O2430" s="268"/>
    </row>
    <row r="2431" spans="9:15" x14ac:dyDescent="0.25">
      <c r="I2431" s="268"/>
      <c r="O2431" s="268"/>
    </row>
    <row r="2432" spans="9:15" x14ac:dyDescent="0.25">
      <c r="I2432" s="268"/>
      <c r="O2432" s="268"/>
    </row>
    <row r="2433" spans="9:15" x14ac:dyDescent="0.25">
      <c r="I2433" s="268"/>
      <c r="O2433" s="268"/>
    </row>
    <row r="2434" spans="9:15" x14ac:dyDescent="0.25">
      <c r="I2434" s="268"/>
      <c r="O2434" s="268"/>
    </row>
    <row r="2435" spans="9:15" x14ac:dyDescent="0.25">
      <c r="I2435" s="268"/>
      <c r="O2435" s="268"/>
    </row>
    <row r="2436" spans="9:15" x14ac:dyDescent="0.25">
      <c r="I2436" s="268"/>
      <c r="O2436" s="268"/>
    </row>
    <row r="2437" spans="9:15" x14ac:dyDescent="0.25">
      <c r="I2437" s="268"/>
      <c r="O2437" s="268"/>
    </row>
    <row r="2438" spans="9:15" x14ac:dyDescent="0.25">
      <c r="I2438" s="268"/>
      <c r="O2438" s="268"/>
    </row>
    <row r="2439" spans="9:15" x14ac:dyDescent="0.25">
      <c r="I2439" s="268"/>
      <c r="O2439" s="268"/>
    </row>
    <row r="2440" spans="9:15" x14ac:dyDescent="0.25">
      <c r="I2440" s="268"/>
      <c r="O2440" s="268"/>
    </row>
    <row r="2441" spans="9:15" x14ac:dyDescent="0.25">
      <c r="I2441" s="268"/>
      <c r="O2441" s="268"/>
    </row>
    <row r="2442" spans="9:15" x14ac:dyDescent="0.25">
      <c r="I2442" s="268"/>
      <c r="O2442" s="268"/>
    </row>
    <row r="2443" spans="9:15" x14ac:dyDescent="0.25">
      <c r="I2443" s="268"/>
      <c r="O2443" s="268"/>
    </row>
    <row r="2444" spans="9:15" x14ac:dyDescent="0.25">
      <c r="I2444" s="268"/>
      <c r="O2444" s="268"/>
    </row>
    <row r="2445" spans="9:15" x14ac:dyDescent="0.25">
      <c r="I2445" s="268"/>
      <c r="O2445" s="268"/>
    </row>
    <row r="2446" spans="9:15" x14ac:dyDescent="0.25">
      <c r="I2446" s="268"/>
      <c r="O2446" s="268"/>
    </row>
    <row r="2447" spans="9:15" x14ac:dyDescent="0.25">
      <c r="I2447" s="268"/>
      <c r="O2447" s="268"/>
    </row>
    <row r="2448" spans="9:15" x14ac:dyDescent="0.25">
      <c r="I2448" s="268"/>
      <c r="O2448" s="268"/>
    </row>
    <row r="2449" spans="9:15" x14ac:dyDescent="0.25">
      <c r="I2449" s="268"/>
      <c r="O2449" s="268"/>
    </row>
    <row r="2450" spans="9:15" x14ac:dyDescent="0.25">
      <c r="I2450" s="268"/>
      <c r="O2450" s="268"/>
    </row>
    <row r="2451" spans="9:15" x14ac:dyDescent="0.25">
      <c r="I2451" s="268"/>
      <c r="O2451" s="268"/>
    </row>
    <row r="2452" spans="9:15" x14ac:dyDescent="0.25">
      <c r="I2452" s="268"/>
      <c r="O2452" s="268"/>
    </row>
    <row r="2453" spans="9:15" x14ac:dyDescent="0.25">
      <c r="I2453" s="268"/>
      <c r="O2453" s="268"/>
    </row>
    <row r="2454" spans="9:15" x14ac:dyDescent="0.25">
      <c r="I2454" s="268"/>
      <c r="O2454" s="268"/>
    </row>
    <row r="2455" spans="9:15" x14ac:dyDescent="0.25">
      <c r="I2455" s="268"/>
      <c r="O2455" s="268"/>
    </row>
    <row r="2456" spans="9:15" x14ac:dyDescent="0.25">
      <c r="I2456" s="268"/>
      <c r="O2456" s="268"/>
    </row>
    <row r="2457" spans="9:15" x14ac:dyDescent="0.25">
      <c r="I2457" s="268"/>
      <c r="O2457" s="268"/>
    </row>
    <row r="2458" spans="9:15" x14ac:dyDescent="0.25">
      <c r="I2458" s="268"/>
      <c r="O2458" s="268"/>
    </row>
    <row r="2459" spans="9:15" x14ac:dyDescent="0.25">
      <c r="I2459" s="268"/>
      <c r="O2459" s="268"/>
    </row>
    <row r="2460" spans="9:15" x14ac:dyDescent="0.25">
      <c r="I2460" s="268"/>
      <c r="O2460" s="268"/>
    </row>
    <row r="2461" spans="9:15" x14ac:dyDescent="0.25">
      <c r="I2461" s="268"/>
      <c r="O2461" s="268"/>
    </row>
    <row r="2462" spans="9:15" x14ac:dyDescent="0.25">
      <c r="I2462" s="268"/>
      <c r="O2462" s="268"/>
    </row>
    <row r="2463" spans="9:15" x14ac:dyDescent="0.25">
      <c r="I2463" s="268"/>
      <c r="O2463" s="268"/>
    </row>
    <row r="2464" spans="9:15" x14ac:dyDescent="0.25">
      <c r="I2464" s="268"/>
      <c r="O2464" s="268"/>
    </row>
    <row r="2465" spans="9:15" x14ac:dyDescent="0.25">
      <c r="I2465" s="268"/>
      <c r="O2465" s="268"/>
    </row>
    <row r="2466" spans="9:15" x14ac:dyDescent="0.25">
      <c r="I2466" s="268"/>
      <c r="O2466" s="268"/>
    </row>
    <row r="2467" spans="9:15" x14ac:dyDescent="0.25">
      <c r="I2467" s="268"/>
      <c r="O2467" s="268"/>
    </row>
    <row r="2468" spans="9:15" x14ac:dyDescent="0.25">
      <c r="I2468" s="268"/>
      <c r="O2468" s="268"/>
    </row>
    <row r="2469" spans="9:15" x14ac:dyDescent="0.25">
      <c r="I2469" s="268"/>
      <c r="O2469" s="268"/>
    </row>
    <row r="2470" spans="9:15" x14ac:dyDescent="0.25">
      <c r="I2470" s="268"/>
      <c r="O2470" s="268"/>
    </row>
    <row r="2471" spans="9:15" x14ac:dyDescent="0.25">
      <c r="I2471" s="268"/>
      <c r="O2471" s="268"/>
    </row>
    <row r="2472" spans="9:15" x14ac:dyDescent="0.25">
      <c r="I2472" s="268"/>
      <c r="O2472" s="268"/>
    </row>
    <row r="2473" spans="9:15" x14ac:dyDescent="0.25">
      <c r="I2473" s="268"/>
      <c r="O2473" s="268"/>
    </row>
    <row r="2474" spans="9:15" x14ac:dyDescent="0.25">
      <c r="I2474" s="268"/>
      <c r="O2474" s="268"/>
    </row>
    <row r="2475" spans="9:15" x14ac:dyDescent="0.25">
      <c r="I2475" s="268"/>
      <c r="O2475" s="268"/>
    </row>
    <row r="2476" spans="9:15" x14ac:dyDescent="0.25">
      <c r="I2476" s="268"/>
      <c r="O2476" s="268"/>
    </row>
    <row r="2477" spans="9:15" x14ac:dyDescent="0.25">
      <c r="I2477" s="268"/>
      <c r="O2477" s="268"/>
    </row>
    <row r="2478" spans="9:15" x14ac:dyDescent="0.25">
      <c r="I2478" s="268"/>
      <c r="O2478" s="268"/>
    </row>
    <row r="2479" spans="9:15" x14ac:dyDescent="0.25">
      <c r="I2479" s="268"/>
      <c r="O2479" s="268"/>
    </row>
    <row r="2480" spans="9:15" x14ac:dyDescent="0.25">
      <c r="I2480" s="268"/>
      <c r="O2480" s="268"/>
    </row>
    <row r="2481" spans="9:15" x14ac:dyDescent="0.25">
      <c r="I2481" s="268"/>
      <c r="O2481" s="268"/>
    </row>
    <row r="2482" spans="9:15" x14ac:dyDescent="0.25">
      <c r="I2482" s="268"/>
      <c r="O2482" s="268"/>
    </row>
    <row r="2483" spans="9:15" x14ac:dyDescent="0.25">
      <c r="I2483" s="268"/>
      <c r="O2483" s="268"/>
    </row>
    <row r="2484" spans="9:15" x14ac:dyDescent="0.25">
      <c r="I2484" s="268"/>
      <c r="O2484" s="268"/>
    </row>
    <row r="2485" spans="9:15" x14ac:dyDescent="0.25">
      <c r="I2485" s="268"/>
      <c r="O2485" s="268"/>
    </row>
    <row r="2486" spans="9:15" x14ac:dyDescent="0.25">
      <c r="I2486" s="268"/>
      <c r="O2486" s="268"/>
    </row>
    <row r="2487" spans="9:15" x14ac:dyDescent="0.25">
      <c r="I2487" s="268"/>
      <c r="O2487" s="268"/>
    </row>
    <row r="2488" spans="9:15" x14ac:dyDescent="0.25">
      <c r="I2488" s="268"/>
      <c r="O2488" s="268"/>
    </row>
    <row r="2489" spans="9:15" x14ac:dyDescent="0.25">
      <c r="I2489" s="268"/>
      <c r="O2489" s="268"/>
    </row>
    <row r="2490" spans="9:15" x14ac:dyDescent="0.25">
      <c r="I2490" s="268"/>
      <c r="O2490" s="268"/>
    </row>
    <row r="2491" spans="9:15" x14ac:dyDescent="0.25">
      <c r="I2491" s="268"/>
      <c r="O2491" s="268"/>
    </row>
    <row r="2492" spans="9:15" x14ac:dyDescent="0.25">
      <c r="I2492" s="268"/>
      <c r="O2492" s="268"/>
    </row>
    <row r="2493" spans="9:15" x14ac:dyDescent="0.25">
      <c r="I2493" s="268"/>
      <c r="O2493" s="268"/>
    </row>
    <row r="2494" spans="9:15" x14ac:dyDescent="0.25">
      <c r="I2494" s="268"/>
      <c r="O2494" s="268"/>
    </row>
    <row r="2495" spans="9:15" x14ac:dyDescent="0.25">
      <c r="I2495" s="268"/>
      <c r="O2495" s="268"/>
    </row>
    <row r="2496" spans="9:15" x14ac:dyDescent="0.25">
      <c r="I2496" s="268"/>
      <c r="O2496" s="268"/>
    </row>
    <row r="2497" spans="9:15" x14ac:dyDescent="0.25">
      <c r="I2497" s="268"/>
      <c r="O2497" s="268"/>
    </row>
    <row r="2498" spans="9:15" x14ac:dyDescent="0.25">
      <c r="I2498" s="268"/>
      <c r="O2498" s="268"/>
    </row>
    <row r="2499" spans="9:15" x14ac:dyDescent="0.25">
      <c r="I2499" s="268"/>
      <c r="O2499" s="268"/>
    </row>
    <row r="2500" spans="9:15" x14ac:dyDescent="0.25">
      <c r="I2500" s="268"/>
      <c r="O2500" s="268"/>
    </row>
    <row r="2501" spans="9:15" x14ac:dyDescent="0.25">
      <c r="I2501" s="268"/>
      <c r="O2501" s="268"/>
    </row>
    <row r="2502" spans="9:15" x14ac:dyDescent="0.25">
      <c r="I2502" s="268"/>
      <c r="O2502" s="268"/>
    </row>
    <row r="2503" spans="9:15" x14ac:dyDescent="0.25">
      <c r="I2503" s="268"/>
      <c r="O2503" s="268"/>
    </row>
    <row r="2504" spans="9:15" x14ac:dyDescent="0.25">
      <c r="I2504" s="268"/>
      <c r="O2504" s="268"/>
    </row>
    <row r="2505" spans="9:15" x14ac:dyDescent="0.25">
      <c r="I2505" s="268"/>
      <c r="O2505" s="268"/>
    </row>
    <row r="2506" spans="9:15" x14ac:dyDescent="0.25">
      <c r="I2506" s="268"/>
      <c r="O2506" s="268"/>
    </row>
    <row r="2507" spans="9:15" x14ac:dyDescent="0.25">
      <c r="I2507" s="268"/>
      <c r="O2507" s="268"/>
    </row>
    <row r="2508" spans="9:15" x14ac:dyDescent="0.25">
      <c r="I2508" s="268"/>
      <c r="O2508" s="268"/>
    </row>
    <row r="2509" spans="9:15" x14ac:dyDescent="0.25">
      <c r="I2509" s="268"/>
      <c r="O2509" s="268"/>
    </row>
    <row r="2510" spans="9:15" x14ac:dyDescent="0.25">
      <c r="I2510" s="268"/>
      <c r="O2510" s="268"/>
    </row>
    <row r="2511" spans="9:15" x14ac:dyDescent="0.25">
      <c r="I2511" s="268"/>
      <c r="O2511" s="268"/>
    </row>
    <row r="2512" spans="9:15" x14ac:dyDescent="0.25">
      <c r="I2512" s="268"/>
      <c r="O2512" s="268"/>
    </row>
    <row r="2513" spans="9:15" x14ac:dyDescent="0.25">
      <c r="I2513" s="268"/>
      <c r="O2513" s="268"/>
    </row>
    <row r="2514" spans="9:15" x14ac:dyDescent="0.25">
      <c r="I2514" s="268"/>
      <c r="O2514" s="268"/>
    </row>
    <row r="2515" spans="9:15" x14ac:dyDescent="0.25">
      <c r="I2515" s="268"/>
      <c r="O2515" s="268"/>
    </row>
    <row r="2516" spans="9:15" x14ac:dyDescent="0.25">
      <c r="I2516" s="268"/>
      <c r="O2516" s="268"/>
    </row>
    <row r="2517" spans="9:15" x14ac:dyDescent="0.25">
      <c r="I2517" s="268"/>
      <c r="O2517" s="268"/>
    </row>
    <row r="2518" spans="9:15" x14ac:dyDescent="0.25">
      <c r="I2518" s="268"/>
      <c r="O2518" s="268"/>
    </row>
    <row r="2519" spans="9:15" x14ac:dyDescent="0.25">
      <c r="I2519" s="268"/>
      <c r="O2519" s="268"/>
    </row>
    <row r="2520" spans="9:15" x14ac:dyDescent="0.25">
      <c r="I2520" s="268"/>
      <c r="O2520" s="268"/>
    </row>
    <row r="2521" spans="9:15" x14ac:dyDescent="0.25">
      <c r="I2521" s="268"/>
      <c r="O2521" s="268"/>
    </row>
    <row r="2522" spans="9:15" x14ac:dyDescent="0.25">
      <c r="I2522" s="268"/>
      <c r="O2522" s="268"/>
    </row>
    <row r="2523" spans="9:15" x14ac:dyDescent="0.25">
      <c r="I2523" s="268"/>
      <c r="O2523" s="268"/>
    </row>
    <row r="2524" spans="9:15" x14ac:dyDescent="0.25">
      <c r="I2524" s="268"/>
      <c r="O2524" s="268"/>
    </row>
    <row r="2525" spans="9:15" x14ac:dyDescent="0.25">
      <c r="I2525" s="268"/>
      <c r="O2525" s="268"/>
    </row>
    <row r="2526" spans="9:15" x14ac:dyDescent="0.25">
      <c r="I2526" s="268"/>
      <c r="O2526" s="268"/>
    </row>
    <row r="2527" spans="9:15" x14ac:dyDescent="0.25">
      <c r="I2527" s="268"/>
      <c r="O2527" s="268"/>
    </row>
    <row r="2528" spans="9:15" x14ac:dyDescent="0.25">
      <c r="I2528" s="268"/>
      <c r="O2528" s="268"/>
    </row>
    <row r="2529" spans="9:15" x14ac:dyDescent="0.25">
      <c r="I2529" s="268"/>
      <c r="O2529" s="268"/>
    </row>
    <row r="2530" spans="9:15" x14ac:dyDescent="0.25">
      <c r="I2530" s="268"/>
      <c r="O2530" s="268"/>
    </row>
    <row r="2531" spans="9:15" x14ac:dyDescent="0.25">
      <c r="I2531" s="268"/>
      <c r="O2531" s="268"/>
    </row>
    <row r="2532" spans="9:15" x14ac:dyDescent="0.25">
      <c r="I2532" s="268"/>
      <c r="O2532" s="268"/>
    </row>
    <row r="2533" spans="9:15" x14ac:dyDescent="0.25">
      <c r="I2533" s="268"/>
      <c r="O2533" s="268"/>
    </row>
    <row r="2534" spans="9:15" x14ac:dyDescent="0.25">
      <c r="I2534" s="268"/>
      <c r="O2534" s="268"/>
    </row>
    <row r="2535" spans="9:15" x14ac:dyDescent="0.25">
      <c r="I2535" s="268"/>
      <c r="O2535" s="268"/>
    </row>
    <row r="2536" spans="9:15" x14ac:dyDescent="0.25">
      <c r="I2536" s="268"/>
      <c r="O2536" s="268"/>
    </row>
    <row r="2537" spans="9:15" x14ac:dyDescent="0.25">
      <c r="I2537" s="268"/>
      <c r="O2537" s="268"/>
    </row>
    <row r="2538" spans="9:15" x14ac:dyDescent="0.25">
      <c r="I2538" s="268"/>
      <c r="O2538" s="268"/>
    </row>
    <row r="2539" spans="9:15" x14ac:dyDescent="0.25">
      <c r="I2539" s="268"/>
      <c r="O2539" s="268"/>
    </row>
    <row r="2540" spans="9:15" x14ac:dyDescent="0.25">
      <c r="I2540" s="268"/>
      <c r="O2540" s="268"/>
    </row>
    <row r="2541" spans="9:15" x14ac:dyDescent="0.25">
      <c r="I2541" s="268"/>
      <c r="O2541" s="268"/>
    </row>
    <row r="2542" spans="9:15" x14ac:dyDescent="0.25">
      <c r="I2542" s="268"/>
      <c r="O2542" s="268"/>
    </row>
    <row r="2543" spans="9:15" x14ac:dyDescent="0.25">
      <c r="I2543" s="268"/>
      <c r="O2543" s="268"/>
    </row>
    <row r="2544" spans="9:15" x14ac:dyDescent="0.25">
      <c r="I2544" s="268"/>
      <c r="O2544" s="268"/>
    </row>
    <row r="2545" spans="9:15" x14ac:dyDescent="0.25">
      <c r="I2545" s="268"/>
      <c r="O2545" s="268"/>
    </row>
    <row r="2546" spans="9:15" x14ac:dyDescent="0.25">
      <c r="I2546" s="268"/>
      <c r="O2546" s="268"/>
    </row>
    <row r="2547" spans="9:15" x14ac:dyDescent="0.25">
      <c r="I2547" s="268"/>
      <c r="O2547" s="268"/>
    </row>
    <row r="2548" spans="9:15" x14ac:dyDescent="0.25">
      <c r="I2548" s="268"/>
      <c r="O2548" s="268"/>
    </row>
    <row r="2549" spans="9:15" x14ac:dyDescent="0.25">
      <c r="I2549" s="268"/>
      <c r="O2549" s="268"/>
    </row>
    <row r="2550" spans="9:15" x14ac:dyDescent="0.25">
      <c r="I2550" s="268"/>
      <c r="O2550" s="268"/>
    </row>
    <row r="2551" spans="9:15" x14ac:dyDescent="0.25">
      <c r="I2551" s="268"/>
      <c r="O2551" s="268"/>
    </row>
    <row r="2552" spans="9:15" x14ac:dyDescent="0.25">
      <c r="I2552" s="268"/>
      <c r="O2552" s="268"/>
    </row>
    <row r="2553" spans="9:15" x14ac:dyDescent="0.25">
      <c r="I2553" s="268"/>
      <c r="O2553" s="268"/>
    </row>
    <row r="2554" spans="9:15" x14ac:dyDescent="0.25">
      <c r="I2554" s="268"/>
      <c r="O2554" s="268"/>
    </row>
    <row r="2555" spans="9:15" x14ac:dyDescent="0.25">
      <c r="I2555" s="268"/>
      <c r="O2555" s="268"/>
    </row>
    <row r="2556" spans="9:15" x14ac:dyDescent="0.25">
      <c r="I2556" s="268"/>
      <c r="O2556" s="268"/>
    </row>
    <row r="2557" spans="9:15" x14ac:dyDescent="0.25">
      <c r="I2557" s="268"/>
      <c r="O2557" s="268"/>
    </row>
    <row r="2558" spans="9:15" x14ac:dyDescent="0.25">
      <c r="I2558" s="268"/>
      <c r="O2558" s="268"/>
    </row>
    <row r="2559" spans="9:15" x14ac:dyDescent="0.25">
      <c r="I2559" s="268"/>
      <c r="O2559" s="268"/>
    </row>
    <row r="2560" spans="9:15" x14ac:dyDescent="0.25">
      <c r="I2560" s="268"/>
      <c r="O2560" s="268"/>
    </row>
    <row r="2561" spans="9:15" x14ac:dyDescent="0.25">
      <c r="I2561" s="268"/>
      <c r="O2561" s="268"/>
    </row>
    <row r="2562" spans="9:15" x14ac:dyDescent="0.25">
      <c r="I2562" s="268"/>
      <c r="O2562" s="268"/>
    </row>
    <row r="2563" spans="9:15" x14ac:dyDescent="0.25">
      <c r="I2563" s="268"/>
      <c r="O2563" s="268"/>
    </row>
    <row r="2564" spans="9:15" x14ac:dyDescent="0.25">
      <c r="I2564" s="268"/>
      <c r="O2564" s="268"/>
    </row>
    <row r="2565" spans="9:15" x14ac:dyDescent="0.25">
      <c r="I2565" s="268"/>
      <c r="O2565" s="268"/>
    </row>
    <row r="2566" spans="9:15" x14ac:dyDescent="0.25">
      <c r="I2566" s="268"/>
      <c r="O2566" s="268"/>
    </row>
    <row r="2567" spans="9:15" x14ac:dyDescent="0.25">
      <c r="I2567" s="268"/>
      <c r="O2567" s="268"/>
    </row>
    <row r="2568" spans="9:15" x14ac:dyDescent="0.25">
      <c r="I2568" s="268"/>
      <c r="O2568" s="268"/>
    </row>
    <row r="2569" spans="9:15" x14ac:dyDescent="0.25">
      <c r="I2569" s="268"/>
      <c r="O2569" s="268"/>
    </row>
    <row r="2570" spans="9:15" x14ac:dyDescent="0.25">
      <c r="I2570" s="268"/>
      <c r="O2570" s="268"/>
    </row>
    <row r="2571" spans="9:15" x14ac:dyDescent="0.25">
      <c r="I2571" s="268"/>
      <c r="O2571" s="268"/>
    </row>
    <row r="2572" spans="9:15" x14ac:dyDescent="0.25">
      <c r="I2572" s="268"/>
      <c r="O2572" s="268"/>
    </row>
    <row r="2573" spans="9:15" x14ac:dyDescent="0.25">
      <c r="I2573" s="268"/>
      <c r="O2573" s="268"/>
    </row>
    <row r="2574" spans="9:15" x14ac:dyDescent="0.25">
      <c r="I2574" s="268"/>
      <c r="O2574" s="268"/>
    </row>
    <row r="2575" spans="9:15" x14ac:dyDescent="0.25">
      <c r="I2575" s="268"/>
      <c r="O2575" s="268"/>
    </row>
    <row r="2576" spans="9:15" x14ac:dyDescent="0.25">
      <c r="I2576" s="268"/>
      <c r="O2576" s="268"/>
    </row>
    <row r="2577" spans="9:15" x14ac:dyDescent="0.25">
      <c r="I2577" s="268"/>
      <c r="O2577" s="268"/>
    </row>
    <row r="2578" spans="9:15" x14ac:dyDescent="0.25">
      <c r="I2578" s="268"/>
      <c r="O2578" s="268"/>
    </row>
    <row r="2579" spans="9:15" x14ac:dyDescent="0.25">
      <c r="I2579" s="268"/>
      <c r="O2579" s="268"/>
    </row>
    <row r="2580" spans="9:15" x14ac:dyDescent="0.25">
      <c r="I2580" s="268"/>
      <c r="O2580" s="268"/>
    </row>
    <row r="2581" spans="9:15" x14ac:dyDescent="0.25">
      <c r="I2581" s="268"/>
      <c r="O2581" s="268"/>
    </row>
    <row r="2582" spans="9:15" x14ac:dyDescent="0.25">
      <c r="I2582" s="268"/>
      <c r="O2582" s="268"/>
    </row>
    <row r="2583" spans="9:15" x14ac:dyDescent="0.25">
      <c r="I2583" s="268"/>
      <c r="O2583" s="268"/>
    </row>
    <row r="2584" spans="9:15" x14ac:dyDescent="0.25">
      <c r="I2584" s="268"/>
      <c r="O2584" s="268"/>
    </row>
    <row r="2585" spans="9:15" x14ac:dyDescent="0.25">
      <c r="I2585" s="268"/>
      <c r="O2585" s="268"/>
    </row>
    <row r="2586" spans="9:15" x14ac:dyDescent="0.25">
      <c r="I2586" s="268"/>
      <c r="O2586" s="268"/>
    </row>
    <row r="2587" spans="9:15" x14ac:dyDescent="0.25">
      <c r="I2587" s="268"/>
      <c r="O2587" s="268"/>
    </row>
    <row r="2588" spans="9:15" x14ac:dyDescent="0.25">
      <c r="I2588" s="268"/>
      <c r="O2588" s="268"/>
    </row>
    <row r="2589" spans="9:15" x14ac:dyDescent="0.25">
      <c r="I2589" s="268"/>
      <c r="O2589" s="268"/>
    </row>
    <row r="2590" spans="9:15" x14ac:dyDescent="0.25">
      <c r="I2590" s="268"/>
      <c r="O2590" s="268"/>
    </row>
    <row r="2591" spans="9:15" x14ac:dyDescent="0.25">
      <c r="I2591" s="268"/>
      <c r="O2591" s="268"/>
    </row>
    <row r="2592" spans="9:15" x14ac:dyDescent="0.25">
      <c r="I2592" s="268"/>
      <c r="O2592" s="268"/>
    </row>
    <row r="2593" spans="9:15" x14ac:dyDescent="0.25">
      <c r="I2593" s="268"/>
      <c r="O2593" s="268"/>
    </row>
    <row r="2594" spans="9:15" x14ac:dyDescent="0.25">
      <c r="I2594" s="268"/>
      <c r="O2594" s="268"/>
    </row>
    <row r="2595" spans="9:15" x14ac:dyDescent="0.25">
      <c r="I2595" s="268"/>
      <c r="O2595" s="268"/>
    </row>
    <row r="2596" spans="9:15" x14ac:dyDescent="0.25">
      <c r="I2596" s="268"/>
      <c r="O2596" s="268"/>
    </row>
    <row r="2597" spans="9:15" x14ac:dyDescent="0.25">
      <c r="I2597" s="268"/>
      <c r="O2597" s="268"/>
    </row>
    <row r="2598" spans="9:15" x14ac:dyDescent="0.25">
      <c r="I2598" s="268"/>
      <c r="O2598" s="268"/>
    </row>
    <row r="2599" spans="9:15" x14ac:dyDescent="0.25">
      <c r="I2599" s="268"/>
      <c r="O2599" s="268"/>
    </row>
    <row r="2600" spans="9:15" x14ac:dyDescent="0.25">
      <c r="I2600" s="268"/>
      <c r="O2600" s="268"/>
    </row>
    <row r="2601" spans="9:15" x14ac:dyDescent="0.25">
      <c r="I2601" s="268"/>
      <c r="O2601" s="268"/>
    </row>
    <row r="2602" spans="9:15" x14ac:dyDescent="0.25">
      <c r="I2602" s="268"/>
      <c r="O2602" s="268"/>
    </row>
    <row r="2603" spans="9:15" x14ac:dyDescent="0.25">
      <c r="I2603" s="268"/>
      <c r="O2603" s="268"/>
    </row>
    <row r="2604" spans="9:15" x14ac:dyDescent="0.25">
      <c r="I2604" s="268"/>
      <c r="O2604" s="268"/>
    </row>
    <row r="2605" spans="9:15" x14ac:dyDescent="0.25">
      <c r="I2605" s="268"/>
      <c r="O2605" s="268"/>
    </row>
    <row r="2606" spans="9:15" x14ac:dyDescent="0.25">
      <c r="I2606" s="268"/>
      <c r="O2606" s="268"/>
    </row>
    <row r="2607" spans="9:15" x14ac:dyDescent="0.25">
      <c r="I2607" s="268"/>
      <c r="O2607" s="268"/>
    </row>
    <row r="2608" spans="9:15" x14ac:dyDescent="0.25">
      <c r="I2608" s="268"/>
      <c r="O2608" s="268"/>
    </row>
    <row r="2609" spans="9:15" x14ac:dyDescent="0.25">
      <c r="I2609" s="268"/>
      <c r="O2609" s="268"/>
    </row>
    <row r="2610" spans="9:15" x14ac:dyDescent="0.25">
      <c r="I2610" s="268"/>
      <c r="O2610" s="268"/>
    </row>
    <row r="2611" spans="9:15" x14ac:dyDescent="0.25">
      <c r="I2611" s="268"/>
      <c r="O2611" s="268"/>
    </row>
    <row r="2612" spans="9:15" x14ac:dyDescent="0.25">
      <c r="I2612" s="268"/>
      <c r="O2612" s="268"/>
    </row>
    <row r="2613" spans="9:15" x14ac:dyDescent="0.25">
      <c r="I2613" s="268"/>
      <c r="O2613" s="268"/>
    </row>
    <row r="2614" spans="9:15" x14ac:dyDescent="0.25">
      <c r="I2614" s="268"/>
      <c r="O2614" s="268"/>
    </row>
    <row r="2615" spans="9:15" x14ac:dyDescent="0.25">
      <c r="I2615" s="268"/>
      <c r="O2615" s="268"/>
    </row>
    <row r="2616" spans="9:15" x14ac:dyDescent="0.25">
      <c r="I2616" s="268"/>
      <c r="O2616" s="268"/>
    </row>
    <row r="2617" spans="9:15" x14ac:dyDescent="0.25">
      <c r="I2617" s="268"/>
      <c r="O2617" s="268"/>
    </row>
    <row r="2618" spans="9:15" x14ac:dyDescent="0.25">
      <c r="I2618" s="268"/>
      <c r="O2618" s="268"/>
    </row>
    <row r="2619" spans="9:15" x14ac:dyDescent="0.25">
      <c r="I2619" s="268"/>
      <c r="O2619" s="268"/>
    </row>
    <row r="2620" spans="9:15" x14ac:dyDescent="0.25">
      <c r="I2620" s="268"/>
      <c r="O2620" s="268"/>
    </row>
    <row r="2621" spans="9:15" x14ac:dyDescent="0.25">
      <c r="I2621" s="268"/>
      <c r="O2621" s="268"/>
    </row>
    <row r="2622" spans="9:15" x14ac:dyDescent="0.25">
      <c r="I2622" s="268"/>
      <c r="O2622" s="268"/>
    </row>
    <row r="2623" spans="9:15" x14ac:dyDescent="0.25">
      <c r="I2623" s="268"/>
      <c r="O2623" s="268"/>
    </row>
    <row r="2624" spans="9:15" x14ac:dyDescent="0.25">
      <c r="I2624" s="268"/>
      <c r="O2624" s="268"/>
    </row>
    <row r="2625" spans="9:15" x14ac:dyDescent="0.25">
      <c r="I2625" s="268"/>
      <c r="O2625" s="268"/>
    </row>
    <row r="2626" spans="9:15" x14ac:dyDescent="0.25">
      <c r="I2626" s="268"/>
      <c r="O2626" s="268"/>
    </row>
    <row r="2627" spans="9:15" x14ac:dyDescent="0.25">
      <c r="I2627" s="268"/>
      <c r="O2627" s="268"/>
    </row>
    <row r="2628" spans="9:15" x14ac:dyDescent="0.25">
      <c r="I2628" s="268"/>
      <c r="O2628" s="268"/>
    </row>
    <row r="2629" spans="9:15" x14ac:dyDescent="0.25">
      <c r="I2629" s="268"/>
      <c r="O2629" s="268"/>
    </row>
    <row r="2630" spans="9:15" x14ac:dyDescent="0.25">
      <c r="I2630" s="268"/>
      <c r="O2630" s="268"/>
    </row>
    <row r="2631" spans="9:15" x14ac:dyDescent="0.25">
      <c r="I2631" s="268"/>
      <c r="O2631" s="268"/>
    </row>
    <row r="2632" spans="9:15" x14ac:dyDescent="0.25">
      <c r="I2632" s="268"/>
      <c r="O2632" s="268"/>
    </row>
    <row r="2633" spans="9:15" x14ac:dyDescent="0.25">
      <c r="I2633" s="268"/>
      <c r="O2633" s="268"/>
    </row>
    <row r="2634" spans="9:15" x14ac:dyDescent="0.25">
      <c r="I2634" s="268"/>
      <c r="O2634" s="268"/>
    </row>
    <row r="2635" spans="9:15" x14ac:dyDescent="0.25">
      <c r="I2635" s="268"/>
      <c r="O2635" s="268"/>
    </row>
    <row r="2636" spans="9:15" x14ac:dyDescent="0.25">
      <c r="I2636" s="268"/>
      <c r="O2636" s="268"/>
    </row>
    <row r="2637" spans="9:15" x14ac:dyDescent="0.25">
      <c r="I2637" s="268"/>
      <c r="O2637" s="268"/>
    </row>
    <row r="2638" spans="9:15" x14ac:dyDescent="0.25">
      <c r="I2638" s="268"/>
      <c r="O2638" s="268"/>
    </row>
    <row r="2639" spans="9:15" x14ac:dyDescent="0.25">
      <c r="I2639" s="268"/>
      <c r="O2639" s="268"/>
    </row>
    <row r="2640" spans="9:15" x14ac:dyDescent="0.25">
      <c r="I2640" s="268"/>
      <c r="O2640" s="268"/>
    </row>
    <row r="2641" spans="9:15" x14ac:dyDescent="0.25">
      <c r="I2641" s="268"/>
      <c r="O2641" s="268"/>
    </row>
    <row r="2642" spans="9:15" x14ac:dyDescent="0.25">
      <c r="I2642" s="268"/>
      <c r="O2642" s="268"/>
    </row>
    <row r="2643" spans="9:15" x14ac:dyDescent="0.25">
      <c r="I2643" s="268"/>
      <c r="O2643" s="268"/>
    </row>
    <row r="2644" spans="9:15" x14ac:dyDescent="0.25">
      <c r="I2644" s="268"/>
      <c r="O2644" s="268"/>
    </row>
    <row r="2645" spans="9:15" x14ac:dyDescent="0.25">
      <c r="I2645" s="268"/>
      <c r="O2645" s="268"/>
    </row>
    <row r="2646" spans="9:15" x14ac:dyDescent="0.25">
      <c r="I2646" s="268"/>
      <c r="O2646" s="268"/>
    </row>
    <row r="2647" spans="9:15" x14ac:dyDescent="0.25">
      <c r="I2647" s="268"/>
      <c r="O2647" s="268"/>
    </row>
    <row r="2648" spans="9:15" x14ac:dyDescent="0.25">
      <c r="I2648" s="268"/>
      <c r="O2648" s="268"/>
    </row>
    <row r="2649" spans="9:15" x14ac:dyDescent="0.25">
      <c r="I2649" s="268"/>
      <c r="O2649" s="268"/>
    </row>
    <row r="2650" spans="9:15" x14ac:dyDescent="0.25">
      <c r="I2650" s="268"/>
      <c r="O2650" s="268"/>
    </row>
    <row r="2651" spans="9:15" x14ac:dyDescent="0.25">
      <c r="I2651" s="268"/>
      <c r="O2651" s="268"/>
    </row>
    <row r="2652" spans="9:15" x14ac:dyDescent="0.25">
      <c r="I2652" s="268"/>
      <c r="O2652" s="268"/>
    </row>
    <row r="2653" spans="9:15" x14ac:dyDescent="0.25">
      <c r="I2653" s="268"/>
      <c r="O2653" s="268"/>
    </row>
    <row r="2654" spans="9:15" x14ac:dyDescent="0.25">
      <c r="I2654" s="268"/>
      <c r="O2654" s="268"/>
    </row>
    <row r="2655" spans="9:15" x14ac:dyDescent="0.25">
      <c r="I2655" s="268"/>
      <c r="O2655" s="268"/>
    </row>
    <row r="2656" spans="9:15" x14ac:dyDescent="0.25">
      <c r="I2656" s="268"/>
      <c r="O2656" s="268"/>
    </row>
    <row r="2657" spans="9:15" x14ac:dyDescent="0.25">
      <c r="I2657" s="268"/>
      <c r="O2657" s="268"/>
    </row>
    <row r="2658" spans="9:15" x14ac:dyDescent="0.25">
      <c r="I2658" s="268"/>
      <c r="O2658" s="268"/>
    </row>
    <row r="2659" spans="9:15" x14ac:dyDescent="0.25">
      <c r="I2659" s="268"/>
      <c r="O2659" s="268"/>
    </row>
    <row r="2660" spans="9:15" x14ac:dyDescent="0.25">
      <c r="I2660" s="268"/>
      <c r="O2660" s="268"/>
    </row>
    <row r="2661" spans="9:15" x14ac:dyDescent="0.25">
      <c r="I2661" s="268"/>
      <c r="O2661" s="268"/>
    </row>
    <row r="2662" spans="9:15" x14ac:dyDescent="0.25">
      <c r="I2662" s="268"/>
      <c r="O2662" s="268"/>
    </row>
    <row r="2663" spans="9:15" x14ac:dyDescent="0.25">
      <c r="I2663" s="268"/>
      <c r="O2663" s="268"/>
    </row>
    <row r="2664" spans="9:15" x14ac:dyDescent="0.25">
      <c r="I2664" s="268"/>
      <c r="O2664" s="268"/>
    </row>
    <row r="2665" spans="9:15" x14ac:dyDescent="0.25">
      <c r="I2665" s="268"/>
      <c r="O2665" s="268"/>
    </row>
    <row r="2666" spans="9:15" x14ac:dyDescent="0.25">
      <c r="I2666" s="268"/>
      <c r="O2666" s="268"/>
    </row>
    <row r="2667" spans="9:15" x14ac:dyDescent="0.25">
      <c r="I2667" s="268"/>
      <c r="O2667" s="268"/>
    </row>
    <row r="2668" spans="9:15" x14ac:dyDescent="0.25">
      <c r="I2668" s="268"/>
      <c r="O2668" s="268"/>
    </row>
    <row r="2669" spans="9:15" x14ac:dyDescent="0.25">
      <c r="I2669" s="268"/>
      <c r="O2669" s="268"/>
    </row>
    <row r="2670" spans="9:15" x14ac:dyDescent="0.25">
      <c r="I2670" s="268"/>
      <c r="O2670" s="268"/>
    </row>
    <row r="2671" spans="9:15" x14ac:dyDescent="0.25">
      <c r="I2671" s="268"/>
      <c r="O2671" s="268"/>
    </row>
    <row r="2672" spans="9:15" x14ac:dyDescent="0.25">
      <c r="I2672" s="268"/>
      <c r="O2672" s="268"/>
    </row>
    <row r="2673" spans="9:15" x14ac:dyDescent="0.25">
      <c r="I2673" s="268"/>
      <c r="O2673" s="268"/>
    </row>
    <row r="2674" spans="9:15" x14ac:dyDescent="0.25">
      <c r="I2674" s="268"/>
      <c r="O2674" s="268"/>
    </row>
    <row r="2675" spans="9:15" x14ac:dyDescent="0.25">
      <c r="I2675" s="268"/>
      <c r="O2675" s="268"/>
    </row>
    <row r="2676" spans="9:15" x14ac:dyDescent="0.25">
      <c r="I2676" s="268"/>
      <c r="O2676" s="268"/>
    </row>
    <row r="2677" spans="9:15" x14ac:dyDescent="0.25">
      <c r="I2677" s="268"/>
      <c r="O2677" s="268"/>
    </row>
    <row r="2678" spans="9:15" x14ac:dyDescent="0.25">
      <c r="I2678" s="268"/>
      <c r="O2678" s="268"/>
    </row>
    <row r="2679" spans="9:15" x14ac:dyDescent="0.25">
      <c r="I2679" s="268"/>
      <c r="O2679" s="268"/>
    </row>
    <row r="2680" spans="9:15" x14ac:dyDescent="0.25">
      <c r="I2680" s="268"/>
      <c r="O2680" s="268"/>
    </row>
    <row r="2681" spans="9:15" x14ac:dyDescent="0.25">
      <c r="I2681" s="268"/>
      <c r="O2681" s="268"/>
    </row>
    <row r="2682" spans="9:15" x14ac:dyDescent="0.25">
      <c r="I2682" s="268"/>
      <c r="O2682" s="268"/>
    </row>
    <row r="2683" spans="9:15" x14ac:dyDescent="0.25">
      <c r="I2683" s="268"/>
      <c r="O2683" s="268"/>
    </row>
    <row r="2684" spans="9:15" x14ac:dyDescent="0.25">
      <c r="I2684" s="268"/>
      <c r="O2684" s="268"/>
    </row>
    <row r="2685" spans="9:15" x14ac:dyDescent="0.25">
      <c r="I2685" s="268"/>
      <c r="O2685" s="268"/>
    </row>
    <row r="2686" spans="9:15" x14ac:dyDescent="0.25">
      <c r="I2686" s="268"/>
      <c r="O2686" s="268"/>
    </row>
    <row r="2687" spans="9:15" x14ac:dyDescent="0.25">
      <c r="I2687" s="268"/>
      <c r="O2687" s="268"/>
    </row>
    <row r="2688" spans="9:15" x14ac:dyDescent="0.25">
      <c r="I2688" s="268"/>
      <c r="O2688" s="268"/>
    </row>
    <row r="2689" spans="9:15" x14ac:dyDescent="0.25">
      <c r="I2689" s="268"/>
      <c r="O2689" s="268"/>
    </row>
    <row r="2690" spans="9:15" x14ac:dyDescent="0.25">
      <c r="I2690" s="268"/>
      <c r="O2690" s="268"/>
    </row>
    <row r="2691" spans="9:15" x14ac:dyDescent="0.25">
      <c r="I2691" s="268"/>
      <c r="O2691" s="268"/>
    </row>
    <row r="2692" spans="9:15" x14ac:dyDescent="0.25">
      <c r="I2692" s="268"/>
      <c r="O2692" s="268"/>
    </row>
    <row r="2693" spans="9:15" x14ac:dyDescent="0.25">
      <c r="I2693" s="268"/>
      <c r="O2693" s="268"/>
    </row>
    <row r="2694" spans="9:15" x14ac:dyDescent="0.25">
      <c r="I2694" s="268"/>
      <c r="O2694" s="268"/>
    </row>
    <row r="2695" spans="9:15" x14ac:dyDescent="0.25">
      <c r="I2695" s="268"/>
      <c r="O2695" s="268"/>
    </row>
    <row r="2696" spans="9:15" x14ac:dyDescent="0.25">
      <c r="I2696" s="268"/>
      <c r="O2696" s="268"/>
    </row>
    <row r="2697" spans="9:15" x14ac:dyDescent="0.25">
      <c r="I2697" s="268"/>
      <c r="O2697" s="268"/>
    </row>
    <row r="2698" spans="9:15" x14ac:dyDescent="0.25">
      <c r="I2698" s="268"/>
      <c r="O2698" s="268"/>
    </row>
    <row r="2699" spans="9:15" x14ac:dyDescent="0.25">
      <c r="I2699" s="268"/>
      <c r="O2699" s="268"/>
    </row>
    <row r="2700" spans="9:15" x14ac:dyDescent="0.25">
      <c r="I2700" s="268"/>
      <c r="O2700" s="268"/>
    </row>
    <row r="2701" spans="9:15" x14ac:dyDescent="0.25">
      <c r="I2701" s="268"/>
      <c r="O2701" s="268"/>
    </row>
    <row r="2702" spans="9:15" x14ac:dyDescent="0.25">
      <c r="I2702" s="268"/>
      <c r="O2702" s="268"/>
    </row>
    <row r="2703" spans="9:15" x14ac:dyDescent="0.25">
      <c r="I2703" s="268"/>
      <c r="O2703" s="268"/>
    </row>
    <row r="2704" spans="9:15" x14ac:dyDescent="0.25">
      <c r="I2704" s="268"/>
      <c r="O2704" s="268"/>
    </row>
    <row r="2705" spans="9:15" x14ac:dyDescent="0.25">
      <c r="I2705" s="268"/>
      <c r="O2705" s="268"/>
    </row>
    <row r="2706" spans="9:15" x14ac:dyDescent="0.25">
      <c r="I2706" s="268"/>
      <c r="O2706" s="268"/>
    </row>
    <row r="2707" spans="9:15" x14ac:dyDescent="0.25">
      <c r="I2707" s="268"/>
      <c r="O2707" s="268"/>
    </row>
    <row r="2708" spans="9:15" x14ac:dyDescent="0.25">
      <c r="I2708" s="268"/>
      <c r="O2708" s="268"/>
    </row>
    <row r="2709" spans="9:15" x14ac:dyDescent="0.25">
      <c r="I2709" s="268"/>
      <c r="O2709" s="268"/>
    </row>
    <row r="2710" spans="9:15" x14ac:dyDescent="0.25">
      <c r="I2710" s="268"/>
      <c r="O2710" s="268"/>
    </row>
    <row r="2711" spans="9:15" x14ac:dyDescent="0.25">
      <c r="I2711" s="268"/>
      <c r="O2711" s="268"/>
    </row>
    <row r="2712" spans="9:15" x14ac:dyDescent="0.25">
      <c r="I2712" s="268"/>
      <c r="O2712" s="268"/>
    </row>
    <row r="2713" spans="9:15" x14ac:dyDescent="0.25">
      <c r="I2713" s="268"/>
      <c r="O2713" s="268"/>
    </row>
    <row r="2714" spans="9:15" x14ac:dyDescent="0.25">
      <c r="I2714" s="268"/>
      <c r="O2714" s="268"/>
    </row>
    <row r="2715" spans="9:15" x14ac:dyDescent="0.25">
      <c r="I2715" s="268"/>
      <c r="O2715" s="268"/>
    </row>
    <row r="2716" spans="9:15" x14ac:dyDescent="0.25">
      <c r="I2716" s="268"/>
      <c r="O2716" s="268"/>
    </row>
    <row r="2717" spans="9:15" x14ac:dyDescent="0.25">
      <c r="I2717" s="268"/>
      <c r="O2717" s="268"/>
    </row>
    <row r="2718" spans="9:15" x14ac:dyDescent="0.25">
      <c r="I2718" s="268"/>
      <c r="O2718" s="268"/>
    </row>
    <row r="2719" spans="9:15" x14ac:dyDescent="0.25">
      <c r="I2719" s="268"/>
      <c r="O2719" s="268"/>
    </row>
    <row r="2720" spans="9:15" x14ac:dyDescent="0.25">
      <c r="I2720" s="268"/>
      <c r="O2720" s="268"/>
    </row>
    <row r="2721" spans="9:15" x14ac:dyDescent="0.25">
      <c r="I2721" s="268"/>
      <c r="O2721" s="268"/>
    </row>
    <row r="2722" spans="9:15" x14ac:dyDescent="0.25">
      <c r="I2722" s="268"/>
      <c r="O2722" s="268"/>
    </row>
    <row r="2723" spans="9:15" x14ac:dyDescent="0.25">
      <c r="I2723" s="268"/>
      <c r="O2723" s="268"/>
    </row>
    <row r="2724" spans="9:15" x14ac:dyDescent="0.25">
      <c r="I2724" s="268"/>
      <c r="O2724" s="268"/>
    </row>
    <row r="2725" spans="9:15" x14ac:dyDescent="0.25">
      <c r="I2725" s="268"/>
      <c r="O2725" s="268"/>
    </row>
    <row r="2726" spans="9:15" x14ac:dyDescent="0.25">
      <c r="I2726" s="268"/>
      <c r="O2726" s="268"/>
    </row>
    <row r="2727" spans="9:15" x14ac:dyDescent="0.25">
      <c r="I2727" s="268"/>
      <c r="O2727" s="268"/>
    </row>
    <row r="2728" spans="9:15" x14ac:dyDescent="0.25">
      <c r="I2728" s="268"/>
      <c r="O2728" s="268"/>
    </row>
    <row r="2729" spans="9:15" x14ac:dyDescent="0.25">
      <c r="I2729" s="268"/>
      <c r="O2729" s="268"/>
    </row>
    <row r="2730" spans="9:15" x14ac:dyDescent="0.25">
      <c r="I2730" s="268"/>
      <c r="O2730" s="268"/>
    </row>
    <row r="2731" spans="9:15" x14ac:dyDescent="0.25">
      <c r="I2731" s="268"/>
      <c r="O2731" s="268"/>
    </row>
    <row r="2732" spans="9:15" x14ac:dyDescent="0.25">
      <c r="I2732" s="268"/>
      <c r="O2732" s="268"/>
    </row>
    <row r="2733" spans="9:15" x14ac:dyDescent="0.25">
      <c r="I2733" s="268"/>
      <c r="O2733" s="268"/>
    </row>
    <row r="2734" spans="9:15" x14ac:dyDescent="0.25">
      <c r="I2734" s="268"/>
      <c r="O2734" s="268"/>
    </row>
    <row r="2735" spans="9:15" x14ac:dyDescent="0.25">
      <c r="I2735" s="268"/>
      <c r="O2735" s="268"/>
    </row>
    <row r="2736" spans="9:15" x14ac:dyDescent="0.25">
      <c r="I2736" s="268"/>
      <c r="O2736" s="268"/>
    </row>
    <row r="2737" spans="9:15" x14ac:dyDescent="0.25">
      <c r="I2737" s="268"/>
      <c r="O2737" s="268"/>
    </row>
    <row r="2738" spans="9:15" x14ac:dyDescent="0.25">
      <c r="I2738" s="268"/>
      <c r="O2738" s="268"/>
    </row>
    <row r="2739" spans="9:15" x14ac:dyDescent="0.25">
      <c r="I2739" s="268"/>
      <c r="O2739" s="268"/>
    </row>
    <row r="2740" spans="9:15" x14ac:dyDescent="0.25">
      <c r="I2740" s="268"/>
      <c r="O2740" s="268"/>
    </row>
    <row r="2741" spans="9:15" x14ac:dyDescent="0.25">
      <c r="I2741" s="268"/>
      <c r="O2741" s="268"/>
    </row>
    <row r="2742" spans="9:15" x14ac:dyDescent="0.25">
      <c r="I2742" s="268"/>
      <c r="O2742" s="268"/>
    </row>
    <row r="2743" spans="9:15" x14ac:dyDescent="0.25">
      <c r="I2743" s="268"/>
      <c r="O2743" s="268"/>
    </row>
    <row r="2744" spans="9:15" x14ac:dyDescent="0.25">
      <c r="I2744" s="268"/>
      <c r="O2744" s="268"/>
    </row>
    <row r="2745" spans="9:15" x14ac:dyDescent="0.25">
      <c r="I2745" s="268"/>
      <c r="O2745" s="268"/>
    </row>
    <row r="2746" spans="9:15" x14ac:dyDescent="0.25">
      <c r="I2746" s="268"/>
      <c r="O2746" s="268"/>
    </row>
    <row r="2747" spans="9:15" x14ac:dyDescent="0.25">
      <c r="I2747" s="268"/>
      <c r="O2747" s="268"/>
    </row>
    <row r="2748" spans="9:15" x14ac:dyDescent="0.25">
      <c r="I2748" s="268"/>
      <c r="O2748" s="268"/>
    </row>
    <row r="2749" spans="9:15" x14ac:dyDescent="0.25">
      <c r="I2749" s="268"/>
      <c r="O2749" s="268"/>
    </row>
    <row r="2750" spans="9:15" x14ac:dyDescent="0.25">
      <c r="I2750" s="268"/>
      <c r="O2750" s="268"/>
    </row>
    <row r="2751" spans="9:15" x14ac:dyDescent="0.25">
      <c r="I2751" s="268"/>
      <c r="O2751" s="268"/>
    </row>
    <row r="2752" spans="9:15" x14ac:dyDescent="0.25">
      <c r="I2752" s="268"/>
      <c r="O2752" s="268"/>
    </row>
    <row r="2753" spans="9:15" x14ac:dyDescent="0.25">
      <c r="I2753" s="268"/>
      <c r="O2753" s="268"/>
    </row>
    <row r="2754" spans="9:15" x14ac:dyDescent="0.25">
      <c r="I2754" s="268"/>
      <c r="O2754" s="268"/>
    </row>
    <row r="2755" spans="9:15" x14ac:dyDescent="0.25">
      <c r="I2755" s="268"/>
      <c r="O2755" s="268"/>
    </row>
    <row r="2756" spans="9:15" x14ac:dyDescent="0.25">
      <c r="I2756" s="268"/>
      <c r="O2756" s="268"/>
    </row>
    <row r="2757" spans="9:15" x14ac:dyDescent="0.25">
      <c r="I2757" s="268"/>
      <c r="O2757" s="268"/>
    </row>
    <row r="2758" spans="9:15" x14ac:dyDescent="0.25">
      <c r="I2758" s="268"/>
      <c r="O2758" s="268"/>
    </row>
    <row r="2759" spans="9:15" x14ac:dyDescent="0.25">
      <c r="I2759" s="268"/>
      <c r="O2759" s="268"/>
    </row>
    <row r="2760" spans="9:15" x14ac:dyDescent="0.25">
      <c r="I2760" s="268"/>
      <c r="O2760" s="268"/>
    </row>
    <row r="2761" spans="9:15" x14ac:dyDescent="0.25">
      <c r="I2761" s="268"/>
      <c r="O2761" s="268"/>
    </row>
    <row r="2762" spans="9:15" x14ac:dyDescent="0.25">
      <c r="I2762" s="268"/>
      <c r="O2762" s="268"/>
    </row>
    <row r="2763" spans="9:15" x14ac:dyDescent="0.25">
      <c r="I2763" s="268"/>
      <c r="O2763" s="268"/>
    </row>
    <row r="2764" spans="9:15" x14ac:dyDescent="0.25">
      <c r="I2764" s="268"/>
      <c r="O2764" s="268"/>
    </row>
    <row r="2765" spans="9:15" x14ac:dyDescent="0.25">
      <c r="I2765" s="268"/>
      <c r="O2765" s="268"/>
    </row>
    <row r="2766" spans="9:15" x14ac:dyDescent="0.25">
      <c r="I2766" s="268"/>
      <c r="O2766" s="268"/>
    </row>
    <row r="2767" spans="9:15" x14ac:dyDescent="0.25">
      <c r="I2767" s="268"/>
      <c r="O2767" s="268"/>
    </row>
    <row r="2768" spans="9:15" x14ac:dyDescent="0.25">
      <c r="I2768" s="268"/>
      <c r="O2768" s="268"/>
    </row>
    <row r="2769" spans="9:15" x14ac:dyDescent="0.25">
      <c r="I2769" s="268"/>
      <c r="O2769" s="268"/>
    </row>
    <row r="2770" spans="9:15" x14ac:dyDescent="0.25">
      <c r="I2770" s="268"/>
      <c r="O2770" s="268"/>
    </row>
    <row r="2771" spans="9:15" x14ac:dyDescent="0.25">
      <c r="I2771" s="268"/>
      <c r="O2771" s="268"/>
    </row>
    <row r="2772" spans="9:15" x14ac:dyDescent="0.25">
      <c r="I2772" s="268"/>
      <c r="O2772" s="268"/>
    </row>
    <row r="2773" spans="9:15" x14ac:dyDescent="0.25">
      <c r="I2773" s="268"/>
      <c r="O2773" s="268"/>
    </row>
    <row r="2774" spans="9:15" x14ac:dyDescent="0.25">
      <c r="I2774" s="268"/>
      <c r="O2774" s="268"/>
    </row>
    <row r="2775" spans="9:15" x14ac:dyDescent="0.25">
      <c r="I2775" s="268"/>
      <c r="O2775" s="268"/>
    </row>
    <row r="2776" spans="9:15" x14ac:dyDescent="0.25">
      <c r="I2776" s="268"/>
      <c r="O2776" s="268"/>
    </row>
    <row r="2777" spans="9:15" x14ac:dyDescent="0.25">
      <c r="I2777" s="268"/>
      <c r="O2777" s="268"/>
    </row>
    <row r="2778" spans="9:15" x14ac:dyDescent="0.25">
      <c r="I2778" s="268"/>
      <c r="O2778" s="268"/>
    </row>
    <row r="2779" spans="9:15" x14ac:dyDescent="0.25">
      <c r="I2779" s="268"/>
      <c r="O2779" s="268"/>
    </row>
    <row r="2780" spans="9:15" x14ac:dyDescent="0.25">
      <c r="I2780" s="268"/>
      <c r="O2780" s="268"/>
    </row>
    <row r="2781" spans="9:15" x14ac:dyDescent="0.25">
      <c r="I2781" s="268"/>
      <c r="O2781" s="268"/>
    </row>
    <row r="2782" spans="9:15" x14ac:dyDescent="0.25">
      <c r="I2782" s="268"/>
      <c r="O2782" s="268"/>
    </row>
    <row r="2783" spans="9:15" x14ac:dyDescent="0.25">
      <c r="I2783" s="268"/>
      <c r="O2783" s="268"/>
    </row>
    <row r="2784" spans="9:15" x14ac:dyDescent="0.25">
      <c r="I2784" s="268"/>
      <c r="O2784" s="268"/>
    </row>
    <row r="2785" spans="9:15" x14ac:dyDescent="0.25">
      <c r="I2785" s="268"/>
      <c r="O2785" s="268"/>
    </row>
    <row r="2786" spans="9:15" x14ac:dyDescent="0.25">
      <c r="I2786" s="268"/>
      <c r="O2786" s="268"/>
    </row>
    <row r="2787" spans="9:15" x14ac:dyDescent="0.25">
      <c r="I2787" s="268"/>
      <c r="O2787" s="268"/>
    </row>
    <row r="2788" spans="9:15" x14ac:dyDescent="0.25">
      <c r="I2788" s="268"/>
      <c r="O2788" s="268"/>
    </row>
    <row r="2789" spans="9:15" x14ac:dyDescent="0.25">
      <c r="I2789" s="268"/>
      <c r="O2789" s="268"/>
    </row>
    <row r="2790" spans="9:15" x14ac:dyDescent="0.25">
      <c r="I2790" s="268"/>
      <c r="O2790" s="268"/>
    </row>
    <row r="2791" spans="9:15" x14ac:dyDescent="0.25">
      <c r="I2791" s="268"/>
      <c r="O2791" s="268"/>
    </row>
    <row r="2792" spans="9:15" x14ac:dyDescent="0.25">
      <c r="I2792" s="268"/>
      <c r="O2792" s="268"/>
    </row>
    <row r="2793" spans="9:15" x14ac:dyDescent="0.25">
      <c r="I2793" s="268"/>
      <c r="O2793" s="268"/>
    </row>
    <row r="2794" spans="9:15" x14ac:dyDescent="0.25">
      <c r="I2794" s="268"/>
      <c r="O2794" s="268"/>
    </row>
    <row r="2795" spans="9:15" x14ac:dyDescent="0.25">
      <c r="I2795" s="268"/>
      <c r="O2795" s="268"/>
    </row>
    <row r="2796" spans="9:15" x14ac:dyDescent="0.25">
      <c r="I2796" s="268"/>
      <c r="O2796" s="268"/>
    </row>
    <row r="2797" spans="9:15" x14ac:dyDescent="0.25">
      <c r="I2797" s="268"/>
      <c r="O2797" s="268"/>
    </row>
    <row r="2798" spans="9:15" x14ac:dyDescent="0.25">
      <c r="I2798" s="268"/>
      <c r="O2798" s="268"/>
    </row>
    <row r="2799" spans="9:15" x14ac:dyDescent="0.25">
      <c r="I2799" s="268"/>
      <c r="O2799" s="268"/>
    </row>
    <row r="2800" spans="9:15" x14ac:dyDescent="0.25">
      <c r="I2800" s="268"/>
      <c r="O2800" s="268"/>
    </row>
    <row r="2801" spans="9:15" x14ac:dyDescent="0.25">
      <c r="I2801" s="268"/>
      <c r="O2801" s="268"/>
    </row>
    <row r="2802" spans="9:15" x14ac:dyDescent="0.25">
      <c r="I2802" s="268"/>
      <c r="O2802" s="268"/>
    </row>
    <row r="2803" spans="9:15" x14ac:dyDescent="0.25">
      <c r="I2803" s="268"/>
      <c r="O2803" s="268"/>
    </row>
    <row r="2804" spans="9:15" x14ac:dyDescent="0.25">
      <c r="I2804" s="268"/>
      <c r="O2804" s="268"/>
    </row>
    <row r="2805" spans="9:15" x14ac:dyDescent="0.25">
      <c r="I2805" s="268"/>
      <c r="O2805" s="268"/>
    </row>
    <row r="2806" spans="9:15" x14ac:dyDescent="0.25">
      <c r="I2806" s="268"/>
      <c r="O2806" s="268"/>
    </row>
    <row r="2807" spans="9:15" x14ac:dyDescent="0.25">
      <c r="I2807" s="268"/>
      <c r="O2807" s="268"/>
    </row>
    <row r="2808" spans="9:15" x14ac:dyDescent="0.25">
      <c r="I2808" s="268"/>
      <c r="O2808" s="268"/>
    </row>
    <row r="2809" spans="9:15" x14ac:dyDescent="0.25">
      <c r="I2809" s="268"/>
      <c r="O2809" s="268"/>
    </row>
    <row r="2810" spans="9:15" x14ac:dyDescent="0.25">
      <c r="I2810" s="268"/>
      <c r="O2810" s="268"/>
    </row>
    <row r="2811" spans="9:15" x14ac:dyDescent="0.25">
      <c r="I2811" s="268"/>
      <c r="O2811" s="268"/>
    </row>
    <row r="2812" spans="9:15" x14ac:dyDescent="0.25">
      <c r="I2812" s="268"/>
      <c r="O2812" s="268"/>
    </row>
    <row r="2813" spans="9:15" x14ac:dyDescent="0.25">
      <c r="I2813" s="268"/>
      <c r="O2813" s="268"/>
    </row>
    <row r="2814" spans="9:15" x14ac:dyDescent="0.25">
      <c r="I2814" s="268"/>
      <c r="O2814" s="268"/>
    </row>
    <row r="2815" spans="9:15" x14ac:dyDescent="0.25">
      <c r="I2815" s="268"/>
      <c r="O2815" s="268"/>
    </row>
    <row r="2816" spans="9:15" x14ac:dyDescent="0.25">
      <c r="I2816" s="268"/>
      <c r="O2816" s="268"/>
    </row>
    <row r="2817" spans="9:15" x14ac:dyDescent="0.25">
      <c r="I2817" s="268"/>
      <c r="O2817" s="268"/>
    </row>
    <row r="2818" spans="9:15" x14ac:dyDescent="0.25">
      <c r="I2818" s="268"/>
      <c r="O2818" s="268"/>
    </row>
    <row r="2819" spans="9:15" x14ac:dyDescent="0.25">
      <c r="I2819" s="268"/>
      <c r="O2819" s="268"/>
    </row>
    <row r="2820" spans="9:15" x14ac:dyDescent="0.25">
      <c r="I2820" s="268"/>
      <c r="O2820" s="268"/>
    </row>
    <row r="2821" spans="9:15" x14ac:dyDescent="0.25">
      <c r="I2821" s="268"/>
      <c r="O2821" s="268"/>
    </row>
    <row r="2822" spans="9:15" x14ac:dyDescent="0.25">
      <c r="I2822" s="268"/>
      <c r="O2822" s="268"/>
    </row>
    <row r="2823" spans="9:15" x14ac:dyDescent="0.25">
      <c r="I2823" s="268"/>
      <c r="O2823" s="268"/>
    </row>
    <row r="2824" spans="9:15" x14ac:dyDescent="0.25">
      <c r="I2824" s="268"/>
      <c r="O2824" s="268"/>
    </row>
    <row r="2825" spans="9:15" x14ac:dyDescent="0.25">
      <c r="I2825" s="268"/>
      <c r="O2825" s="268"/>
    </row>
    <row r="2826" spans="9:15" x14ac:dyDescent="0.25">
      <c r="I2826" s="268"/>
      <c r="O2826" s="268"/>
    </row>
    <row r="2827" spans="9:15" x14ac:dyDescent="0.25">
      <c r="I2827" s="268"/>
      <c r="O2827" s="268"/>
    </row>
    <row r="2828" spans="9:15" x14ac:dyDescent="0.25">
      <c r="I2828" s="268"/>
      <c r="O2828" s="268"/>
    </row>
    <row r="2829" spans="9:15" x14ac:dyDescent="0.25">
      <c r="I2829" s="268"/>
      <c r="O2829" s="268"/>
    </row>
    <row r="2830" spans="9:15" x14ac:dyDescent="0.25">
      <c r="I2830" s="268"/>
      <c r="O2830" s="268"/>
    </row>
    <row r="2831" spans="9:15" x14ac:dyDescent="0.25">
      <c r="I2831" s="268"/>
      <c r="O2831" s="268"/>
    </row>
    <row r="2832" spans="9:15" x14ac:dyDescent="0.25">
      <c r="I2832" s="268"/>
      <c r="O2832" s="268"/>
    </row>
    <row r="2833" spans="9:15" x14ac:dyDescent="0.25">
      <c r="I2833" s="268"/>
      <c r="O2833" s="268"/>
    </row>
    <row r="2834" spans="9:15" x14ac:dyDescent="0.25">
      <c r="I2834" s="268"/>
      <c r="O2834" s="268"/>
    </row>
    <row r="2835" spans="9:15" x14ac:dyDescent="0.25">
      <c r="I2835" s="268"/>
      <c r="O2835" s="268"/>
    </row>
    <row r="2836" spans="9:15" x14ac:dyDescent="0.25">
      <c r="I2836" s="268"/>
      <c r="O2836" s="268"/>
    </row>
    <row r="2837" spans="9:15" x14ac:dyDescent="0.25">
      <c r="I2837" s="268"/>
      <c r="O2837" s="268"/>
    </row>
    <row r="2838" spans="9:15" x14ac:dyDescent="0.25">
      <c r="I2838" s="268"/>
      <c r="O2838" s="268"/>
    </row>
    <row r="2839" spans="9:15" x14ac:dyDescent="0.25">
      <c r="I2839" s="268"/>
      <c r="O2839" s="268"/>
    </row>
    <row r="2840" spans="9:15" x14ac:dyDescent="0.25">
      <c r="I2840" s="268"/>
      <c r="O2840" s="268"/>
    </row>
    <row r="2841" spans="9:15" x14ac:dyDescent="0.25">
      <c r="I2841" s="268"/>
      <c r="O2841" s="268"/>
    </row>
    <row r="2842" spans="9:15" x14ac:dyDescent="0.25">
      <c r="I2842" s="268"/>
      <c r="O2842" s="268"/>
    </row>
    <row r="2843" spans="9:15" x14ac:dyDescent="0.25">
      <c r="I2843" s="268"/>
      <c r="O2843" s="268"/>
    </row>
    <row r="2844" spans="9:15" x14ac:dyDescent="0.25">
      <c r="I2844" s="268"/>
      <c r="O2844" s="268"/>
    </row>
    <row r="2845" spans="9:15" x14ac:dyDescent="0.25">
      <c r="I2845" s="268"/>
      <c r="O2845" s="268"/>
    </row>
    <row r="2846" spans="9:15" x14ac:dyDescent="0.25">
      <c r="I2846" s="268"/>
      <c r="O2846" s="268"/>
    </row>
    <row r="2847" spans="9:15" x14ac:dyDescent="0.25">
      <c r="I2847" s="268"/>
      <c r="O2847" s="268"/>
    </row>
    <row r="2848" spans="9:15" x14ac:dyDescent="0.25">
      <c r="I2848" s="268"/>
      <c r="O2848" s="268"/>
    </row>
    <row r="2849" spans="9:15" x14ac:dyDescent="0.25">
      <c r="I2849" s="268"/>
      <c r="O2849" s="268"/>
    </row>
    <row r="2850" spans="9:15" x14ac:dyDescent="0.25">
      <c r="I2850" s="268"/>
      <c r="O2850" s="268"/>
    </row>
    <row r="2851" spans="9:15" x14ac:dyDescent="0.25">
      <c r="I2851" s="268"/>
      <c r="O2851" s="268"/>
    </row>
    <row r="2852" spans="9:15" x14ac:dyDescent="0.25">
      <c r="I2852" s="268"/>
      <c r="O2852" s="268"/>
    </row>
    <row r="2853" spans="9:15" x14ac:dyDescent="0.25">
      <c r="I2853" s="268"/>
      <c r="O2853" s="268"/>
    </row>
    <row r="2854" spans="9:15" x14ac:dyDescent="0.25">
      <c r="I2854" s="268"/>
      <c r="O2854" s="268"/>
    </row>
    <row r="2855" spans="9:15" x14ac:dyDescent="0.25">
      <c r="I2855" s="268"/>
      <c r="O2855" s="268"/>
    </row>
    <row r="2856" spans="9:15" x14ac:dyDescent="0.25">
      <c r="I2856" s="268"/>
      <c r="O2856" s="268"/>
    </row>
    <row r="2857" spans="9:15" x14ac:dyDescent="0.25">
      <c r="I2857" s="268"/>
      <c r="O2857" s="268"/>
    </row>
    <row r="2858" spans="9:15" x14ac:dyDescent="0.25">
      <c r="I2858" s="268"/>
      <c r="O2858" s="268"/>
    </row>
    <row r="2859" spans="9:15" x14ac:dyDescent="0.25">
      <c r="I2859" s="268"/>
      <c r="O2859" s="268"/>
    </row>
    <row r="2860" spans="9:15" x14ac:dyDescent="0.25">
      <c r="I2860" s="268"/>
      <c r="O2860" s="268"/>
    </row>
    <row r="2861" spans="9:15" x14ac:dyDescent="0.25">
      <c r="I2861" s="268"/>
      <c r="O2861" s="268"/>
    </row>
    <row r="2862" spans="9:15" x14ac:dyDescent="0.25">
      <c r="I2862" s="268"/>
      <c r="O2862" s="268"/>
    </row>
    <row r="2863" spans="9:15" x14ac:dyDescent="0.25">
      <c r="I2863" s="268"/>
      <c r="O2863" s="268"/>
    </row>
    <row r="2864" spans="9:15" x14ac:dyDescent="0.25">
      <c r="I2864" s="268"/>
      <c r="O2864" s="268"/>
    </row>
    <row r="2865" spans="9:15" x14ac:dyDescent="0.25">
      <c r="I2865" s="268"/>
      <c r="O2865" s="268"/>
    </row>
    <row r="2866" spans="9:15" x14ac:dyDescent="0.25">
      <c r="I2866" s="268"/>
      <c r="O2866" s="268"/>
    </row>
    <row r="2867" spans="9:15" x14ac:dyDescent="0.25">
      <c r="I2867" s="268"/>
      <c r="O2867" s="268"/>
    </row>
    <row r="2868" spans="9:15" x14ac:dyDescent="0.25">
      <c r="I2868" s="268"/>
      <c r="O2868" s="268"/>
    </row>
    <row r="2869" spans="9:15" x14ac:dyDescent="0.25">
      <c r="I2869" s="268"/>
      <c r="O2869" s="268"/>
    </row>
    <row r="2870" spans="9:15" x14ac:dyDescent="0.25">
      <c r="I2870" s="268"/>
      <c r="O2870" s="268"/>
    </row>
    <row r="2871" spans="9:15" x14ac:dyDescent="0.25">
      <c r="I2871" s="268"/>
      <c r="O2871" s="268"/>
    </row>
    <row r="2872" spans="9:15" x14ac:dyDescent="0.25">
      <c r="I2872" s="268"/>
      <c r="O2872" s="268"/>
    </row>
    <row r="2873" spans="9:15" x14ac:dyDescent="0.25">
      <c r="I2873" s="268"/>
      <c r="O2873" s="268"/>
    </row>
    <row r="2874" spans="9:15" x14ac:dyDescent="0.25">
      <c r="I2874" s="268"/>
      <c r="O2874" s="268"/>
    </row>
    <row r="2875" spans="9:15" x14ac:dyDescent="0.25">
      <c r="I2875" s="268"/>
      <c r="O2875" s="268"/>
    </row>
    <row r="2876" spans="9:15" x14ac:dyDescent="0.25">
      <c r="I2876" s="268"/>
      <c r="O2876" s="268"/>
    </row>
    <row r="2877" spans="9:15" x14ac:dyDescent="0.25">
      <c r="I2877" s="268"/>
      <c r="O2877" s="268"/>
    </row>
    <row r="2878" spans="9:15" x14ac:dyDescent="0.25">
      <c r="I2878" s="268"/>
      <c r="O2878" s="268"/>
    </row>
    <row r="2879" spans="9:15" x14ac:dyDescent="0.25">
      <c r="I2879" s="268"/>
      <c r="O2879" s="268"/>
    </row>
    <row r="2880" spans="9:15" x14ac:dyDescent="0.25">
      <c r="I2880" s="268"/>
      <c r="O2880" s="268"/>
    </row>
    <row r="2881" spans="9:15" x14ac:dyDescent="0.25">
      <c r="I2881" s="268"/>
      <c r="O2881" s="268"/>
    </row>
    <row r="2882" spans="9:15" x14ac:dyDescent="0.25">
      <c r="I2882" s="268"/>
      <c r="O2882" s="268"/>
    </row>
    <row r="2883" spans="9:15" x14ac:dyDescent="0.25">
      <c r="I2883" s="268"/>
      <c r="O2883" s="268"/>
    </row>
    <row r="2884" spans="9:15" x14ac:dyDescent="0.25">
      <c r="I2884" s="268"/>
      <c r="O2884" s="268"/>
    </row>
    <row r="2885" spans="9:15" x14ac:dyDescent="0.25">
      <c r="I2885" s="268"/>
      <c r="O2885" s="268"/>
    </row>
    <row r="2886" spans="9:15" x14ac:dyDescent="0.25">
      <c r="I2886" s="268"/>
      <c r="O2886" s="268"/>
    </row>
    <row r="2887" spans="9:15" x14ac:dyDescent="0.25">
      <c r="I2887" s="268"/>
      <c r="O2887" s="268"/>
    </row>
    <row r="2888" spans="9:15" x14ac:dyDescent="0.25">
      <c r="I2888" s="268"/>
      <c r="O2888" s="268"/>
    </row>
    <row r="2889" spans="9:15" x14ac:dyDescent="0.25">
      <c r="I2889" s="268"/>
      <c r="O2889" s="268"/>
    </row>
    <row r="2890" spans="9:15" x14ac:dyDescent="0.25">
      <c r="I2890" s="268"/>
      <c r="O2890" s="268"/>
    </row>
    <row r="2891" spans="9:15" x14ac:dyDescent="0.25">
      <c r="I2891" s="268"/>
      <c r="O2891" s="268"/>
    </row>
    <row r="2892" spans="9:15" x14ac:dyDescent="0.25">
      <c r="I2892" s="268"/>
      <c r="O2892" s="268"/>
    </row>
    <row r="2893" spans="9:15" x14ac:dyDescent="0.25">
      <c r="I2893" s="268"/>
      <c r="O2893" s="268"/>
    </row>
    <row r="2894" spans="9:15" x14ac:dyDescent="0.25">
      <c r="I2894" s="268"/>
      <c r="O2894" s="268"/>
    </row>
    <row r="2895" spans="9:15" x14ac:dyDescent="0.25">
      <c r="I2895" s="268"/>
      <c r="O2895" s="268"/>
    </row>
    <row r="2896" spans="9:15" x14ac:dyDescent="0.25">
      <c r="I2896" s="268"/>
      <c r="O2896" s="268"/>
    </row>
    <row r="2897" spans="9:15" x14ac:dyDescent="0.25">
      <c r="I2897" s="268"/>
      <c r="O2897" s="268"/>
    </row>
    <row r="2898" spans="9:15" x14ac:dyDescent="0.25">
      <c r="I2898" s="268"/>
      <c r="O2898" s="268"/>
    </row>
    <row r="2899" spans="9:15" x14ac:dyDescent="0.25">
      <c r="I2899" s="268"/>
      <c r="O2899" s="268"/>
    </row>
    <row r="2900" spans="9:15" x14ac:dyDescent="0.25">
      <c r="I2900" s="268"/>
      <c r="O2900" s="268"/>
    </row>
    <row r="2901" spans="9:15" x14ac:dyDescent="0.25">
      <c r="I2901" s="268"/>
      <c r="O2901" s="268"/>
    </row>
    <row r="2902" spans="9:15" x14ac:dyDescent="0.25">
      <c r="I2902" s="268"/>
      <c r="O2902" s="268"/>
    </row>
    <row r="2903" spans="9:15" x14ac:dyDescent="0.25">
      <c r="I2903" s="268"/>
      <c r="O2903" s="268"/>
    </row>
    <row r="2904" spans="9:15" x14ac:dyDescent="0.25">
      <c r="I2904" s="268"/>
      <c r="O2904" s="268"/>
    </row>
    <row r="2905" spans="9:15" x14ac:dyDescent="0.25">
      <c r="I2905" s="268"/>
      <c r="O2905" s="268"/>
    </row>
    <row r="2906" spans="9:15" x14ac:dyDescent="0.25">
      <c r="I2906" s="268"/>
      <c r="O2906" s="268"/>
    </row>
    <row r="2907" spans="9:15" x14ac:dyDescent="0.25">
      <c r="I2907" s="268"/>
      <c r="O2907" s="268"/>
    </row>
    <row r="2908" spans="9:15" x14ac:dyDescent="0.25">
      <c r="I2908" s="268"/>
      <c r="O2908" s="268"/>
    </row>
    <row r="2909" spans="9:15" x14ac:dyDescent="0.25">
      <c r="I2909" s="268"/>
      <c r="O2909" s="268"/>
    </row>
    <row r="2910" spans="9:15" x14ac:dyDescent="0.25">
      <c r="I2910" s="268"/>
      <c r="O2910" s="268"/>
    </row>
    <row r="2911" spans="9:15" x14ac:dyDescent="0.25">
      <c r="I2911" s="268"/>
      <c r="O2911" s="268"/>
    </row>
    <row r="2912" spans="9:15" x14ac:dyDescent="0.25">
      <c r="I2912" s="268"/>
      <c r="O2912" s="268"/>
    </row>
    <row r="2913" spans="9:15" x14ac:dyDescent="0.25">
      <c r="I2913" s="268"/>
      <c r="O2913" s="268"/>
    </row>
    <row r="2914" spans="9:15" x14ac:dyDescent="0.25">
      <c r="I2914" s="268"/>
      <c r="O2914" s="268"/>
    </row>
    <row r="2915" spans="9:15" x14ac:dyDescent="0.25">
      <c r="I2915" s="268"/>
      <c r="O2915" s="268"/>
    </row>
    <row r="2916" spans="9:15" x14ac:dyDescent="0.25">
      <c r="I2916" s="268"/>
      <c r="O2916" s="268"/>
    </row>
    <row r="2917" spans="9:15" x14ac:dyDescent="0.25">
      <c r="I2917" s="268"/>
      <c r="O2917" s="268"/>
    </row>
    <row r="2918" spans="9:15" x14ac:dyDescent="0.25">
      <c r="I2918" s="268"/>
      <c r="O2918" s="268"/>
    </row>
    <row r="2919" spans="9:15" x14ac:dyDescent="0.25">
      <c r="I2919" s="268"/>
      <c r="O2919" s="268"/>
    </row>
    <row r="2920" spans="9:15" x14ac:dyDescent="0.25">
      <c r="I2920" s="268"/>
      <c r="O2920" s="268"/>
    </row>
    <row r="2921" spans="9:15" x14ac:dyDescent="0.25">
      <c r="I2921" s="268"/>
      <c r="O2921" s="268"/>
    </row>
    <row r="2922" spans="9:15" x14ac:dyDescent="0.25">
      <c r="I2922" s="268"/>
      <c r="O2922" s="268"/>
    </row>
    <row r="2923" spans="9:15" x14ac:dyDescent="0.25">
      <c r="I2923" s="268"/>
      <c r="O2923" s="268"/>
    </row>
    <row r="2924" spans="9:15" x14ac:dyDescent="0.25">
      <c r="I2924" s="268"/>
      <c r="O2924" s="268"/>
    </row>
    <row r="2925" spans="9:15" x14ac:dyDescent="0.25">
      <c r="I2925" s="268"/>
      <c r="O2925" s="268"/>
    </row>
    <row r="2926" spans="9:15" x14ac:dyDescent="0.25">
      <c r="I2926" s="268"/>
      <c r="O2926" s="268"/>
    </row>
    <row r="2927" spans="9:15" x14ac:dyDescent="0.25">
      <c r="I2927" s="268"/>
      <c r="O2927" s="268"/>
    </row>
    <row r="2928" spans="9:15" x14ac:dyDescent="0.25">
      <c r="I2928" s="268"/>
      <c r="O2928" s="268"/>
    </row>
    <row r="2929" spans="9:15" x14ac:dyDescent="0.25">
      <c r="I2929" s="268"/>
      <c r="O2929" s="268"/>
    </row>
    <row r="2930" spans="9:15" x14ac:dyDescent="0.25">
      <c r="I2930" s="268"/>
      <c r="O2930" s="268"/>
    </row>
    <row r="2931" spans="9:15" x14ac:dyDescent="0.25">
      <c r="I2931" s="268"/>
      <c r="O2931" s="268"/>
    </row>
    <row r="2932" spans="9:15" x14ac:dyDescent="0.25">
      <c r="I2932" s="268"/>
      <c r="O2932" s="268"/>
    </row>
    <row r="2933" spans="9:15" x14ac:dyDescent="0.25">
      <c r="I2933" s="268"/>
      <c r="O2933" s="268"/>
    </row>
    <row r="2934" spans="9:15" x14ac:dyDescent="0.25">
      <c r="I2934" s="268"/>
      <c r="O2934" s="268"/>
    </row>
    <row r="2935" spans="9:15" x14ac:dyDescent="0.25">
      <c r="I2935" s="268"/>
      <c r="O2935" s="268"/>
    </row>
    <row r="2936" spans="9:15" x14ac:dyDescent="0.25">
      <c r="I2936" s="268"/>
      <c r="O2936" s="268"/>
    </row>
    <row r="2937" spans="9:15" x14ac:dyDescent="0.25">
      <c r="I2937" s="268"/>
      <c r="O2937" s="268"/>
    </row>
    <row r="2938" spans="9:15" x14ac:dyDescent="0.25">
      <c r="I2938" s="268"/>
      <c r="O2938" s="268"/>
    </row>
    <row r="2939" spans="9:15" x14ac:dyDescent="0.25">
      <c r="I2939" s="268"/>
      <c r="O2939" s="268"/>
    </row>
    <row r="2940" spans="9:15" x14ac:dyDescent="0.25">
      <c r="I2940" s="268"/>
      <c r="O2940" s="268"/>
    </row>
    <row r="2941" spans="9:15" x14ac:dyDescent="0.25">
      <c r="I2941" s="268"/>
      <c r="O2941" s="268"/>
    </row>
    <row r="2942" spans="9:15" x14ac:dyDescent="0.25">
      <c r="I2942" s="268"/>
      <c r="O2942" s="268"/>
    </row>
    <row r="2943" spans="9:15" x14ac:dyDescent="0.25">
      <c r="I2943" s="268"/>
      <c r="O2943" s="268"/>
    </row>
    <row r="2944" spans="9:15" x14ac:dyDescent="0.25">
      <c r="I2944" s="268"/>
      <c r="O2944" s="268"/>
    </row>
    <row r="2945" spans="9:15" x14ac:dyDescent="0.25">
      <c r="I2945" s="268"/>
      <c r="O2945" s="268"/>
    </row>
    <row r="2946" spans="9:15" x14ac:dyDescent="0.25">
      <c r="I2946" s="268"/>
      <c r="O2946" s="268"/>
    </row>
    <row r="2947" spans="9:15" x14ac:dyDescent="0.25">
      <c r="I2947" s="268"/>
      <c r="O2947" s="268"/>
    </row>
    <row r="2948" spans="9:15" x14ac:dyDescent="0.25">
      <c r="I2948" s="268"/>
      <c r="O2948" s="268"/>
    </row>
    <row r="2949" spans="9:15" x14ac:dyDescent="0.25">
      <c r="I2949" s="268"/>
      <c r="O2949" s="268"/>
    </row>
    <row r="2950" spans="9:15" x14ac:dyDescent="0.25">
      <c r="I2950" s="268"/>
      <c r="O2950" s="268"/>
    </row>
    <row r="2951" spans="9:15" x14ac:dyDescent="0.25">
      <c r="I2951" s="268"/>
      <c r="O2951" s="268"/>
    </row>
    <row r="2952" spans="9:15" x14ac:dyDescent="0.25">
      <c r="I2952" s="268"/>
      <c r="O2952" s="268"/>
    </row>
    <row r="2953" spans="9:15" x14ac:dyDescent="0.25">
      <c r="I2953" s="268"/>
      <c r="O2953" s="268"/>
    </row>
    <row r="2954" spans="9:15" x14ac:dyDescent="0.25">
      <c r="I2954" s="268"/>
      <c r="O2954" s="268"/>
    </row>
    <row r="2955" spans="9:15" x14ac:dyDescent="0.25">
      <c r="I2955" s="268"/>
      <c r="O2955" s="268"/>
    </row>
    <row r="2956" spans="9:15" x14ac:dyDescent="0.25">
      <c r="I2956" s="268"/>
      <c r="O2956" s="268"/>
    </row>
    <row r="2957" spans="9:15" x14ac:dyDescent="0.25">
      <c r="I2957" s="268"/>
      <c r="O2957" s="268"/>
    </row>
    <row r="2958" spans="9:15" x14ac:dyDescent="0.25">
      <c r="I2958" s="268"/>
      <c r="O2958" s="268"/>
    </row>
    <row r="2959" spans="9:15" x14ac:dyDescent="0.25">
      <c r="I2959" s="268"/>
      <c r="O2959" s="268"/>
    </row>
    <row r="2960" spans="9:15" x14ac:dyDescent="0.25">
      <c r="I2960" s="268"/>
      <c r="O2960" s="268"/>
    </row>
    <row r="2961" spans="9:15" x14ac:dyDescent="0.25">
      <c r="I2961" s="268"/>
      <c r="O2961" s="268"/>
    </row>
    <row r="2962" spans="9:15" x14ac:dyDescent="0.25">
      <c r="I2962" s="268"/>
      <c r="O2962" s="268"/>
    </row>
    <row r="2963" spans="9:15" x14ac:dyDescent="0.25">
      <c r="I2963" s="268"/>
      <c r="O2963" s="268"/>
    </row>
    <row r="2964" spans="9:15" x14ac:dyDescent="0.25">
      <c r="I2964" s="268"/>
      <c r="O2964" s="268"/>
    </row>
    <row r="2965" spans="9:15" x14ac:dyDescent="0.25">
      <c r="I2965" s="268"/>
      <c r="O2965" s="268"/>
    </row>
    <row r="2966" spans="9:15" x14ac:dyDescent="0.25">
      <c r="I2966" s="268"/>
      <c r="O2966" s="268"/>
    </row>
    <row r="2967" spans="9:15" x14ac:dyDescent="0.25">
      <c r="I2967" s="268"/>
      <c r="O2967" s="268"/>
    </row>
    <row r="2968" spans="9:15" x14ac:dyDescent="0.25">
      <c r="I2968" s="268"/>
      <c r="O2968" s="268"/>
    </row>
    <row r="2969" spans="9:15" x14ac:dyDescent="0.25">
      <c r="I2969" s="268"/>
      <c r="O2969" s="268"/>
    </row>
    <row r="2970" spans="9:15" x14ac:dyDescent="0.25">
      <c r="I2970" s="268"/>
      <c r="O2970" s="268"/>
    </row>
    <row r="2971" spans="9:15" x14ac:dyDescent="0.25">
      <c r="I2971" s="268"/>
      <c r="O2971" s="268"/>
    </row>
    <row r="2972" spans="9:15" x14ac:dyDescent="0.25">
      <c r="I2972" s="268"/>
      <c r="O2972" s="268"/>
    </row>
    <row r="2973" spans="9:15" x14ac:dyDescent="0.25">
      <c r="I2973" s="268"/>
      <c r="O2973" s="268"/>
    </row>
    <row r="2974" spans="9:15" x14ac:dyDescent="0.25">
      <c r="I2974" s="268"/>
      <c r="O2974" s="268"/>
    </row>
    <row r="2975" spans="9:15" x14ac:dyDescent="0.25">
      <c r="I2975" s="268"/>
      <c r="O2975" s="268"/>
    </row>
    <row r="2976" spans="9:15" x14ac:dyDescent="0.25">
      <c r="I2976" s="268"/>
      <c r="O2976" s="268"/>
    </row>
    <row r="2977" spans="9:15" x14ac:dyDescent="0.25">
      <c r="I2977" s="268"/>
      <c r="O2977" s="268"/>
    </row>
    <row r="2978" spans="9:15" x14ac:dyDescent="0.25">
      <c r="I2978" s="268"/>
      <c r="O2978" s="268"/>
    </row>
    <row r="2979" spans="9:15" x14ac:dyDescent="0.25">
      <c r="I2979" s="268"/>
      <c r="O2979" s="268"/>
    </row>
    <row r="2980" spans="9:15" x14ac:dyDescent="0.25">
      <c r="I2980" s="268"/>
      <c r="O2980" s="268"/>
    </row>
    <row r="2981" spans="9:15" x14ac:dyDescent="0.25">
      <c r="I2981" s="268"/>
      <c r="O2981" s="268"/>
    </row>
    <row r="2982" spans="9:15" x14ac:dyDescent="0.25">
      <c r="I2982" s="268"/>
      <c r="O2982" s="268"/>
    </row>
    <row r="2983" spans="9:15" x14ac:dyDescent="0.25">
      <c r="I2983" s="268"/>
      <c r="O2983" s="268"/>
    </row>
    <row r="2984" spans="9:15" x14ac:dyDescent="0.25">
      <c r="I2984" s="268"/>
      <c r="O2984" s="268"/>
    </row>
    <row r="2985" spans="9:15" x14ac:dyDescent="0.25">
      <c r="I2985" s="268"/>
      <c r="O2985" s="268"/>
    </row>
    <row r="2986" spans="9:15" x14ac:dyDescent="0.25">
      <c r="I2986" s="268"/>
      <c r="O2986" s="268"/>
    </row>
    <row r="2987" spans="9:15" x14ac:dyDescent="0.25">
      <c r="I2987" s="268"/>
      <c r="O2987" s="268"/>
    </row>
    <row r="2988" spans="9:15" x14ac:dyDescent="0.25">
      <c r="I2988" s="268"/>
      <c r="O2988" s="268"/>
    </row>
    <row r="2989" spans="9:15" x14ac:dyDescent="0.25">
      <c r="I2989" s="268"/>
      <c r="O2989" s="268"/>
    </row>
    <row r="2990" spans="9:15" x14ac:dyDescent="0.25">
      <c r="I2990" s="268"/>
      <c r="O2990" s="268"/>
    </row>
    <row r="2991" spans="9:15" x14ac:dyDescent="0.25">
      <c r="I2991" s="268"/>
      <c r="O2991" s="268"/>
    </row>
    <row r="2992" spans="9:15" x14ac:dyDescent="0.25">
      <c r="I2992" s="268"/>
      <c r="O2992" s="268"/>
    </row>
    <row r="2993" spans="9:15" x14ac:dyDescent="0.25">
      <c r="I2993" s="268"/>
      <c r="O2993" s="268"/>
    </row>
    <row r="2994" spans="9:15" x14ac:dyDescent="0.25">
      <c r="I2994" s="268"/>
      <c r="O2994" s="268"/>
    </row>
    <row r="2995" spans="9:15" x14ac:dyDescent="0.25">
      <c r="I2995" s="268"/>
      <c r="O2995" s="268"/>
    </row>
    <row r="2996" spans="9:15" x14ac:dyDescent="0.25">
      <c r="I2996" s="268"/>
      <c r="O2996" s="268"/>
    </row>
    <row r="2997" spans="9:15" x14ac:dyDescent="0.25">
      <c r="I2997" s="268"/>
      <c r="O2997" s="268"/>
    </row>
    <row r="2998" spans="9:15" x14ac:dyDescent="0.25">
      <c r="I2998" s="268"/>
      <c r="O2998" s="268"/>
    </row>
    <row r="2999" spans="9:15" x14ac:dyDescent="0.25">
      <c r="I2999" s="268"/>
      <c r="O2999" s="268"/>
    </row>
    <row r="3000" spans="9:15" x14ac:dyDescent="0.25">
      <c r="I3000" s="268"/>
      <c r="O3000" s="268"/>
    </row>
    <row r="3001" spans="9:15" x14ac:dyDescent="0.25">
      <c r="I3001" s="268"/>
      <c r="O3001" s="268"/>
    </row>
    <row r="3002" spans="9:15" x14ac:dyDescent="0.25">
      <c r="I3002" s="268"/>
      <c r="O3002" s="268"/>
    </row>
    <row r="3003" spans="9:15" x14ac:dyDescent="0.25">
      <c r="I3003" s="268"/>
      <c r="O3003" s="268"/>
    </row>
    <row r="3004" spans="9:15" x14ac:dyDescent="0.25">
      <c r="I3004" s="268"/>
      <c r="O3004" s="268"/>
    </row>
    <row r="3005" spans="9:15" x14ac:dyDescent="0.25">
      <c r="I3005" s="268"/>
      <c r="O3005" s="268"/>
    </row>
    <row r="3006" spans="9:15" x14ac:dyDescent="0.25">
      <c r="I3006" s="268"/>
      <c r="O3006" s="268"/>
    </row>
    <row r="3007" spans="9:15" x14ac:dyDescent="0.25">
      <c r="I3007" s="268"/>
      <c r="O3007" s="268"/>
    </row>
    <row r="3008" spans="9:15" x14ac:dyDescent="0.25">
      <c r="I3008" s="268"/>
      <c r="O3008" s="268"/>
    </row>
    <row r="3009" spans="9:15" x14ac:dyDescent="0.25">
      <c r="I3009" s="268"/>
      <c r="O3009" s="268"/>
    </row>
    <row r="3010" spans="9:15" x14ac:dyDescent="0.25">
      <c r="I3010" s="268"/>
      <c r="O3010" s="268"/>
    </row>
    <row r="3011" spans="9:15" x14ac:dyDescent="0.25">
      <c r="I3011" s="268"/>
      <c r="O3011" s="268"/>
    </row>
    <row r="3012" spans="9:15" x14ac:dyDescent="0.25">
      <c r="I3012" s="268"/>
      <c r="O3012" s="268"/>
    </row>
    <row r="3013" spans="9:15" x14ac:dyDescent="0.25">
      <c r="I3013" s="268"/>
      <c r="O3013" s="268"/>
    </row>
    <row r="3014" spans="9:15" x14ac:dyDescent="0.25">
      <c r="I3014" s="268"/>
      <c r="O3014" s="268"/>
    </row>
    <row r="3015" spans="9:15" x14ac:dyDescent="0.25">
      <c r="I3015" s="268"/>
      <c r="O3015" s="268"/>
    </row>
    <row r="3016" spans="9:15" x14ac:dyDescent="0.25">
      <c r="I3016" s="268"/>
      <c r="O3016" s="268"/>
    </row>
    <row r="3017" spans="9:15" x14ac:dyDescent="0.25">
      <c r="I3017" s="268"/>
      <c r="O3017" s="268"/>
    </row>
    <row r="3018" spans="9:15" x14ac:dyDescent="0.25">
      <c r="I3018" s="268"/>
      <c r="O3018" s="268"/>
    </row>
    <row r="3019" spans="9:15" x14ac:dyDescent="0.25">
      <c r="I3019" s="268"/>
      <c r="O3019" s="268"/>
    </row>
    <row r="3020" spans="9:15" x14ac:dyDescent="0.25">
      <c r="I3020" s="268"/>
      <c r="O3020" s="268"/>
    </row>
    <row r="3021" spans="9:15" x14ac:dyDescent="0.25">
      <c r="I3021" s="268"/>
      <c r="O3021" s="268"/>
    </row>
    <row r="3022" spans="9:15" x14ac:dyDescent="0.25">
      <c r="I3022" s="268"/>
      <c r="O3022" s="268"/>
    </row>
    <row r="3023" spans="9:15" x14ac:dyDescent="0.25">
      <c r="I3023" s="268"/>
      <c r="O3023" s="268"/>
    </row>
    <row r="3024" spans="9:15" x14ac:dyDescent="0.25">
      <c r="I3024" s="268"/>
      <c r="O3024" s="268"/>
    </row>
    <row r="3025" spans="9:15" x14ac:dyDescent="0.25">
      <c r="I3025" s="268"/>
      <c r="O3025" s="268"/>
    </row>
    <row r="3026" spans="9:15" x14ac:dyDescent="0.25">
      <c r="I3026" s="268"/>
      <c r="O3026" s="268"/>
    </row>
    <row r="3027" spans="9:15" x14ac:dyDescent="0.25">
      <c r="I3027" s="268"/>
      <c r="O3027" s="268"/>
    </row>
    <row r="3028" spans="9:15" x14ac:dyDescent="0.25">
      <c r="I3028" s="268"/>
      <c r="O3028" s="268"/>
    </row>
    <row r="3029" spans="9:15" x14ac:dyDescent="0.25">
      <c r="I3029" s="268"/>
      <c r="O3029" s="268"/>
    </row>
    <row r="3030" spans="9:15" x14ac:dyDescent="0.25">
      <c r="I3030" s="268"/>
      <c r="O3030" s="268"/>
    </row>
    <row r="3031" spans="9:15" x14ac:dyDescent="0.25">
      <c r="I3031" s="268"/>
      <c r="O3031" s="268"/>
    </row>
    <row r="3032" spans="9:15" x14ac:dyDescent="0.25">
      <c r="I3032" s="268"/>
      <c r="O3032" s="268"/>
    </row>
    <row r="3033" spans="9:15" x14ac:dyDescent="0.25">
      <c r="I3033" s="268"/>
      <c r="O3033" s="268"/>
    </row>
    <row r="3034" spans="9:15" x14ac:dyDescent="0.25">
      <c r="I3034" s="268"/>
      <c r="O3034" s="268"/>
    </row>
    <row r="3035" spans="9:15" x14ac:dyDescent="0.25">
      <c r="I3035" s="268"/>
      <c r="O3035" s="268"/>
    </row>
    <row r="3036" spans="9:15" x14ac:dyDescent="0.25">
      <c r="I3036" s="268"/>
      <c r="O3036" s="268"/>
    </row>
    <row r="3037" spans="9:15" x14ac:dyDescent="0.25">
      <c r="I3037" s="268"/>
      <c r="O3037" s="268"/>
    </row>
    <row r="3038" spans="9:15" x14ac:dyDescent="0.25">
      <c r="I3038" s="268"/>
      <c r="O3038" s="268"/>
    </row>
    <row r="3039" spans="9:15" x14ac:dyDescent="0.25">
      <c r="I3039" s="268"/>
      <c r="O3039" s="268"/>
    </row>
    <row r="3040" spans="9:15" x14ac:dyDescent="0.25">
      <c r="I3040" s="268"/>
      <c r="O3040" s="268"/>
    </row>
    <row r="3041" spans="9:15" x14ac:dyDescent="0.25">
      <c r="I3041" s="268"/>
      <c r="O3041" s="268"/>
    </row>
    <row r="3042" spans="9:15" x14ac:dyDescent="0.25">
      <c r="I3042" s="268"/>
      <c r="O3042" s="268"/>
    </row>
    <row r="3043" spans="9:15" x14ac:dyDescent="0.25">
      <c r="I3043" s="268"/>
      <c r="O3043" s="268"/>
    </row>
    <row r="3044" spans="9:15" x14ac:dyDescent="0.25">
      <c r="I3044" s="268"/>
      <c r="O3044" s="268"/>
    </row>
    <row r="3045" spans="9:15" x14ac:dyDescent="0.25">
      <c r="I3045" s="268"/>
      <c r="O3045" s="268"/>
    </row>
    <row r="3046" spans="9:15" x14ac:dyDescent="0.25">
      <c r="I3046" s="268"/>
      <c r="O3046" s="268"/>
    </row>
    <row r="3047" spans="9:15" x14ac:dyDescent="0.25">
      <c r="I3047" s="268"/>
      <c r="O3047" s="268"/>
    </row>
    <row r="3048" spans="9:15" x14ac:dyDescent="0.25">
      <c r="I3048" s="268"/>
      <c r="O3048" s="268"/>
    </row>
    <row r="3049" spans="9:15" x14ac:dyDescent="0.25">
      <c r="I3049" s="268"/>
      <c r="O3049" s="268"/>
    </row>
    <row r="3050" spans="9:15" x14ac:dyDescent="0.25">
      <c r="I3050" s="268"/>
      <c r="O3050" s="268"/>
    </row>
    <row r="3051" spans="9:15" x14ac:dyDescent="0.25">
      <c r="I3051" s="268"/>
      <c r="O3051" s="268"/>
    </row>
    <row r="3052" spans="9:15" x14ac:dyDescent="0.25">
      <c r="I3052" s="268"/>
      <c r="O3052" s="268"/>
    </row>
    <row r="3053" spans="9:15" x14ac:dyDescent="0.25">
      <c r="I3053" s="268"/>
      <c r="O3053" s="268"/>
    </row>
    <row r="3054" spans="9:15" x14ac:dyDescent="0.25">
      <c r="I3054" s="268"/>
      <c r="O3054" s="268"/>
    </row>
    <row r="3055" spans="9:15" x14ac:dyDescent="0.25">
      <c r="I3055" s="268"/>
      <c r="O3055" s="268"/>
    </row>
    <row r="3056" spans="9:15" x14ac:dyDescent="0.25">
      <c r="I3056" s="268"/>
      <c r="O3056" s="268"/>
    </row>
    <row r="3057" spans="9:15" x14ac:dyDescent="0.25">
      <c r="I3057" s="268"/>
      <c r="O3057" s="268"/>
    </row>
    <row r="3058" spans="9:15" x14ac:dyDescent="0.25">
      <c r="I3058" s="268"/>
      <c r="O3058" s="268"/>
    </row>
    <row r="3059" spans="9:15" x14ac:dyDescent="0.25">
      <c r="I3059" s="268"/>
      <c r="O3059" s="268"/>
    </row>
    <row r="3060" spans="9:15" x14ac:dyDescent="0.25">
      <c r="I3060" s="268"/>
      <c r="O3060" s="268"/>
    </row>
    <row r="3061" spans="9:15" x14ac:dyDescent="0.25">
      <c r="I3061" s="268"/>
      <c r="O3061" s="268"/>
    </row>
    <row r="3062" spans="9:15" x14ac:dyDescent="0.25">
      <c r="I3062" s="268"/>
      <c r="O3062" s="268"/>
    </row>
    <row r="3063" spans="9:15" x14ac:dyDescent="0.25">
      <c r="I3063" s="268"/>
      <c r="O3063" s="268"/>
    </row>
    <row r="3064" spans="9:15" x14ac:dyDescent="0.25">
      <c r="I3064" s="268"/>
      <c r="O3064" s="268"/>
    </row>
    <row r="3065" spans="9:15" x14ac:dyDescent="0.25">
      <c r="I3065" s="268"/>
      <c r="O3065" s="268"/>
    </row>
    <row r="3066" spans="9:15" x14ac:dyDescent="0.25">
      <c r="I3066" s="268"/>
      <c r="O3066" s="268"/>
    </row>
    <row r="3067" spans="9:15" x14ac:dyDescent="0.25">
      <c r="I3067" s="268"/>
      <c r="O3067" s="268"/>
    </row>
    <row r="3068" spans="9:15" x14ac:dyDescent="0.25">
      <c r="I3068" s="268"/>
      <c r="O3068" s="268"/>
    </row>
    <row r="3069" spans="9:15" x14ac:dyDescent="0.25">
      <c r="I3069" s="268"/>
      <c r="O3069" s="268"/>
    </row>
    <row r="3070" spans="9:15" x14ac:dyDescent="0.25">
      <c r="I3070" s="268"/>
      <c r="O3070" s="268"/>
    </row>
    <row r="3071" spans="9:15" x14ac:dyDescent="0.25">
      <c r="I3071" s="268"/>
      <c r="O3071" s="268"/>
    </row>
    <row r="3072" spans="9:15" x14ac:dyDescent="0.25">
      <c r="I3072" s="268"/>
      <c r="O3072" s="268"/>
    </row>
    <row r="3073" spans="9:15" x14ac:dyDescent="0.25">
      <c r="I3073" s="268"/>
      <c r="O3073" s="268"/>
    </row>
    <row r="3074" spans="9:15" x14ac:dyDescent="0.25">
      <c r="I3074" s="268"/>
      <c r="O3074" s="268"/>
    </row>
    <row r="3075" spans="9:15" x14ac:dyDescent="0.25">
      <c r="I3075" s="268"/>
      <c r="O3075" s="268"/>
    </row>
    <row r="3076" spans="9:15" x14ac:dyDescent="0.25">
      <c r="I3076" s="268"/>
      <c r="O3076" s="268"/>
    </row>
    <row r="3077" spans="9:15" x14ac:dyDescent="0.25">
      <c r="I3077" s="268"/>
      <c r="O3077" s="268"/>
    </row>
    <row r="3078" spans="9:15" x14ac:dyDescent="0.25">
      <c r="I3078" s="268"/>
      <c r="O3078" s="268"/>
    </row>
    <row r="3079" spans="9:15" x14ac:dyDescent="0.25">
      <c r="I3079" s="268"/>
      <c r="O3079" s="268"/>
    </row>
    <row r="3080" spans="9:15" x14ac:dyDescent="0.25">
      <c r="I3080" s="268"/>
      <c r="O3080" s="268"/>
    </row>
    <row r="3081" spans="9:15" x14ac:dyDescent="0.25">
      <c r="I3081" s="268"/>
      <c r="O3081" s="268"/>
    </row>
    <row r="3082" spans="9:15" x14ac:dyDescent="0.25">
      <c r="I3082" s="268"/>
      <c r="O3082" s="268"/>
    </row>
    <row r="3083" spans="9:15" x14ac:dyDescent="0.25">
      <c r="I3083" s="268"/>
      <c r="O3083" s="268"/>
    </row>
    <row r="3084" spans="9:15" x14ac:dyDescent="0.25">
      <c r="I3084" s="268"/>
      <c r="O3084" s="268"/>
    </row>
    <row r="3085" spans="9:15" x14ac:dyDescent="0.25">
      <c r="I3085" s="268"/>
      <c r="O3085" s="268"/>
    </row>
    <row r="3086" spans="9:15" x14ac:dyDescent="0.25">
      <c r="I3086" s="268"/>
      <c r="O3086" s="268"/>
    </row>
    <row r="3087" spans="9:15" x14ac:dyDescent="0.25">
      <c r="I3087" s="268"/>
      <c r="O3087" s="268"/>
    </row>
    <row r="3088" spans="9:15" x14ac:dyDescent="0.25">
      <c r="I3088" s="268"/>
      <c r="O3088" s="268"/>
    </row>
    <row r="3089" spans="9:15" x14ac:dyDescent="0.25">
      <c r="I3089" s="268"/>
      <c r="O3089" s="268"/>
    </row>
    <row r="3090" spans="9:15" x14ac:dyDescent="0.25">
      <c r="I3090" s="268"/>
      <c r="O3090" s="268"/>
    </row>
    <row r="3091" spans="9:15" x14ac:dyDescent="0.25">
      <c r="I3091" s="268"/>
      <c r="O3091" s="268"/>
    </row>
    <row r="3092" spans="9:15" x14ac:dyDescent="0.25">
      <c r="I3092" s="268"/>
      <c r="O3092" s="268"/>
    </row>
    <row r="3093" spans="9:15" x14ac:dyDescent="0.25">
      <c r="I3093" s="268"/>
      <c r="O3093" s="268"/>
    </row>
    <row r="3094" spans="9:15" x14ac:dyDescent="0.25">
      <c r="I3094" s="268"/>
      <c r="O3094" s="268"/>
    </row>
    <row r="3095" spans="9:15" x14ac:dyDescent="0.25">
      <c r="I3095" s="268"/>
      <c r="O3095" s="268"/>
    </row>
    <row r="3096" spans="9:15" x14ac:dyDescent="0.25">
      <c r="I3096" s="268"/>
      <c r="O3096" s="268"/>
    </row>
    <row r="3097" spans="9:15" x14ac:dyDescent="0.25">
      <c r="I3097" s="268"/>
      <c r="O3097" s="268"/>
    </row>
    <row r="3098" spans="9:15" x14ac:dyDescent="0.25">
      <c r="I3098" s="268"/>
      <c r="O3098" s="268"/>
    </row>
    <row r="3099" spans="9:15" x14ac:dyDescent="0.25">
      <c r="I3099" s="268"/>
      <c r="O3099" s="268"/>
    </row>
    <row r="3100" spans="9:15" x14ac:dyDescent="0.25">
      <c r="I3100" s="268"/>
      <c r="O3100" s="268"/>
    </row>
    <row r="3101" spans="9:15" x14ac:dyDescent="0.25">
      <c r="I3101" s="268"/>
      <c r="O3101" s="268"/>
    </row>
    <row r="3102" spans="9:15" x14ac:dyDescent="0.25">
      <c r="I3102" s="268"/>
      <c r="O3102" s="268"/>
    </row>
    <row r="3103" spans="9:15" x14ac:dyDescent="0.25">
      <c r="I3103" s="268"/>
      <c r="O3103" s="268"/>
    </row>
    <row r="3104" spans="9:15" x14ac:dyDescent="0.25">
      <c r="I3104" s="268"/>
      <c r="O3104" s="268"/>
    </row>
    <row r="3105" spans="9:15" x14ac:dyDescent="0.25">
      <c r="I3105" s="268"/>
      <c r="O3105" s="268"/>
    </row>
    <row r="3106" spans="9:15" x14ac:dyDescent="0.25">
      <c r="I3106" s="268"/>
      <c r="O3106" s="268"/>
    </row>
    <row r="3107" spans="9:15" x14ac:dyDescent="0.25">
      <c r="I3107" s="268"/>
      <c r="O3107" s="268"/>
    </row>
    <row r="3108" spans="9:15" x14ac:dyDescent="0.25">
      <c r="I3108" s="268"/>
      <c r="O3108" s="268"/>
    </row>
    <row r="3109" spans="9:15" x14ac:dyDescent="0.25">
      <c r="I3109" s="268"/>
      <c r="O3109" s="268"/>
    </row>
    <row r="3110" spans="9:15" x14ac:dyDescent="0.25">
      <c r="I3110" s="268"/>
      <c r="O3110" s="268"/>
    </row>
    <row r="3111" spans="9:15" x14ac:dyDescent="0.25">
      <c r="I3111" s="268"/>
      <c r="O3111" s="268"/>
    </row>
    <row r="3112" spans="9:15" x14ac:dyDescent="0.25">
      <c r="I3112" s="268"/>
      <c r="O3112" s="268"/>
    </row>
    <row r="3113" spans="9:15" x14ac:dyDescent="0.25">
      <c r="I3113" s="268"/>
      <c r="O3113" s="268"/>
    </row>
    <row r="3114" spans="9:15" x14ac:dyDescent="0.25">
      <c r="I3114" s="268"/>
      <c r="O3114" s="268"/>
    </row>
    <row r="3115" spans="9:15" x14ac:dyDescent="0.25">
      <c r="I3115" s="268"/>
      <c r="O3115" s="268"/>
    </row>
    <row r="3116" spans="9:15" x14ac:dyDescent="0.25">
      <c r="I3116" s="268"/>
      <c r="O3116" s="268"/>
    </row>
    <row r="3117" spans="9:15" x14ac:dyDescent="0.25">
      <c r="I3117" s="268"/>
      <c r="O3117" s="268"/>
    </row>
    <row r="3118" spans="9:15" x14ac:dyDescent="0.25">
      <c r="I3118" s="268"/>
      <c r="O3118" s="268"/>
    </row>
    <row r="3119" spans="9:15" x14ac:dyDescent="0.25">
      <c r="I3119" s="268"/>
      <c r="O3119" s="268"/>
    </row>
    <row r="3120" spans="9:15" x14ac:dyDescent="0.25">
      <c r="I3120" s="268"/>
      <c r="O3120" s="268"/>
    </row>
    <row r="3121" spans="9:15" x14ac:dyDescent="0.25">
      <c r="I3121" s="268"/>
      <c r="O3121" s="268"/>
    </row>
    <row r="3122" spans="9:15" x14ac:dyDescent="0.25">
      <c r="I3122" s="268"/>
      <c r="O3122" s="268"/>
    </row>
    <row r="3123" spans="9:15" x14ac:dyDescent="0.25">
      <c r="I3123" s="268"/>
      <c r="O3123" s="268"/>
    </row>
    <row r="3124" spans="9:15" x14ac:dyDescent="0.25">
      <c r="I3124" s="268"/>
      <c r="O3124" s="268"/>
    </row>
    <row r="3125" spans="9:15" x14ac:dyDescent="0.25">
      <c r="I3125" s="268"/>
      <c r="O3125" s="268"/>
    </row>
    <row r="3126" spans="9:15" x14ac:dyDescent="0.25">
      <c r="I3126" s="268"/>
      <c r="O3126" s="268"/>
    </row>
    <row r="3127" spans="9:15" x14ac:dyDescent="0.25">
      <c r="I3127" s="268"/>
      <c r="O3127" s="268"/>
    </row>
    <row r="3128" spans="9:15" x14ac:dyDescent="0.25">
      <c r="I3128" s="268"/>
      <c r="O3128" s="268"/>
    </row>
    <row r="3129" spans="9:15" x14ac:dyDescent="0.25">
      <c r="I3129" s="268"/>
      <c r="O3129" s="268"/>
    </row>
    <row r="3130" spans="9:15" x14ac:dyDescent="0.25">
      <c r="I3130" s="268"/>
      <c r="O3130" s="268"/>
    </row>
    <row r="3131" spans="9:15" x14ac:dyDescent="0.25">
      <c r="I3131" s="268"/>
      <c r="O3131" s="268"/>
    </row>
    <row r="3132" spans="9:15" x14ac:dyDescent="0.25">
      <c r="I3132" s="268"/>
      <c r="O3132" s="268"/>
    </row>
    <row r="3133" spans="9:15" x14ac:dyDescent="0.25">
      <c r="I3133" s="268"/>
      <c r="O3133" s="268"/>
    </row>
    <row r="3134" spans="9:15" x14ac:dyDescent="0.25">
      <c r="I3134" s="268"/>
      <c r="O3134" s="268"/>
    </row>
    <row r="3135" spans="9:15" x14ac:dyDescent="0.25">
      <c r="I3135" s="268"/>
      <c r="O3135" s="268"/>
    </row>
    <row r="3136" spans="9:15" x14ac:dyDescent="0.25">
      <c r="I3136" s="268"/>
      <c r="O3136" s="268"/>
    </row>
    <row r="3137" spans="9:15" x14ac:dyDescent="0.25">
      <c r="I3137" s="268"/>
      <c r="O3137" s="268"/>
    </row>
    <row r="3138" spans="9:15" x14ac:dyDescent="0.25">
      <c r="I3138" s="268"/>
      <c r="O3138" s="268"/>
    </row>
    <row r="3139" spans="9:15" x14ac:dyDescent="0.25">
      <c r="I3139" s="268"/>
      <c r="O3139" s="268"/>
    </row>
    <row r="3140" spans="9:15" x14ac:dyDescent="0.25">
      <c r="I3140" s="268"/>
      <c r="O3140" s="268"/>
    </row>
    <row r="3141" spans="9:15" x14ac:dyDescent="0.25">
      <c r="I3141" s="268"/>
      <c r="O3141" s="268"/>
    </row>
    <row r="3142" spans="9:15" x14ac:dyDescent="0.25">
      <c r="I3142" s="268"/>
      <c r="O3142" s="268"/>
    </row>
    <row r="3143" spans="9:15" x14ac:dyDescent="0.25">
      <c r="I3143" s="268"/>
      <c r="O3143" s="268"/>
    </row>
    <row r="3144" spans="9:15" x14ac:dyDescent="0.25">
      <c r="I3144" s="268"/>
      <c r="O3144" s="268"/>
    </row>
    <row r="3145" spans="9:15" x14ac:dyDescent="0.25">
      <c r="I3145" s="268"/>
      <c r="O3145" s="268"/>
    </row>
    <row r="3146" spans="9:15" x14ac:dyDescent="0.25">
      <c r="I3146" s="268"/>
      <c r="O3146" s="268"/>
    </row>
    <row r="3147" spans="9:15" x14ac:dyDescent="0.25">
      <c r="I3147" s="268"/>
      <c r="O3147" s="268"/>
    </row>
    <row r="3148" spans="9:15" x14ac:dyDescent="0.25">
      <c r="I3148" s="268"/>
      <c r="O3148" s="268"/>
    </row>
    <row r="3149" spans="9:15" x14ac:dyDescent="0.25">
      <c r="I3149" s="268"/>
      <c r="O3149" s="268"/>
    </row>
    <row r="3150" spans="9:15" x14ac:dyDescent="0.25">
      <c r="I3150" s="268"/>
      <c r="O3150" s="268"/>
    </row>
    <row r="3151" spans="9:15" x14ac:dyDescent="0.25">
      <c r="I3151" s="268"/>
      <c r="O3151" s="268"/>
    </row>
    <row r="3152" spans="9:15" x14ac:dyDescent="0.25">
      <c r="I3152" s="268"/>
      <c r="O3152" s="268"/>
    </row>
    <row r="3153" spans="9:15" x14ac:dyDescent="0.25">
      <c r="I3153" s="268"/>
      <c r="O3153" s="268"/>
    </row>
    <row r="3154" spans="9:15" x14ac:dyDescent="0.25">
      <c r="I3154" s="268"/>
      <c r="O3154" s="268"/>
    </row>
    <row r="3155" spans="9:15" x14ac:dyDescent="0.25">
      <c r="I3155" s="268"/>
      <c r="O3155" s="268"/>
    </row>
    <row r="3156" spans="9:15" x14ac:dyDescent="0.25">
      <c r="I3156" s="268"/>
      <c r="O3156" s="268"/>
    </row>
    <row r="3157" spans="9:15" x14ac:dyDescent="0.25">
      <c r="I3157" s="268"/>
      <c r="O3157" s="268"/>
    </row>
    <row r="3158" spans="9:15" x14ac:dyDescent="0.25">
      <c r="I3158" s="268"/>
      <c r="O3158" s="268"/>
    </row>
    <row r="3159" spans="9:15" x14ac:dyDescent="0.25">
      <c r="I3159" s="268"/>
      <c r="O3159" s="268"/>
    </row>
    <row r="3160" spans="9:15" x14ac:dyDescent="0.25">
      <c r="I3160" s="268"/>
      <c r="O3160" s="268"/>
    </row>
    <row r="3161" spans="9:15" x14ac:dyDescent="0.25">
      <c r="I3161" s="268"/>
      <c r="O3161" s="268"/>
    </row>
    <row r="3162" spans="9:15" x14ac:dyDescent="0.25">
      <c r="I3162" s="268"/>
      <c r="O3162" s="268"/>
    </row>
    <row r="3163" spans="9:15" x14ac:dyDescent="0.25">
      <c r="I3163" s="268"/>
      <c r="O3163" s="268"/>
    </row>
    <row r="3164" spans="9:15" x14ac:dyDescent="0.25">
      <c r="I3164" s="268"/>
      <c r="O3164" s="268"/>
    </row>
    <row r="3165" spans="9:15" x14ac:dyDescent="0.25">
      <c r="I3165" s="268"/>
      <c r="O3165" s="268"/>
    </row>
    <row r="3166" spans="9:15" x14ac:dyDescent="0.25">
      <c r="I3166" s="268"/>
      <c r="O3166" s="268"/>
    </row>
    <row r="3167" spans="9:15" x14ac:dyDescent="0.25">
      <c r="I3167" s="268"/>
      <c r="O3167" s="268"/>
    </row>
    <row r="3168" spans="9:15" x14ac:dyDescent="0.25">
      <c r="I3168" s="268"/>
      <c r="O3168" s="268"/>
    </row>
    <row r="3169" spans="9:15" x14ac:dyDescent="0.25">
      <c r="I3169" s="268"/>
      <c r="O3169" s="268"/>
    </row>
    <row r="3170" spans="9:15" x14ac:dyDescent="0.25">
      <c r="I3170" s="268"/>
      <c r="O3170" s="268"/>
    </row>
    <row r="3171" spans="9:15" x14ac:dyDescent="0.25">
      <c r="I3171" s="268"/>
      <c r="O3171" s="268"/>
    </row>
    <row r="3172" spans="9:15" x14ac:dyDescent="0.25">
      <c r="I3172" s="268"/>
      <c r="O3172" s="268"/>
    </row>
    <row r="3173" spans="9:15" x14ac:dyDescent="0.25">
      <c r="I3173" s="268"/>
      <c r="O3173" s="268"/>
    </row>
    <row r="3174" spans="9:15" x14ac:dyDescent="0.25">
      <c r="I3174" s="268"/>
      <c r="O3174" s="268"/>
    </row>
    <row r="3175" spans="9:15" x14ac:dyDescent="0.25">
      <c r="I3175" s="268"/>
      <c r="O3175" s="268"/>
    </row>
    <row r="3176" spans="9:15" x14ac:dyDescent="0.25">
      <c r="I3176" s="268"/>
      <c r="O3176" s="268"/>
    </row>
    <row r="3177" spans="9:15" x14ac:dyDescent="0.25">
      <c r="I3177" s="268"/>
      <c r="O3177" s="268"/>
    </row>
    <row r="3178" spans="9:15" x14ac:dyDescent="0.25">
      <c r="I3178" s="268"/>
      <c r="O3178" s="268"/>
    </row>
    <row r="3179" spans="9:15" x14ac:dyDescent="0.25">
      <c r="I3179" s="268"/>
      <c r="O3179" s="268"/>
    </row>
    <row r="3180" spans="9:15" x14ac:dyDescent="0.25">
      <c r="I3180" s="268"/>
      <c r="O3180" s="268"/>
    </row>
    <row r="3181" spans="9:15" x14ac:dyDescent="0.25">
      <c r="I3181" s="268"/>
      <c r="O3181" s="268"/>
    </row>
    <row r="3182" spans="9:15" x14ac:dyDescent="0.25">
      <c r="I3182" s="268"/>
      <c r="O3182" s="268"/>
    </row>
    <row r="3183" spans="9:15" x14ac:dyDescent="0.25">
      <c r="I3183" s="268"/>
      <c r="O3183" s="268"/>
    </row>
    <row r="3184" spans="9:15" x14ac:dyDescent="0.25">
      <c r="I3184" s="268"/>
      <c r="O3184" s="268"/>
    </row>
    <row r="3185" spans="9:15" x14ac:dyDescent="0.25">
      <c r="I3185" s="268"/>
      <c r="O3185" s="268"/>
    </row>
    <row r="3186" spans="9:15" x14ac:dyDescent="0.25">
      <c r="I3186" s="268"/>
      <c r="O3186" s="268"/>
    </row>
    <row r="3187" spans="9:15" x14ac:dyDescent="0.25">
      <c r="I3187" s="268"/>
      <c r="O3187" s="268"/>
    </row>
    <row r="3188" spans="9:15" x14ac:dyDescent="0.25">
      <c r="I3188" s="268"/>
      <c r="O3188" s="268"/>
    </row>
    <row r="3189" spans="9:15" x14ac:dyDescent="0.25">
      <c r="I3189" s="268"/>
      <c r="O3189" s="268"/>
    </row>
    <row r="3190" spans="9:15" x14ac:dyDescent="0.25">
      <c r="I3190" s="268"/>
      <c r="O3190" s="268"/>
    </row>
    <row r="3191" spans="9:15" x14ac:dyDescent="0.25">
      <c r="I3191" s="268"/>
      <c r="O3191" s="268"/>
    </row>
    <row r="3192" spans="9:15" x14ac:dyDescent="0.25">
      <c r="I3192" s="268"/>
      <c r="O3192" s="268"/>
    </row>
    <row r="3193" spans="9:15" x14ac:dyDescent="0.25">
      <c r="I3193" s="268"/>
      <c r="O3193" s="268"/>
    </row>
    <row r="3194" spans="9:15" x14ac:dyDescent="0.25">
      <c r="I3194" s="268"/>
      <c r="O3194" s="268"/>
    </row>
    <row r="3195" spans="9:15" x14ac:dyDescent="0.25">
      <c r="I3195" s="268"/>
      <c r="O3195" s="268"/>
    </row>
    <row r="3196" spans="9:15" x14ac:dyDescent="0.25">
      <c r="I3196" s="268"/>
      <c r="O3196" s="268"/>
    </row>
    <row r="3197" spans="9:15" x14ac:dyDescent="0.25">
      <c r="I3197" s="268"/>
      <c r="O3197" s="268"/>
    </row>
    <row r="3198" spans="9:15" x14ac:dyDescent="0.25">
      <c r="I3198" s="268"/>
      <c r="O3198" s="268"/>
    </row>
    <row r="3199" spans="9:15" x14ac:dyDescent="0.25">
      <c r="I3199" s="268"/>
      <c r="O3199" s="268"/>
    </row>
    <row r="3200" spans="9:15" x14ac:dyDescent="0.25">
      <c r="I3200" s="268"/>
      <c r="O3200" s="268"/>
    </row>
    <row r="3201" spans="9:15" x14ac:dyDescent="0.25">
      <c r="I3201" s="268"/>
      <c r="O3201" s="268"/>
    </row>
    <row r="3202" spans="9:15" x14ac:dyDescent="0.25">
      <c r="I3202" s="268"/>
      <c r="O3202" s="268"/>
    </row>
    <row r="3203" spans="9:15" x14ac:dyDescent="0.25">
      <c r="I3203" s="268"/>
      <c r="O3203" s="268"/>
    </row>
    <row r="3204" spans="9:15" x14ac:dyDescent="0.25">
      <c r="I3204" s="268"/>
      <c r="O3204" s="268"/>
    </row>
    <row r="3205" spans="9:15" x14ac:dyDescent="0.25">
      <c r="I3205" s="268"/>
      <c r="O3205" s="268"/>
    </row>
    <row r="3206" spans="9:15" x14ac:dyDescent="0.25">
      <c r="I3206" s="268"/>
      <c r="O3206" s="268"/>
    </row>
    <row r="3207" spans="9:15" x14ac:dyDescent="0.25">
      <c r="I3207" s="268"/>
      <c r="O3207" s="268"/>
    </row>
    <row r="3208" spans="9:15" x14ac:dyDescent="0.25">
      <c r="I3208" s="268"/>
      <c r="O3208" s="268"/>
    </row>
    <row r="3209" spans="9:15" x14ac:dyDescent="0.25">
      <c r="I3209" s="268"/>
      <c r="O3209" s="268"/>
    </row>
    <row r="3210" spans="9:15" x14ac:dyDescent="0.25">
      <c r="I3210" s="268"/>
      <c r="O3210" s="268"/>
    </row>
    <row r="3211" spans="9:15" x14ac:dyDescent="0.25">
      <c r="I3211" s="268"/>
      <c r="O3211" s="268"/>
    </row>
    <row r="3212" spans="9:15" x14ac:dyDescent="0.25">
      <c r="I3212" s="268"/>
      <c r="O3212" s="268"/>
    </row>
    <row r="3213" spans="9:15" x14ac:dyDescent="0.25">
      <c r="I3213" s="268"/>
      <c r="O3213" s="268"/>
    </row>
    <row r="3214" spans="9:15" x14ac:dyDescent="0.25">
      <c r="I3214" s="268"/>
      <c r="O3214" s="268"/>
    </row>
    <row r="3215" spans="9:15" x14ac:dyDescent="0.25">
      <c r="I3215" s="268"/>
      <c r="O3215" s="268"/>
    </row>
    <row r="3216" spans="9:15" x14ac:dyDescent="0.25">
      <c r="I3216" s="268"/>
      <c r="O3216" s="268"/>
    </row>
    <row r="3217" spans="9:15" x14ac:dyDescent="0.25">
      <c r="I3217" s="268"/>
      <c r="O3217" s="268"/>
    </row>
    <row r="3218" spans="9:15" x14ac:dyDescent="0.25">
      <c r="I3218" s="268"/>
      <c r="O3218" s="268"/>
    </row>
    <row r="3219" spans="9:15" x14ac:dyDescent="0.25">
      <c r="I3219" s="268"/>
      <c r="O3219" s="268"/>
    </row>
    <row r="3220" spans="9:15" x14ac:dyDescent="0.25">
      <c r="I3220" s="268"/>
      <c r="O3220" s="268"/>
    </row>
    <row r="3221" spans="9:15" x14ac:dyDescent="0.25">
      <c r="I3221" s="268"/>
      <c r="O3221" s="268"/>
    </row>
    <row r="3222" spans="9:15" x14ac:dyDescent="0.25">
      <c r="I3222" s="268"/>
      <c r="O3222" s="268"/>
    </row>
    <row r="3223" spans="9:15" x14ac:dyDescent="0.25">
      <c r="I3223" s="268"/>
      <c r="O3223" s="268"/>
    </row>
    <row r="3224" spans="9:15" x14ac:dyDescent="0.25">
      <c r="I3224" s="268"/>
      <c r="O3224" s="268"/>
    </row>
    <row r="3225" spans="9:15" x14ac:dyDescent="0.25">
      <c r="I3225" s="268"/>
      <c r="O3225" s="268"/>
    </row>
    <row r="3226" spans="9:15" x14ac:dyDescent="0.25">
      <c r="I3226" s="268"/>
      <c r="O3226" s="268"/>
    </row>
    <row r="3227" spans="9:15" x14ac:dyDescent="0.25">
      <c r="I3227" s="268"/>
      <c r="O3227" s="268"/>
    </row>
    <row r="3228" spans="9:15" x14ac:dyDescent="0.25">
      <c r="I3228" s="268"/>
      <c r="O3228" s="268"/>
    </row>
    <row r="3229" spans="9:15" x14ac:dyDescent="0.25">
      <c r="I3229" s="268"/>
      <c r="O3229" s="268"/>
    </row>
    <row r="3230" spans="9:15" x14ac:dyDescent="0.25">
      <c r="I3230" s="268"/>
      <c r="O3230" s="268"/>
    </row>
    <row r="3231" spans="9:15" x14ac:dyDescent="0.25">
      <c r="I3231" s="268"/>
      <c r="O3231" s="268"/>
    </row>
    <row r="3232" spans="9:15" x14ac:dyDescent="0.25">
      <c r="I3232" s="268"/>
      <c r="O3232" s="268"/>
    </row>
    <row r="3233" spans="9:15" x14ac:dyDescent="0.25">
      <c r="I3233" s="268"/>
      <c r="O3233" s="268"/>
    </row>
    <row r="3234" spans="9:15" x14ac:dyDescent="0.25">
      <c r="I3234" s="268"/>
      <c r="O3234" s="268"/>
    </row>
    <row r="3235" spans="9:15" x14ac:dyDescent="0.25">
      <c r="I3235" s="268"/>
      <c r="O3235" s="268"/>
    </row>
    <row r="3236" spans="9:15" x14ac:dyDescent="0.25">
      <c r="I3236" s="268"/>
      <c r="O3236" s="268"/>
    </row>
    <row r="3237" spans="9:15" x14ac:dyDescent="0.25">
      <c r="I3237" s="268"/>
      <c r="O3237" s="268"/>
    </row>
    <row r="3238" spans="9:15" x14ac:dyDescent="0.25">
      <c r="I3238" s="268"/>
      <c r="O3238" s="268"/>
    </row>
    <row r="3239" spans="9:15" x14ac:dyDescent="0.25">
      <c r="I3239" s="268"/>
      <c r="O3239" s="268"/>
    </row>
    <row r="3240" spans="9:15" x14ac:dyDescent="0.25">
      <c r="I3240" s="268"/>
      <c r="O3240" s="268"/>
    </row>
    <row r="3241" spans="9:15" x14ac:dyDescent="0.25">
      <c r="I3241" s="268"/>
      <c r="O3241" s="268"/>
    </row>
    <row r="3242" spans="9:15" x14ac:dyDescent="0.25">
      <c r="I3242" s="268"/>
      <c r="O3242" s="268"/>
    </row>
    <row r="3243" spans="9:15" x14ac:dyDescent="0.25">
      <c r="I3243" s="268"/>
      <c r="O3243" s="268"/>
    </row>
    <row r="3244" spans="9:15" x14ac:dyDescent="0.25">
      <c r="I3244" s="268"/>
      <c r="O3244" s="268"/>
    </row>
    <row r="3245" spans="9:15" x14ac:dyDescent="0.25">
      <c r="I3245" s="268"/>
      <c r="O3245" s="268"/>
    </row>
    <row r="3246" spans="9:15" x14ac:dyDescent="0.25">
      <c r="I3246" s="268"/>
      <c r="O3246" s="268"/>
    </row>
    <row r="3247" spans="9:15" x14ac:dyDescent="0.25">
      <c r="I3247" s="268"/>
      <c r="O3247" s="268"/>
    </row>
    <row r="3248" spans="9:15" x14ac:dyDescent="0.25">
      <c r="I3248" s="268"/>
      <c r="O3248" s="268"/>
    </row>
    <row r="3249" spans="9:15" x14ac:dyDescent="0.25">
      <c r="I3249" s="268"/>
      <c r="O3249" s="268"/>
    </row>
    <row r="3250" spans="9:15" x14ac:dyDescent="0.25">
      <c r="I3250" s="268"/>
      <c r="O3250" s="268"/>
    </row>
    <row r="3251" spans="9:15" x14ac:dyDescent="0.25">
      <c r="I3251" s="268"/>
      <c r="O3251" s="268"/>
    </row>
    <row r="3252" spans="9:15" x14ac:dyDescent="0.25">
      <c r="I3252" s="268"/>
      <c r="O3252" s="268"/>
    </row>
    <row r="3253" spans="9:15" x14ac:dyDescent="0.25">
      <c r="I3253" s="268"/>
      <c r="O3253" s="268"/>
    </row>
    <row r="3254" spans="9:15" x14ac:dyDescent="0.25">
      <c r="I3254" s="268"/>
      <c r="O3254" s="268"/>
    </row>
    <row r="3255" spans="9:15" x14ac:dyDescent="0.25">
      <c r="I3255" s="268"/>
      <c r="O3255" s="268"/>
    </row>
    <row r="3256" spans="9:15" x14ac:dyDescent="0.25">
      <c r="I3256" s="268"/>
      <c r="O3256" s="268"/>
    </row>
    <row r="3257" spans="9:15" x14ac:dyDescent="0.25">
      <c r="I3257" s="268"/>
      <c r="O3257" s="268"/>
    </row>
    <row r="3258" spans="9:15" x14ac:dyDescent="0.25">
      <c r="I3258" s="268"/>
      <c r="O3258" s="268"/>
    </row>
    <row r="3259" spans="9:15" x14ac:dyDescent="0.25">
      <c r="I3259" s="268"/>
      <c r="O3259" s="268"/>
    </row>
    <row r="3260" spans="9:15" x14ac:dyDescent="0.25">
      <c r="I3260" s="268"/>
      <c r="O3260" s="268"/>
    </row>
    <row r="3261" spans="9:15" x14ac:dyDescent="0.25">
      <c r="I3261" s="268"/>
      <c r="O3261" s="268"/>
    </row>
    <row r="3262" spans="9:15" x14ac:dyDescent="0.25">
      <c r="I3262" s="268"/>
      <c r="O3262" s="268"/>
    </row>
    <row r="3263" spans="9:15" x14ac:dyDescent="0.25">
      <c r="I3263" s="268"/>
      <c r="O3263" s="268"/>
    </row>
    <row r="3264" spans="9:15" x14ac:dyDescent="0.25">
      <c r="I3264" s="268"/>
      <c r="O3264" s="268"/>
    </row>
    <row r="3265" spans="9:15" x14ac:dyDescent="0.25">
      <c r="I3265" s="268"/>
      <c r="O3265" s="268"/>
    </row>
    <row r="3266" spans="9:15" x14ac:dyDescent="0.25">
      <c r="I3266" s="268"/>
      <c r="O3266" s="268"/>
    </row>
    <row r="3267" spans="9:15" x14ac:dyDescent="0.25">
      <c r="I3267" s="268"/>
      <c r="O3267" s="268"/>
    </row>
    <row r="3268" spans="9:15" x14ac:dyDescent="0.25">
      <c r="I3268" s="268"/>
      <c r="O3268" s="268"/>
    </row>
    <row r="3269" spans="9:15" x14ac:dyDescent="0.25">
      <c r="I3269" s="268"/>
      <c r="O3269" s="268"/>
    </row>
    <row r="3270" spans="9:15" x14ac:dyDescent="0.25">
      <c r="I3270" s="268"/>
      <c r="O3270" s="268"/>
    </row>
    <row r="3271" spans="9:15" x14ac:dyDescent="0.25">
      <c r="I3271" s="268"/>
      <c r="O3271" s="268"/>
    </row>
    <row r="3272" spans="9:15" x14ac:dyDescent="0.25">
      <c r="I3272" s="268"/>
      <c r="O3272" s="268"/>
    </row>
    <row r="3273" spans="9:15" x14ac:dyDescent="0.25">
      <c r="I3273" s="268"/>
      <c r="O3273" s="268"/>
    </row>
    <row r="3274" spans="9:15" x14ac:dyDescent="0.25">
      <c r="I3274" s="268"/>
      <c r="O3274" s="268"/>
    </row>
    <row r="3275" spans="9:15" x14ac:dyDescent="0.25">
      <c r="I3275" s="268"/>
      <c r="O3275" s="268"/>
    </row>
    <row r="3276" spans="9:15" x14ac:dyDescent="0.25">
      <c r="I3276" s="268"/>
      <c r="O3276" s="268"/>
    </row>
    <row r="3277" spans="9:15" x14ac:dyDescent="0.25">
      <c r="I3277" s="268"/>
      <c r="O3277" s="268"/>
    </row>
    <row r="3278" spans="9:15" x14ac:dyDescent="0.25">
      <c r="I3278" s="268"/>
      <c r="O3278" s="268"/>
    </row>
    <row r="3279" spans="9:15" x14ac:dyDescent="0.25">
      <c r="I3279" s="268"/>
      <c r="O3279" s="268"/>
    </row>
    <row r="3280" spans="9:15" x14ac:dyDescent="0.25">
      <c r="I3280" s="268"/>
      <c r="O3280" s="268"/>
    </row>
    <row r="3281" spans="9:15" x14ac:dyDescent="0.25">
      <c r="I3281" s="268"/>
      <c r="O3281" s="268"/>
    </row>
    <row r="3282" spans="9:15" x14ac:dyDescent="0.25">
      <c r="I3282" s="268"/>
      <c r="O3282" s="268"/>
    </row>
    <row r="3283" spans="9:15" x14ac:dyDescent="0.25">
      <c r="I3283" s="268"/>
      <c r="O3283" s="268"/>
    </row>
    <row r="3284" spans="9:15" x14ac:dyDescent="0.25">
      <c r="I3284" s="268"/>
      <c r="O3284" s="268"/>
    </row>
    <row r="3285" spans="9:15" x14ac:dyDescent="0.25">
      <c r="I3285" s="268"/>
      <c r="O3285" s="268"/>
    </row>
    <row r="3286" spans="9:15" x14ac:dyDescent="0.25">
      <c r="I3286" s="268"/>
      <c r="O3286" s="268"/>
    </row>
    <row r="3287" spans="9:15" x14ac:dyDescent="0.25">
      <c r="I3287" s="268"/>
      <c r="O3287" s="268"/>
    </row>
    <row r="3288" spans="9:15" x14ac:dyDescent="0.25">
      <c r="I3288" s="268"/>
      <c r="O3288" s="268"/>
    </row>
    <row r="3289" spans="9:15" x14ac:dyDescent="0.25">
      <c r="I3289" s="268"/>
      <c r="O3289" s="268"/>
    </row>
    <row r="3290" spans="9:15" x14ac:dyDescent="0.25">
      <c r="I3290" s="268"/>
      <c r="O3290" s="268"/>
    </row>
    <row r="3291" spans="9:15" x14ac:dyDescent="0.25">
      <c r="I3291" s="268"/>
      <c r="O3291" s="268"/>
    </row>
    <row r="3292" spans="9:15" x14ac:dyDescent="0.25">
      <c r="I3292" s="268"/>
      <c r="O3292" s="268"/>
    </row>
    <row r="3293" spans="9:15" x14ac:dyDescent="0.25">
      <c r="I3293" s="268"/>
      <c r="O3293" s="268"/>
    </row>
    <row r="3294" spans="9:15" x14ac:dyDescent="0.25">
      <c r="I3294" s="268"/>
      <c r="O3294" s="268"/>
    </row>
    <row r="3295" spans="9:15" x14ac:dyDescent="0.25">
      <c r="I3295" s="268"/>
      <c r="O3295" s="268"/>
    </row>
    <row r="3296" spans="9:15" x14ac:dyDescent="0.25">
      <c r="I3296" s="268"/>
      <c r="O3296" s="268"/>
    </row>
    <row r="3297" spans="9:15" x14ac:dyDescent="0.25">
      <c r="I3297" s="268"/>
      <c r="O3297" s="268"/>
    </row>
    <row r="3298" spans="9:15" x14ac:dyDescent="0.25">
      <c r="I3298" s="268"/>
      <c r="O3298" s="268"/>
    </row>
    <row r="3299" spans="9:15" x14ac:dyDescent="0.25">
      <c r="I3299" s="268"/>
      <c r="O3299" s="268"/>
    </row>
    <row r="3300" spans="9:15" x14ac:dyDescent="0.25">
      <c r="I3300" s="268"/>
      <c r="O3300" s="268"/>
    </row>
    <row r="3301" spans="9:15" x14ac:dyDescent="0.25">
      <c r="I3301" s="268"/>
      <c r="O3301" s="268"/>
    </row>
    <row r="3302" spans="9:15" x14ac:dyDescent="0.25">
      <c r="I3302" s="268"/>
      <c r="O3302" s="268"/>
    </row>
    <row r="3303" spans="9:15" x14ac:dyDescent="0.25">
      <c r="I3303" s="268"/>
      <c r="O3303" s="268"/>
    </row>
    <row r="3304" spans="9:15" x14ac:dyDescent="0.25">
      <c r="I3304" s="268"/>
      <c r="O3304" s="268"/>
    </row>
    <row r="3305" spans="9:15" x14ac:dyDescent="0.25">
      <c r="I3305" s="268"/>
      <c r="O3305" s="268"/>
    </row>
    <row r="3306" spans="9:15" x14ac:dyDescent="0.25">
      <c r="I3306" s="268"/>
      <c r="O3306" s="268"/>
    </row>
    <row r="3307" spans="9:15" x14ac:dyDescent="0.25">
      <c r="I3307" s="268"/>
      <c r="O3307" s="268"/>
    </row>
    <row r="3308" spans="9:15" x14ac:dyDescent="0.25">
      <c r="I3308" s="268"/>
      <c r="O3308" s="268"/>
    </row>
    <row r="3309" spans="9:15" x14ac:dyDescent="0.25">
      <c r="I3309" s="268"/>
      <c r="O3309" s="268"/>
    </row>
    <row r="3310" spans="9:15" x14ac:dyDescent="0.25">
      <c r="I3310" s="268"/>
      <c r="O3310" s="268"/>
    </row>
    <row r="3311" spans="9:15" x14ac:dyDescent="0.25">
      <c r="I3311" s="268"/>
      <c r="O3311" s="268"/>
    </row>
    <row r="3312" spans="9:15" x14ac:dyDescent="0.25">
      <c r="I3312" s="268"/>
      <c r="O3312" s="268"/>
    </row>
    <row r="3313" spans="9:15" x14ac:dyDescent="0.25">
      <c r="I3313" s="268"/>
      <c r="O3313" s="268"/>
    </row>
    <row r="3314" spans="9:15" x14ac:dyDescent="0.25">
      <c r="I3314" s="268"/>
      <c r="O3314" s="268"/>
    </row>
    <row r="3315" spans="9:15" x14ac:dyDescent="0.25">
      <c r="I3315" s="268"/>
      <c r="O3315" s="268"/>
    </row>
    <row r="3316" spans="9:15" x14ac:dyDescent="0.25">
      <c r="I3316" s="268"/>
      <c r="O3316" s="268"/>
    </row>
    <row r="3317" spans="9:15" x14ac:dyDescent="0.25">
      <c r="I3317" s="268"/>
      <c r="O3317" s="268"/>
    </row>
    <row r="3318" spans="9:15" x14ac:dyDescent="0.25">
      <c r="I3318" s="268"/>
      <c r="O3318" s="268"/>
    </row>
    <row r="3319" spans="9:15" x14ac:dyDescent="0.25">
      <c r="I3319" s="268"/>
      <c r="O3319" s="268"/>
    </row>
    <row r="3320" spans="9:15" x14ac:dyDescent="0.25">
      <c r="I3320" s="268"/>
      <c r="O3320" s="268"/>
    </row>
    <row r="3321" spans="9:15" x14ac:dyDescent="0.25">
      <c r="I3321" s="268"/>
      <c r="O3321" s="268"/>
    </row>
    <row r="3322" spans="9:15" x14ac:dyDescent="0.25">
      <c r="I3322" s="268"/>
      <c r="O3322" s="268"/>
    </row>
    <row r="3323" spans="9:15" x14ac:dyDescent="0.25">
      <c r="I3323" s="268"/>
      <c r="O3323" s="268"/>
    </row>
    <row r="3324" spans="9:15" x14ac:dyDescent="0.25">
      <c r="I3324" s="268"/>
      <c r="O3324" s="268"/>
    </row>
    <row r="3325" spans="9:15" x14ac:dyDescent="0.25">
      <c r="I3325" s="268"/>
      <c r="O3325" s="268"/>
    </row>
    <row r="3326" spans="9:15" x14ac:dyDescent="0.25">
      <c r="I3326" s="268"/>
      <c r="O3326" s="268"/>
    </row>
    <row r="3327" spans="9:15" x14ac:dyDescent="0.25">
      <c r="I3327" s="268"/>
      <c r="O3327" s="268"/>
    </row>
    <row r="3328" spans="9:15" x14ac:dyDescent="0.25">
      <c r="I3328" s="268"/>
      <c r="O3328" s="268"/>
    </row>
    <row r="3329" spans="9:15" x14ac:dyDescent="0.25">
      <c r="I3329" s="268"/>
      <c r="O3329" s="268"/>
    </row>
    <row r="3330" spans="9:15" x14ac:dyDescent="0.25">
      <c r="I3330" s="268"/>
      <c r="O3330" s="268"/>
    </row>
    <row r="3331" spans="9:15" x14ac:dyDescent="0.25">
      <c r="I3331" s="268"/>
      <c r="O3331" s="268"/>
    </row>
    <row r="3332" spans="9:15" x14ac:dyDescent="0.25">
      <c r="I3332" s="268"/>
      <c r="O3332" s="268"/>
    </row>
    <row r="3333" spans="9:15" x14ac:dyDescent="0.25">
      <c r="I3333" s="268"/>
      <c r="O3333" s="268"/>
    </row>
    <row r="3334" spans="9:15" x14ac:dyDescent="0.25">
      <c r="I3334" s="268"/>
      <c r="O3334" s="268"/>
    </row>
    <row r="3335" spans="9:15" x14ac:dyDescent="0.25">
      <c r="I3335" s="268"/>
      <c r="O3335" s="268"/>
    </row>
    <row r="3336" spans="9:15" x14ac:dyDescent="0.25">
      <c r="I3336" s="268"/>
      <c r="O3336" s="268"/>
    </row>
    <row r="3337" spans="9:15" x14ac:dyDescent="0.25">
      <c r="I3337" s="268"/>
      <c r="O3337" s="268"/>
    </row>
    <row r="3338" spans="9:15" x14ac:dyDescent="0.25">
      <c r="I3338" s="268"/>
      <c r="O3338" s="268"/>
    </row>
    <row r="3339" spans="9:15" x14ac:dyDescent="0.25">
      <c r="I3339" s="268"/>
      <c r="O3339" s="268"/>
    </row>
    <row r="3340" spans="9:15" x14ac:dyDescent="0.25">
      <c r="I3340" s="268"/>
      <c r="O3340" s="268"/>
    </row>
    <row r="3341" spans="9:15" x14ac:dyDescent="0.25">
      <c r="I3341" s="268"/>
      <c r="O3341" s="268"/>
    </row>
    <row r="3342" spans="9:15" x14ac:dyDescent="0.25">
      <c r="I3342" s="268"/>
      <c r="O3342" s="268"/>
    </row>
    <row r="3343" spans="9:15" x14ac:dyDescent="0.25">
      <c r="I3343" s="268"/>
      <c r="O3343" s="268"/>
    </row>
    <row r="3344" spans="9:15" x14ac:dyDescent="0.25">
      <c r="I3344" s="268"/>
      <c r="O3344" s="268"/>
    </row>
    <row r="3345" spans="9:15" x14ac:dyDescent="0.25">
      <c r="I3345" s="268"/>
      <c r="O3345" s="268"/>
    </row>
    <row r="3346" spans="9:15" x14ac:dyDescent="0.25">
      <c r="I3346" s="268"/>
      <c r="O3346" s="268"/>
    </row>
    <row r="3347" spans="9:15" x14ac:dyDescent="0.25">
      <c r="I3347" s="268"/>
      <c r="O3347" s="268"/>
    </row>
    <row r="3348" spans="9:15" x14ac:dyDescent="0.25">
      <c r="I3348" s="268"/>
      <c r="O3348" s="268"/>
    </row>
    <row r="3349" spans="9:15" x14ac:dyDescent="0.25">
      <c r="I3349" s="268"/>
      <c r="O3349" s="268"/>
    </row>
    <row r="3350" spans="9:15" x14ac:dyDescent="0.25">
      <c r="I3350" s="268"/>
      <c r="O3350" s="268"/>
    </row>
    <row r="3351" spans="9:15" x14ac:dyDescent="0.25">
      <c r="I3351" s="268"/>
      <c r="O3351" s="268"/>
    </row>
    <row r="3352" spans="9:15" x14ac:dyDescent="0.25">
      <c r="I3352" s="268"/>
      <c r="O3352" s="268"/>
    </row>
    <row r="3353" spans="9:15" x14ac:dyDescent="0.25">
      <c r="I3353" s="268"/>
      <c r="O3353" s="268"/>
    </row>
    <row r="3354" spans="9:15" x14ac:dyDescent="0.25">
      <c r="I3354" s="268"/>
      <c r="O3354" s="268"/>
    </row>
    <row r="3355" spans="9:15" x14ac:dyDescent="0.25">
      <c r="I3355" s="268"/>
      <c r="O3355" s="268"/>
    </row>
    <row r="3356" spans="9:15" x14ac:dyDescent="0.25">
      <c r="I3356" s="268"/>
      <c r="O3356" s="268"/>
    </row>
    <row r="3357" spans="9:15" x14ac:dyDescent="0.25">
      <c r="I3357" s="268"/>
      <c r="O3357" s="268"/>
    </row>
    <row r="3358" spans="9:15" x14ac:dyDescent="0.25">
      <c r="I3358" s="268"/>
      <c r="O3358" s="268"/>
    </row>
    <row r="3359" spans="9:15" x14ac:dyDescent="0.25">
      <c r="I3359" s="268"/>
      <c r="O3359" s="268"/>
    </row>
    <row r="3360" spans="9:15" x14ac:dyDescent="0.25">
      <c r="I3360" s="268"/>
      <c r="O3360" s="268"/>
    </row>
    <row r="3361" spans="9:15" x14ac:dyDescent="0.25">
      <c r="I3361" s="268"/>
      <c r="O3361" s="268"/>
    </row>
    <row r="3362" spans="9:15" x14ac:dyDescent="0.25">
      <c r="I3362" s="268"/>
      <c r="O3362" s="268"/>
    </row>
    <row r="3363" spans="9:15" x14ac:dyDescent="0.25">
      <c r="I3363" s="268"/>
      <c r="O3363" s="268"/>
    </row>
    <row r="3364" spans="9:15" x14ac:dyDescent="0.25">
      <c r="I3364" s="268"/>
      <c r="O3364" s="268"/>
    </row>
    <row r="3365" spans="9:15" x14ac:dyDescent="0.25">
      <c r="I3365" s="268"/>
      <c r="O3365" s="268"/>
    </row>
    <row r="3366" spans="9:15" x14ac:dyDescent="0.25">
      <c r="I3366" s="268"/>
      <c r="O3366" s="268"/>
    </row>
    <row r="3367" spans="9:15" x14ac:dyDescent="0.25">
      <c r="I3367" s="268"/>
      <c r="O3367" s="268"/>
    </row>
    <row r="3368" spans="9:15" x14ac:dyDescent="0.25">
      <c r="I3368" s="268"/>
      <c r="O3368" s="268"/>
    </row>
    <row r="3369" spans="9:15" x14ac:dyDescent="0.25">
      <c r="I3369" s="268"/>
      <c r="O3369" s="268"/>
    </row>
    <row r="3370" spans="9:15" x14ac:dyDescent="0.25">
      <c r="I3370" s="268"/>
      <c r="O3370" s="268"/>
    </row>
    <row r="3371" spans="9:15" x14ac:dyDescent="0.25">
      <c r="I3371" s="268"/>
      <c r="O3371" s="268"/>
    </row>
    <row r="3372" spans="9:15" x14ac:dyDescent="0.25">
      <c r="I3372" s="268"/>
      <c r="O3372" s="268"/>
    </row>
    <row r="3373" spans="9:15" x14ac:dyDescent="0.25">
      <c r="I3373" s="268"/>
      <c r="O3373" s="268"/>
    </row>
    <row r="3374" spans="9:15" x14ac:dyDescent="0.25">
      <c r="I3374" s="268"/>
      <c r="O3374" s="268"/>
    </row>
    <row r="3375" spans="9:15" x14ac:dyDescent="0.25">
      <c r="I3375" s="268"/>
      <c r="O3375" s="268"/>
    </row>
    <row r="3376" spans="9:15" x14ac:dyDescent="0.25">
      <c r="I3376" s="268"/>
      <c r="O3376" s="268"/>
    </row>
    <row r="3377" spans="9:15" x14ac:dyDescent="0.25">
      <c r="I3377" s="268"/>
      <c r="O3377" s="268"/>
    </row>
    <row r="3378" spans="9:15" x14ac:dyDescent="0.25">
      <c r="I3378" s="268"/>
      <c r="O3378" s="268"/>
    </row>
    <row r="3379" spans="9:15" x14ac:dyDescent="0.25">
      <c r="I3379" s="268"/>
      <c r="O3379" s="268"/>
    </row>
    <row r="3380" spans="9:15" x14ac:dyDescent="0.25">
      <c r="I3380" s="268"/>
      <c r="O3380" s="268"/>
    </row>
    <row r="3381" spans="9:15" x14ac:dyDescent="0.25">
      <c r="I3381" s="268"/>
      <c r="O3381" s="268"/>
    </row>
    <row r="3382" spans="9:15" x14ac:dyDescent="0.25">
      <c r="I3382" s="268"/>
      <c r="O3382" s="268"/>
    </row>
    <row r="3383" spans="9:15" x14ac:dyDescent="0.25">
      <c r="I3383" s="268"/>
      <c r="O3383" s="268"/>
    </row>
    <row r="3384" spans="9:15" x14ac:dyDescent="0.25">
      <c r="I3384" s="268"/>
      <c r="O3384" s="268"/>
    </row>
    <row r="3385" spans="9:15" x14ac:dyDescent="0.25">
      <c r="I3385" s="268"/>
      <c r="O3385" s="268"/>
    </row>
    <row r="3386" spans="9:15" x14ac:dyDescent="0.25">
      <c r="I3386" s="268"/>
      <c r="O3386" s="268"/>
    </row>
    <row r="3387" spans="9:15" x14ac:dyDescent="0.25">
      <c r="I3387" s="268"/>
      <c r="O3387" s="268"/>
    </row>
    <row r="3388" spans="9:15" x14ac:dyDescent="0.25">
      <c r="I3388" s="268"/>
      <c r="O3388" s="268"/>
    </row>
    <row r="3389" spans="9:15" x14ac:dyDescent="0.25">
      <c r="I3389" s="268"/>
      <c r="O3389" s="268"/>
    </row>
    <row r="3390" spans="9:15" x14ac:dyDescent="0.25">
      <c r="I3390" s="268"/>
      <c r="O3390" s="268"/>
    </row>
    <row r="3391" spans="9:15" x14ac:dyDescent="0.25">
      <c r="I3391" s="268"/>
      <c r="O3391" s="268"/>
    </row>
    <row r="3392" spans="9:15" x14ac:dyDescent="0.25">
      <c r="I3392" s="268"/>
      <c r="O3392" s="268"/>
    </row>
    <row r="3393" spans="9:15" x14ac:dyDescent="0.25">
      <c r="I3393" s="268"/>
      <c r="O3393" s="268"/>
    </row>
    <row r="3394" spans="9:15" x14ac:dyDescent="0.25">
      <c r="I3394" s="268"/>
      <c r="O3394" s="268"/>
    </row>
    <row r="3395" spans="9:15" x14ac:dyDescent="0.25">
      <c r="I3395" s="268"/>
      <c r="O3395" s="268"/>
    </row>
    <row r="3396" spans="9:15" x14ac:dyDescent="0.25">
      <c r="I3396" s="268"/>
      <c r="O3396" s="268"/>
    </row>
    <row r="3397" spans="9:15" x14ac:dyDescent="0.25">
      <c r="I3397" s="268"/>
      <c r="O3397" s="268"/>
    </row>
    <row r="3398" spans="9:15" x14ac:dyDescent="0.25">
      <c r="I3398" s="268"/>
      <c r="O3398" s="268"/>
    </row>
    <row r="3399" spans="9:15" x14ac:dyDescent="0.25">
      <c r="I3399" s="268"/>
      <c r="O3399" s="268"/>
    </row>
    <row r="3400" spans="9:15" x14ac:dyDescent="0.25">
      <c r="I3400" s="268"/>
      <c r="O3400" s="268"/>
    </row>
    <row r="3401" spans="9:15" x14ac:dyDescent="0.25">
      <c r="I3401" s="268"/>
      <c r="O3401" s="268"/>
    </row>
    <row r="3402" spans="9:15" x14ac:dyDescent="0.25">
      <c r="I3402" s="268"/>
      <c r="O3402" s="268"/>
    </row>
    <row r="3403" spans="9:15" x14ac:dyDescent="0.25">
      <c r="I3403" s="268"/>
      <c r="O3403" s="268"/>
    </row>
    <row r="3404" spans="9:15" x14ac:dyDescent="0.25">
      <c r="I3404" s="268"/>
      <c r="O3404" s="268"/>
    </row>
    <row r="3405" spans="9:15" x14ac:dyDescent="0.25">
      <c r="I3405" s="268"/>
      <c r="O3405" s="268"/>
    </row>
    <row r="3406" spans="9:15" x14ac:dyDescent="0.25">
      <c r="I3406" s="268"/>
      <c r="O3406" s="268"/>
    </row>
    <row r="3407" spans="9:15" x14ac:dyDescent="0.25">
      <c r="I3407" s="268"/>
      <c r="O3407" s="268"/>
    </row>
    <row r="3408" spans="9:15" x14ac:dyDescent="0.25">
      <c r="I3408" s="268"/>
      <c r="O3408" s="268"/>
    </row>
    <row r="3409" spans="9:15" x14ac:dyDescent="0.25">
      <c r="I3409" s="268"/>
      <c r="O3409" s="268"/>
    </row>
    <row r="3410" spans="9:15" x14ac:dyDescent="0.25">
      <c r="I3410" s="268"/>
      <c r="O3410" s="268"/>
    </row>
    <row r="3411" spans="9:15" x14ac:dyDescent="0.25">
      <c r="I3411" s="268"/>
      <c r="O3411" s="268"/>
    </row>
    <row r="3412" spans="9:15" x14ac:dyDescent="0.25">
      <c r="I3412" s="268"/>
      <c r="O3412" s="268"/>
    </row>
    <row r="3413" spans="9:15" x14ac:dyDescent="0.25">
      <c r="I3413" s="268"/>
      <c r="O3413" s="268"/>
    </row>
    <row r="3414" spans="9:15" x14ac:dyDescent="0.25">
      <c r="I3414" s="268"/>
      <c r="O3414" s="268"/>
    </row>
    <row r="3415" spans="9:15" x14ac:dyDescent="0.25">
      <c r="I3415" s="268"/>
      <c r="O3415" s="268"/>
    </row>
    <row r="3416" spans="9:15" x14ac:dyDescent="0.25">
      <c r="I3416" s="268"/>
      <c r="O3416" s="268"/>
    </row>
    <row r="3417" spans="9:15" x14ac:dyDescent="0.25">
      <c r="I3417" s="268"/>
      <c r="O3417" s="268"/>
    </row>
    <row r="3418" spans="9:15" x14ac:dyDescent="0.25">
      <c r="I3418" s="268"/>
      <c r="O3418" s="268"/>
    </row>
    <row r="3419" spans="9:15" x14ac:dyDescent="0.25">
      <c r="I3419" s="268"/>
      <c r="O3419" s="268"/>
    </row>
    <row r="3420" spans="9:15" x14ac:dyDescent="0.25">
      <c r="I3420" s="268"/>
      <c r="O3420" s="268"/>
    </row>
    <row r="3421" spans="9:15" x14ac:dyDescent="0.25">
      <c r="I3421" s="268"/>
      <c r="O3421" s="268"/>
    </row>
    <row r="3422" spans="9:15" x14ac:dyDescent="0.25">
      <c r="I3422" s="268"/>
      <c r="O3422" s="268"/>
    </row>
    <row r="3423" spans="9:15" x14ac:dyDescent="0.25">
      <c r="I3423" s="268"/>
      <c r="O3423" s="268"/>
    </row>
    <row r="3424" spans="9:15" x14ac:dyDescent="0.25">
      <c r="I3424" s="268"/>
      <c r="O3424" s="268"/>
    </row>
    <row r="3425" spans="9:15" x14ac:dyDescent="0.25">
      <c r="I3425" s="268"/>
      <c r="O3425" s="268"/>
    </row>
    <row r="3426" spans="9:15" x14ac:dyDescent="0.25">
      <c r="I3426" s="268"/>
      <c r="O3426" s="268"/>
    </row>
    <row r="3427" spans="9:15" x14ac:dyDescent="0.25">
      <c r="I3427" s="268"/>
      <c r="O3427" s="268"/>
    </row>
    <row r="3428" spans="9:15" x14ac:dyDescent="0.25">
      <c r="I3428" s="268"/>
      <c r="O3428" s="268"/>
    </row>
    <row r="3429" spans="9:15" x14ac:dyDescent="0.25">
      <c r="I3429" s="268"/>
      <c r="O3429" s="268"/>
    </row>
    <row r="3430" spans="9:15" x14ac:dyDescent="0.25">
      <c r="I3430" s="268"/>
      <c r="O3430" s="268"/>
    </row>
    <row r="3431" spans="9:15" x14ac:dyDescent="0.25">
      <c r="I3431" s="268"/>
      <c r="O3431" s="268"/>
    </row>
    <row r="3432" spans="9:15" x14ac:dyDescent="0.25">
      <c r="I3432" s="268"/>
      <c r="O3432" s="268"/>
    </row>
    <row r="3433" spans="9:15" x14ac:dyDescent="0.25">
      <c r="I3433" s="268"/>
      <c r="O3433" s="268"/>
    </row>
    <row r="3434" spans="9:15" x14ac:dyDescent="0.25">
      <c r="I3434" s="268"/>
      <c r="O3434" s="268"/>
    </row>
    <row r="3435" spans="9:15" x14ac:dyDescent="0.25">
      <c r="I3435" s="268"/>
      <c r="O3435" s="268"/>
    </row>
    <row r="3436" spans="9:15" x14ac:dyDescent="0.25">
      <c r="I3436" s="268"/>
      <c r="O3436" s="268"/>
    </row>
    <row r="3437" spans="9:15" x14ac:dyDescent="0.25">
      <c r="I3437" s="268"/>
      <c r="O3437" s="268"/>
    </row>
    <row r="3438" spans="9:15" x14ac:dyDescent="0.25">
      <c r="I3438" s="268"/>
      <c r="O3438" s="268"/>
    </row>
    <row r="3439" spans="9:15" x14ac:dyDescent="0.25">
      <c r="I3439" s="268"/>
      <c r="O3439" s="268"/>
    </row>
    <row r="3440" spans="9:15" x14ac:dyDescent="0.25">
      <c r="I3440" s="268"/>
      <c r="O3440" s="268"/>
    </row>
    <row r="3441" spans="9:15" x14ac:dyDescent="0.25">
      <c r="I3441" s="268"/>
      <c r="O3441" s="268"/>
    </row>
    <row r="3442" spans="9:15" x14ac:dyDescent="0.25">
      <c r="I3442" s="268"/>
      <c r="O3442" s="268"/>
    </row>
    <row r="3443" spans="9:15" x14ac:dyDescent="0.25">
      <c r="I3443" s="268"/>
      <c r="O3443" s="268"/>
    </row>
    <row r="3444" spans="9:15" x14ac:dyDescent="0.25">
      <c r="I3444" s="268"/>
      <c r="O3444" s="268"/>
    </row>
    <row r="3445" spans="9:15" x14ac:dyDescent="0.25">
      <c r="I3445" s="268"/>
      <c r="O3445" s="268"/>
    </row>
    <row r="3446" spans="9:15" x14ac:dyDescent="0.25">
      <c r="I3446" s="268"/>
      <c r="O3446" s="268"/>
    </row>
    <row r="3447" spans="9:15" x14ac:dyDescent="0.25">
      <c r="I3447" s="268"/>
      <c r="O3447" s="268"/>
    </row>
    <row r="3448" spans="9:15" x14ac:dyDescent="0.25">
      <c r="I3448" s="268"/>
      <c r="O3448" s="268"/>
    </row>
    <row r="3449" spans="9:15" x14ac:dyDescent="0.25">
      <c r="I3449" s="268"/>
      <c r="O3449" s="268"/>
    </row>
    <row r="3450" spans="9:15" x14ac:dyDescent="0.25">
      <c r="I3450" s="268"/>
      <c r="O3450" s="268"/>
    </row>
    <row r="3451" spans="9:15" x14ac:dyDescent="0.25">
      <c r="I3451" s="268"/>
      <c r="O3451" s="268"/>
    </row>
    <row r="3452" spans="9:15" x14ac:dyDescent="0.25">
      <c r="I3452" s="268"/>
      <c r="O3452" s="268"/>
    </row>
    <row r="3453" spans="9:15" x14ac:dyDescent="0.25">
      <c r="I3453" s="268"/>
      <c r="O3453" s="268"/>
    </row>
    <row r="3454" spans="9:15" x14ac:dyDescent="0.25">
      <c r="I3454" s="268"/>
      <c r="O3454" s="268"/>
    </row>
    <row r="3455" spans="9:15" x14ac:dyDescent="0.25">
      <c r="I3455" s="268"/>
      <c r="O3455" s="268"/>
    </row>
    <row r="3456" spans="9:15" x14ac:dyDescent="0.25">
      <c r="I3456" s="268"/>
      <c r="O3456" s="268"/>
    </row>
    <row r="3457" spans="9:15" x14ac:dyDescent="0.25">
      <c r="I3457" s="268"/>
      <c r="O3457" s="268"/>
    </row>
    <row r="3458" spans="9:15" x14ac:dyDescent="0.25">
      <c r="I3458" s="268"/>
      <c r="O3458" s="268"/>
    </row>
    <row r="3459" spans="9:15" x14ac:dyDescent="0.25">
      <c r="I3459" s="268"/>
      <c r="O3459" s="268"/>
    </row>
    <row r="3460" spans="9:15" x14ac:dyDescent="0.25">
      <c r="I3460" s="268"/>
      <c r="O3460" s="268"/>
    </row>
    <row r="3461" spans="9:15" x14ac:dyDescent="0.25">
      <c r="I3461" s="268"/>
      <c r="O3461" s="268"/>
    </row>
    <row r="3462" spans="9:15" x14ac:dyDescent="0.25">
      <c r="I3462" s="268"/>
      <c r="O3462" s="268"/>
    </row>
    <row r="3463" spans="9:15" x14ac:dyDescent="0.25">
      <c r="I3463" s="268"/>
      <c r="O3463" s="268"/>
    </row>
    <row r="3464" spans="9:15" x14ac:dyDescent="0.25">
      <c r="I3464" s="268"/>
      <c r="O3464" s="268"/>
    </row>
    <row r="3465" spans="9:15" x14ac:dyDescent="0.25">
      <c r="I3465" s="268"/>
      <c r="O3465" s="268"/>
    </row>
    <row r="3466" spans="9:15" x14ac:dyDescent="0.25">
      <c r="I3466" s="268"/>
      <c r="O3466" s="268"/>
    </row>
    <row r="3467" spans="9:15" x14ac:dyDescent="0.25">
      <c r="I3467" s="268"/>
      <c r="O3467" s="268"/>
    </row>
    <row r="3468" spans="9:15" x14ac:dyDescent="0.25">
      <c r="I3468" s="268"/>
      <c r="O3468" s="268"/>
    </row>
    <row r="3469" spans="9:15" x14ac:dyDescent="0.25">
      <c r="I3469" s="268"/>
      <c r="O3469" s="268"/>
    </row>
    <row r="3470" spans="9:15" x14ac:dyDescent="0.25">
      <c r="I3470" s="268"/>
      <c r="O3470" s="268"/>
    </row>
    <row r="3471" spans="9:15" x14ac:dyDescent="0.25">
      <c r="I3471" s="268"/>
      <c r="O3471" s="268"/>
    </row>
    <row r="3472" spans="9:15" x14ac:dyDescent="0.25">
      <c r="I3472" s="268"/>
      <c r="O3472" s="268"/>
    </row>
    <row r="3473" spans="9:15" x14ac:dyDescent="0.25">
      <c r="I3473" s="268"/>
      <c r="O3473" s="268"/>
    </row>
    <row r="3474" spans="9:15" x14ac:dyDescent="0.25">
      <c r="I3474" s="268"/>
      <c r="O3474" s="268"/>
    </row>
    <row r="3475" spans="9:15" x14ac:dyDescent="0.25">
      <c r="I3475" s="268"/>
      <c r="O3475" s="268"/>
    </row>
    <row r="3476" spans="9:15" x14ac:dyDescent="0.25">
      <c r="I3476" s="268"/>
      <c r="O3476" s="268"/>
    </row>
    <row r="3477" spans="9:15" x14ac:dyDescent="0.25">
      <c r="I3477" s="268"/>
      <c r="O3477" s="268"/>
    </row>
    <row r="3478" spans="9:15" x14ac:dyDescent="0.25">
      <c r="I3478" s="268"/>
      <c r="O3478" s="268"/>
    </row>
    <row r="3479" spans="9:15" x14ac:dyDescent="0.25">
      <c r="I3479" s="268"/>
      <c r="O3479" s="268"/>
    </row>
    <row r="3480" spans="9:15" x14ac:dyDescent="0.25">
      <c r="I3480" s="268"/>
      <c r="O3480" s="268"/>
    </row>
    <row r="3481" spans="9:15" x14ac:dyDescent="0.25">
      <c r="I3481" s="268"/>
      <c r="O3481" s="268"/>
    </row>
    <row r="3482" spans="9:15" x14ac:dyDescent="0.25">
      <c r="I3482" s="268"/>
      <c r="O3482" s="268"/>
    </row>
    <row r="3483" spans="9:15" x14ac:dyDescent="0.25">
      <c r="I3483" s="268"/>
      <c r="O3483" s="268"/>
    </row>
    <row r="3484" spans="9:15" x14ac:dyDescent="0.25">
      <c r="I3484" s="268"/>
      <c r="O3484" s="268"/>
    </row>
    <row r="3485" spans="9:15" x14ac:dyDescent="0.25">
      <c r="I3485" s="268"/>
      <c r="O3485" s="268"/>
    </row>
    <row r="3486" spans="9:15" x14ac:dyDescent="0.25">
      <c r="I3486" s="268"/>
      <c r="O3486" s="268"/>
    </row>
    <row r="3487" spans="9:15" x14ac:dyDescent="0.25">
      <c r="I3487" s="268"/>
      <c r="O3487" s="268"/>
    </row>
    <row r="3488" spans="9:15" x14ac:dyDescent="0.25">
      <c r="I3488" s="268"/>
      <c r="O3488" s="268"/>
    </row>
    <row r="3489" spans="9:15" x14ac:dyDescent="0.25">
      <c r="I3489" s="268"/>
      <c r="O3489" s="268"/>
    </row>
    <row r="3490" spans="9:15" x14ac:dyDescent="0.25">
      <c r="I3490" s="268"/>
      <c r="O3490" s="268"/>
    </row>
    <row r="3491" spans="9:15" x14ac:dyDescent="0.25">
      <c r="I3491" s="268"/>
      <c r="O3491" s="268"/>
    </row>
    <row r="3492" spans="9:15" x14ac:dyDescent="0.25">
      <c r="I3492" s="268"/>
      <c r="O3492" s="268"/>
    </row>
    <row r="3493" spans="9:15" x14ac:dyDescent="0.25">
      <c r="I3493" s="268"/>
      <c r="O3493" s="268"/>
    </row>
    <row r="3494" spans="9:15" x14ac:dyDescent="0.25">
      <c r="I3494" s="268"/>
      <c r="O3494" s="268"/>
    </row>
    <row r="3495" spans="9:15" x14ac:dyDescent="0.25">
      <c r="I3495" s="268"/>
      <c r="O3495" s="268"/>
    </row>
    <row r="3496" spans="9:15" x14ac:dyDescent="0.25">
      <c r="I3496" s="268"/>
      <c r="O3496" s="268"/>
    </row>
    <row r="3497" spans="9:15" x14ac:dyDescent="0.25">
      <c r="I3497" s="268"/>
      <c r="O3497" s="268"/>
    </row>
    <row r="3498" spans="9:15" x14ac:dyDescent="0.25">
      <c r="I3498" s="268"/>
      <c r="O3498" s="268"/>
    </row>
    <row r="3499" spans="9:15" x14ac:dyDescent="0.25">
      <c r="I3499" s="268"/>
      <c r="O3499" s="268"/>
    </row>
    <row r="3500" spans="9:15" x14ac:dyDescent="0.25">
      <c r="I3500" s="268"/>
      <c r="O3500" s="268"/>
    </row>
    <row r="3501" spans="9:15" x14ac:dyDescent="0.25">
      <c r="I3501" s="268"/>
      <c r="O3501" s="268"/>
    </row>
    <row r="3502" spans="9:15" x14ac:dyDescent="0.25">
      <c r="I3502" s="268"/>
      <c r="O3502" s="268"/>
    </row>
    <row r="3503" spans="9:15" x14ac:dyDescent="0.25">
      <c r="I3503" s="268"/>
      <c r="O3503" s="268"/>
    </row>
    <row r="3504" spans="9:15" x14ac:dyDescent="0.25">
      <c r="I3504" s="268"/>
      <c r="O3504" s="268"/>
    </row>
    <row r="3505" spans="9:15" x14ac:dyDescent="0.25">
      <c r="I3505" s="268"/>
      <c r="O3505" s="268"/>
    </row>
    <row r="3506" spans="9:15" x14ac:dyDescent="0.25">
      <c r="I3506" s="268"/>
      <c r="O3506" s="268"/>
    </row>
    <row r="3507" spans="9:15" x14ac:dyDescent="0.25">
      <c r="I3507" s="268"/>
      <c r="O3507" s="268"/>
    </row>
    <row r="3508" spans="9:15" x14ac:dyDescent="0.25">
      <c r="I3508" s="268"/>
      <c r="O3508" s="268"/>
    </row>
    <row r="3509" spans="9:15" x14ac:dyDescent="0.25">
      <c r="I3509" s="268"/>
      <c r="O3509" s="268"/>
    </row>
    <row r="3510" spans="9:15" x14ac:dyDescent="0.25">
      <c r="I3510" s="268"/>
      <c r="O3510" s="268"/>
    </row>
    <row r="3511" spans="9:15" x14ac:dyDescent="0.25">
      <c r="I3511" s="268"/>
      <c r="O3511" s="268"/>
    </row>
    <row r="3512" spans="9:15" x14ac:dyDescent="0.25">
      <c r="I3512" s="268"/>
      <c r="O3512" s="268"/>
    </row>
    <row r="3513" spans="9:15" x14ac:dyDescent="0.25">
      <c r="I3513" s="268"/>
      <c r="O3513" s="268"/>
    </row>
    <row r="3514" spans="9:15" x14ac:dyDescent="0.25">
      <c r="I3514" s="268"/>
      <c r="O3514" s="268"/>
    </row>
    <row r="3515" spans="9:15" x14ac:dyDescent="0.25">
      <c r="I3515" s="268"/>
      <c r="O3515" s="268"/>
    </row>
    <row r="3516" spans="9:15" x14ac:dyDescent="0.25">
      <c r="I3516" s="268"/>
      <c r="O3516" s="268"/>
    </row>
    <row r="3517" spans="9:15" x14ac:dyDescent="0.25">
      <c r="I3517" s="268"/>
      <c r="O3517" s="268"/>
    </row>
    <row r="3518" spans="9:15" x14ac:dyDescent="0.25">
      <c r="I3518" s="268"/>
      <c r="O3518" s="268"/>
    </row>
    <row r="3519" spans="9:15" x14ac:dyDescent="0.25">
      <c r="I3519" s="268"/>
      <c r="O3519" s="268"/>
    </row>
    <row r="3520" spans="9:15" x14ac:dyDescent="0.25">
      <c r="I3520" s="268"/>
      <c r="O3520" s="268"/>
    </row>
    <row r="3521" spans="9:15" x14ac:dyDescent="0.25">
      <c r="I3521" s="268"/>
      <c r="O3521" s="268"/>
    </row>
    <row r="3522" spans="9:15" x14ac:dyDescent="0.25">
      <c r="I3522" s="268"/>
      <c r="O3522" s="268"/>
    </row>
    <row r="3523" spans="9:15" x14ac:dyDescent="0.25">
      <c r="I3523" s="268"/>
      <c r="O3523" s="268"/>
    </row>
    <row r="3524" spans="9:15" x14ac:dyDescent="0.25">
      <c r="I3524" s="268"/>
      <c r="O3524" s="268"/>
    </row>
    <row r="3525" spans="9:15" x14ac:dyDescent="0.25">
      <c r="I3525" s="268"/>
      <c r="O3525" s="268"/>
    </row>
    <row r="3526" spans="9:15" x14ac:dyDescent="0.25">
      <c r="I3526" s="268"/>
      <c r="O3526" s="268"/>
    </row>
    <row r="3527" spans="9:15" x14ac:dyDescent="0.25">
      <c r="I3527" s="268"/>
      <c r="O3527" s="268"/>
    </row>
    <row r="3528" spans="9:15" x14ac:dyDescent="0.25">
      <c r="I3528" s="268"/>
      <c r="O3528" s="268"/>
    </row>
    <row r="3529" spans="9:15" x14ac:dyDescent="0.25">
      <c r="I3529" s="268"/>
      <c r="O3529" s="268"/>
    </row>
    <row r="3530" spans="9:15" x14ac:dyDescent="0.25">
      <c r="I3530" s="268"/>
      <c r="O3530" s="268"/>
    </row>
    <row r="3531" spans="9:15" x14ac:dyDescent="0.25">
      <c r="I3531" s="268"/>
      <c r="O3531" s="268"/>
    </row>
    <row r="3532" spans="9:15" x14ac:dyDescent="0.25">
      <c r="I3532" s="268"/>
      <c r="O3532" s="268"/>
    </row>
    <row r="3533" spans="9:15" x14ac:dyDescent="0.25">
      <c r="I3533" s="268"/>
      <c r="O3533" s="268"/>
    </row>
    <row r="3534" spans="9:15" x14ac:dyDescent="0.25">
      <c r="I3534" s="268"/>
      <c r="O3534" s="268"/>
    </row>
    <row r="3535" spans="9:15" x14ac:dyDescent="0.25">
      <c r="I3535" s="268"/>
      <c r="O3535" s="268"/>
    </row>
    <row r="3536" spans="9:15" x14ac:dyDescent="0.25">
      <c r="I3536" s="268"/>
      <c r="O3536" s="268"/>
    </row>
    <row r="3537" spans="9:15" x14ac:dyDescent="0.25">
      <c r="I3537" s="268"/>
      <c r="O3537" s="268"/>
    </row>
    <row r="3538" spans="9:15" x14ac:dyDescent="0.25">
      <c r="I3538" s="268"/>
      <c r="O3538" s="268"/>
    </row>
    <row r="3539" spans="9:15" x14ac:dyDescent="0.25">
      <c r="I3539" s="268"/>
      <c r="O3539" s="268"/>
    </row>
    <row r="3540" spans="9:15" x14ac:dyDescent="0.25">
      <c r="I3540" s="268"/>
      <c r="O3540" s="268"/>
    </row>
    <row r="3541" spans="9:15" x14ac:dyDescent="0.25">
      <c r="I3541" s="268"/>
      <c r="O3541" s="268"/>
    </row>
    <row r="3542" spans="9:15" x14ac:dyDescent="0.25">
      <c r="I3542" s="268"/>
      <c r="O3542" s="268"/>
    </row>
    <row r="3543" spans="9:15" x14ac:dyDescent="0.25">
      <c r="I3543" s="268"/>
      <c r="O3543" s="268"/>
    </row>
    <row r="3544" spans="9:15" x14ac:dyDescent="0.25">
      <c r="I3544" s="268"/>
      <c r="O3544" s="268"/>
    </row>
    <row r="3545" spans="9:15" x14ac:dyDescent="0.25">
      <c r="I3545" s="268"/>
      <c r="O3545" s="268"/>
    </row>
    <row r="3546" spans="9:15" x14ac:dyDescent="0.25">
      <c r="I3546" s="268"/>
      <c r="O3546" s="268"/>
    </row>
    <row r="3547" spans="9:15" x14ac:dyDescent="0.25">
      <c r="I3547" s="268"/>
      <c r="O3547" s="268"/>
    </row>
    <row r="3548" spans="9:15" x14ac:dyDescent="0.25">
      <c r="I3548" s="268"/>
      <c r="O3548" s="268"/>
    </row>
    <row r="3549" spans="9:15" x14ac:dyDescent="0.25">
      <c r="I3549" s="268"/>
      <c r="O3549" s="268"/>
    </row>
    <row r="3550" spans="9:15" x14ac:dyDescent="0.25">
      <c r="I3550" s="268"/>
      <c r="O3550" s="268"/>
    </row>
    <row r="3551" spans="9:15" x14ac:dyDescent="0.25">
      <c r="I3551" s="268"/>
      <c r="O3551" s="268"/>
    </row>
    <row r="3552" spans="9:15" x14ac:dyDescent="0.25">
      <c r="I3552" s="268"/>
      <c r="O3552" s="268"/>
    </row>
    <row r="3553" spans="9:15" x14ac:dyDescent="0.25">
      <c r="I3553" s="268"/>
      <c r="O3553" s="268"/>
    </row>
    <row r="3554" spans="9:15" x14ac:dyDescent="0.25">
      <c r="I3554" s="268"/>
      <c r="O3554" s="268"/>
    </row>
    <row r="3555" spans="9:15" x14ac:dyDescent="0.25">
      <c r="I3555" s="268"/>
      <c r="O3555" s="268"/>
    </row>
    <row r="3556" spans="9:15" x14ac:dyDescent="0.25">
      <c r="I3556" s="268"/>
      <c r="O3556" s="268"/>
    </row>
    <row r="3557" spans="9:15" x14ac:dyDescent="0.25">
      <c r="I3557" s="268"/>
      <c r="O3557" s="268"/>
    </row>
    <row r="3558" spans="9:15" x14ac:dyDescent="0.25">
      <c r="I3558" s="268"/>
      <c r="O3558" s="268"/>
    </row>
    <row r="3559" spans="9:15" x14ac:dyDescent="0.25">
      <c r="I3559" s="268"/>
      <c r="O3559" s="268"/>
    </row>
    <row r="3560" spans="9:15" x14ac:dyDescent="0.25">
      <c r="I3560" s="268"/>
      <c r="O3560" s="268"/>
    </row>
    <row r="3561" spans="9:15" x14ac:dyDescent="0.25">
      <c r="I3561" s="268"/>
      <c r="O3561" s="268"/>
    </row>
    <row r="3562" spans="9:15" x14ac:dyDescent="0.25">
      <c r="I3562" s="268"/>
      <c r="O3562" s="268"/>
    </row>
    <row r="3563" spans="9:15" x14ac:dyDescent="0.25">
      <c r="I3563" s="268"/>
      <c r="O3563" s="268"/>
    </row>
    <row r="3564" spans="9:15" x14ac:dyDescent="0.25">
      <c r="I3564" s="268"/>
      <c r="O3564" s="268"/>
    </row>
    <row r="3565" spans="9:15" x14ac:dyDescent="0.25">
      <c r="I3565" s="268"/>
      <c r="O3565" s="268"/>
    </row>
    <row r="3566" spans="9:15" x14ac:dyDescent="0.25">
      <c r="I3566" s="268"/>
      <c r="O3566" s="268"/>
    </row>
    <row r="3567" spans="9:15" x14ac:dyDescent="0.25">
      <c r="I3567" s="268"/>
      <c r="O3567" s="268"/>
    </row>
    <row r="3568" spans="9:15" x14ac:dyDescent="0.25">
      <c r="I3568" s="268"/>
      <c r="O3568" s="268"/>
    </row>
    <row r="3569" spans="9:15" x14ac:dyDescent="0.25">
      <c r="I3569" s="268"/>
      <c r="O3569" s="268"/>
    </row>
    <row r="3570" spans="9:15" x14ac:dyDescent="0.25">
      <c r="I3570" s="268"/>
      <c r="O3570" s="268"/>
    </row>
    <row r="3571" spans="9:15" x14ac:dyDescent="0.25">
      <c r="I3571" s="268"/>
      <c r="O3571" s="268"/>
    </row>
    <row r="3572" spans="9:15" x14ac:dyDescent="0.25">
      <c r="I3572" s="268"/>
      <c r="O3572" s="268"/>
    </row>
    <row r="3573" spans="9:15" x14ac:dyDescent="0.25">
      <c r="I3573" s="268"/>
      <c r="O3573" s="268"/>
    </row>
    <row r="3574" spans="9:15" x14ac:dyDescent="0.25">
      <c r="I3574" s="268"/>
      <c r="O3574" s="268"/>
    </row>
    <row r="3575" spans="9:15" x14ac:dyDescent="0.25">
      <c r="I3575" s="268"/>
      <c r="O3575" s="268"/>
    </row>
    <row r="3576" spans="9:15" x14ac:dyDescent="0.25">
      <c r="I3576" s="268"/>
      <c r="O3576" s="268"/>
    </row>
    <row r="3577" spans="9:15" x14ac:dyDescent="0.25">
      <c r="I3577" s="268"/>
      <c r="O3577" s="268"/>
    </row>
    <row r="3578" spans="9:15" x14ac:dyDescent="0.25">
      <c r="I3578" s="268"/>
      <c r="O3578" s="268"/>
    </row>
    <row r="3579" spans="9:15" x14ac:dyDescent="0.25">
      <c r="I3579" s="268"/>
      <c r="O3579" s="268"/>
    </row>
    <row r="3580" spans="9:15" x14ac:dyDescent="0.25">
      <c r="I3580" s="268"/>
      <c r="O3580" s="268"/>
    </row>
    <row r="3581" spans="9:15" x14ac:dyDescent="0.25">
      <c r="I3581" s="268"/>
      <c r="O3581" s="268"/>
    </row>
    <row r="3582" spans="9:15" x14ac:dyDescent="0.25">
      <c r="I3582" s="268"/>
      <c r="O3582" s="268"/>
    </row>
    <row r="3583" spans="9:15" x14ac:dyDescent="0.25">
      <c r="I3583" s="268"/>
      <c r="O3583" s="268"/>
    </row>
    <row r="3584" spans="9:15" x14ac:dyDescent="0.25">
      <c r="I3584" s="268"/>
      <c r="O3584" s="268"/>
    </row>
    <row r="3585" spans="9:15" x14ac:dyDescent="0.25">
      <c r="I3585" s="268"/>
      <c r="O3585" s="268"/>
    </row>
    <row r="3586" spans="9:15" x14ac:dyDescent="0.25">
      <c r="I3586" s="268"/>
      <c r="O3586" s="268"/>
    </row>
    <row r="3587" spans="9:15" x14ac:dyDescent="0.25">
      <c r="I3587" s="268"/>
      <c r="O3587" s="268"/>
    </row>
    <row r="3588" spans="9:15" x14ac:dyDescent="0.25">
      <c r="I3588" s="268"/>
      <c r="O3588" s="268"/>
    </row>
    <row r="3589" spans="9:15" x14ac:dyDescent="0.25">
      <c r="I3589" s="268"/>
      <c r="O3589" s="268"/>
    </row>
    <row r="3590" spans="9:15" x14ac:dyDescent="0.25">
      <c r="I3590" s="268"/>
      <c r="O3590" s="268"/>
    </row>
    <row r="3591" spans="9:15" x14ac:dyDescent="0.25">
      <c r="I3591" s="268"/>
      <c r="O3591" s="268"/>
    </row>
    <row r="3592" spans="9:15" x14ac:dyDescent="0.25">
      <c r="I3592" s="268"/>
      <c r="O3592" s="268"/>
    </row>
    <row r="3593" spans="9:15" x14ac:dyDescent="0.25">
      <c r="I3593" s="268"/>
      <c r="O3593" s="268"/>
    </row>
    <row r="3594" spans="9:15" x14ac:dyDescent="0.25">
      <c r="I3594" s="268"/>
      <c r="O3594" s="268"/>
    </row>
    <row r="3595" spans="9:15" x14ac:dyDescent="0.25">
      <c r="I3595" s="268"/>
      <c r="O3595" s="268"/>
    </row>
    <row r="3596" spans="9:15" x14ac:dyDescent="0.25">
      <c r="I3596" s="268"/>
      <c r="O3596" s="268"/>
    </row>
    <row r="3597" spans="9:15" x14ac:dyDescent="0.25">
      <c r="I3597" s="268"/>
      <c r="O3597" s="268"/>
    </row>
    <row r="3598" spans="9:15" x14ac:dyDescent="0.25">
      <c r="I3598" s="268"/>
      <c r="O3598" s="268"/>
    </row>
    <row r="3599" spans="9:15" x14ac:dyDescent="0.25">
      <c r="I3599" s="268"/>
      <c r="O3599" s="268"/>
    </row>
    <row r="3600" spans="9:15" x14ac:dyDescent="0.25">
      <c r="I3600" s="268"/>
      <c r="O3600" s="268"/>
    </row>
    <row r="3601" spans="9:15" x14ac:dyDescent="0.25">
      <c r="I3601" s="268"/>
      <c r="O3601" s="268"/>
    </row>
    <row r="3602" spans="9:15" x14ac:dyDescent="0.25">
      <c r="I3602" s="268"/>
      <c r="O3602" s="268"/>
    </row>
    <row r="3603" spans="9:15" x14ac:dyDescent="0.25">
      <c r="I3603" s="268"/>
      <c r="O3603" s="268"/>
    </row>
    <row r="3604" spans="9:15" x14ac:dyDescent="0.25">
      <c r="I3604" s="268"/>
      <c r="O3604" s="268"/>
    </row>
    <row r="3605" spans="9:15" x14ac:dyDescent="0.25">
      <c r="I3605" s="268"/>
      <c r="O3605" s="268"/>
    </row>
    <row r="3606" spans="9:15" x14ac:dyDescent="0.25">
      <c r="I3606" s="268"/>
      <c r="O3606" s="268"/>
    </row>
    <row r="3607" spans="9:15" x14ac:dyDescent="0.25">
      <c r="I3607" s="268"/>
      <c r="O3607" s="268"/>
    </row>
    <row r="3608" spans="9:15" x14ac:dyDescent="0.25">
      <c r="I3608" s="268"/>
      <c r="O3608" s="268"/>
    </row>
    <row r="3609" spans="9:15" x14ac:dyDescent="0.25">
      <c r="I3609" s="268"/>
      <c r="O3609" s="268"/>
    </row>
    <row r="3610" spans="9:15" x14ac:dyDescent="0.25">
      <c r="I3610" s="268"/>
      <c r="O3610" s="268"/>
    </row>
    <row r="3611" spans="9:15" x14ac:dyDescent="0.25">
      <c r="I3611" s="268"/>
      <c r="O3611" s="268"/>
    </row>
    <row r="3612" spans="9:15" x14ac:dyDescent="0.25">
      <c r="I3612" s="268"/>
      <c r="O3612" s="268"/>
    </row>
    <row r="3613" spans="9:15" x14ac:dyDescent="0.25">
      <c r="I3613" s="268"/>
      <c r="O3613" s="268"/>
    </row>
    <row r="3614" spans="9:15" x14ac:dyDescent="0.25">
      <c r="I3614" s="268"/>
      <c r="O3614" s="268"/>
    </row>
    <row r="3615" spans="9:15" x14ac:dyDescent="0.25">
      <c r="I3615" s="268"/>
      <c r="O3615" s="268"/>
    </row>
    <row r="3616" spans="9:15" x14ac:dyDescent="0.25">
      <c r="I3616" s="268"/>
      <c r="O3616" s="268"/>
    </row>
    <row r="3617" spans="9:15" x14ac:dyDescent="0.25">
      <c r="I3617" s="268"/>
      <c r="O3617" s="268"/>
    </row>
    <row r="3618" spans="9:15" x14ac:dyDescent="0.25">
      <c r="I3618" s="268"/>
      <c r="O3618" s="268"/>
    </row>
    <row r="3619" spans="9:15" x14ac:dyDescent="0.25">
      <c r="I3619" s="268"/>
      <c r="O3619" s="268"/>
    </row>
    <row r="3620" spans="9:15" x14ac:dyDescent="0.25">
      <c r="I3620" s="268"/>
      <c r="O3620" s="268"/>
    </row>
    <row r="3621" spans="9:15" x14ac:dyDescent="0.25">
      <c r="I3621" s="268"/>
      <c r="O3621" s="268"/>
    </row>
    <row r="3622" spans="9:15" x14ac:dyDescent="0.25">
      <c r="I3622" s="268"/>
      <c r="O3622" s="268"/>
    </row>
    <row r="3623" spans="9:15" x14ac:dyDescent="0.25">
      <c r="I3623" s="268"/>
      <c r="O3623" s="268"/>
    </row>
    <row r="3624" spans="9:15" x14ac:dyDescent="0.25">
      <c r="I3624" s="268"/>
      <c r="O3624" s="268"/>
    </row>
    <row r="3625" spans="9:15" x14ac:dyDescent="0.25">
      <c r="I3625" s="268"/>
      <c r="O3625" s="268"/>
    </row>
    <row r="3626" spans="9:15" x14ac:dyDescent="0.25">
      <c r="I3626" s="268"/>
      <c r="O3626" s="268"/>
    </row>
    <row r="3627" spans="9:15" x14ac:dyDescent="0.25">
      <c r="I3627" s="268"/>
      <c r="O3627" s="268"/>
    </row>
    <row r="3628" spans="9:15" x14ac:dyDescent="0.25">
      <c r="I3628" s="268"/>
      <c r="O3628" s="268"/>
    </row>
    <row r="3629" spans="9:15" x14ac:dyDescent="0.25">
      <c r="I3629" s="268"/>
      <c r="O3629" s="268"/>
    </row>
    <row r="3630" spans="9:15" x14ac:dyDescent="0.25">
      <c r="I3630" s="268"/>
      <c r="O3630" s="268"/>
    </row>
    <row r="3631" spans="9:15" x14ac:dyDescent="0.25">
      <c r="I3631" s="268"/>
      <c r="O3631" s="268"/>
    </row>
    <row r="3632" spans="9:15" x14ac:dyDescent="0.25">
      <c r="I3632" s="268"/>
      <c r="O3632" s="268"/>
    </row>
    <row r="3633" spans="9:15" x14ac:dyDescent="0.25">
      <c r="I3633" s="268"/>
      <c r="O3633" s="268"/>
    </row>
    <row r="3634" spans="9:15" x14ac:dyDescent="0.25">
      <c r="I3634" s="268"/>
      <c r="O3634" s="268"/>
    </row>
    <row r="3635" spans="9:15" x14ac:dyDescent="0.25">
      <c r="I3635" s="268"/>
      <c r="O3635" s="268"/>
    </row>
    <row r="3636" spans="9:15" x14ac:dyDescent="0.25">
      <c r="I3636" s="268"/>
      <c r="O3636" s="268"/>
    </row>
    <row r="3637" spans="9:15" x14ac:dyDescent="0.25">
      <c r="I3637" s="268"/>
      <c r="O3637" s="268"/>
    </row>
    <row r="3638" spans="9:15" x14ac:dyDescent="0.25">
      <c r="I3638" s="268"/>
      <c r="O3638" s="268"/>
    </row>
    <row r="3639" spans="9:15" x14ac:dyDescent="0.25">
      <c r="I3639" s="268"/>
      <c r="O3639" s="268"/>
    </row>
    <row r="3640" spans="9:15" x14ac:dyDescent="0.25">
      <c r="I3640" s="268"/>
      <c r="O3640" s="268"/>
    </row>
    <row r="3641" spans="9:15" x14ac:dyDescent="0.25">
      <c r="I3641" s="268"/>
      <c r="O3641" s="268"/>
    </row>
    <row r="3642" spans="9:15" x14ac:dyDescent="0.25">
      <c r="I3642" s="268"/>
      <c r="O3642" s="268"/>
    </row>
    <row r="3643" spans="9:15" x14ac:dyDescent="0.25">
      <c r="I3643" s="268"/>
      <c r="O3643" s="268"/>
    </row>
    <row r="3644" spans="9:15" x14ac:dyDescent="0.25">
      <c r="I3644" s="268"/>
      <c r="O3644" s="268"/>
    </row>
    <row r="3645" spans="9:15" x14ac:dyDescent="0.25">
      <c r="I3645" s="268"/>
      <c r="O3645" s="268"/>
    </row>
    <row r="3646" spans="9:15" x14ac:dyDescent="0.25">
      <c r="I3646" s="268"/>
      <c r="O3646" s="268"/>
    </row>
    <row r="3647" spans="9:15" x14ac:dyDescent="0.25">
      <c r="I3647" s="268"/>
      <c r="O3647" s="268"/>
    </row>
    <row r="3648" spans="9:15" x14ac:dyDescent="0.25">
      <c r="I3648" s="268"/>
      <c r="O3648" s="268"/>
    </row>
    <row r="3649" spans="9:15" x14ac:dyDescent="0.25">
      <c r="I3649" s="268"/>
      <c r="O3649" s="268"/>
    </row>
    <row r="3650" spans="9:15" x14ac:dyDescent="0.25">
      <c r="I3650" s="268"/>
      <c r="O3650" s="268"/>
    </row>
    <row r="3651" spans="9:15" x14ac:dyDescent="0.25">
      <c r="I3651" s="268"/>
      <c r="O3651" s="268"/>
    </row>
    <row r="3652" spans="9:15" x14ac:dyDescent="0.25">
      <c r="I3652" s="268"/>
      <c r="O3652" s="268"/>
    </row>
    <row r="3653" spans="9:15" x14ac:dyDescent="0.25">
      <c r="I3653" s="268"/>
      <c r="O3653" s="268"/>
    </row>
    <row r="3654" spans="9:15" x14ac:dyDescent="0.25">
      <c r="I3654" s="268"/>
      <c r="O3654" s="268"/>
    </row>
    <row r="3655" spans="9:15" x14ac:dyDescent="0.25">
      <c r="I3655" s="268"/>
      <c r="O3655" s="268"/>
    </row>
    <row r="3656" spans="9:15" x14ac:dyDescent="0.25">
      <c r="I3656" s="268"/>
      <c r="O3656" s="268"/>
    </row>
    <row r="3657" spans="9:15" x14ac:dyDescent="0.25">
      <c r="I3657" s="268"/>
      <c r="O3657" s="268"/>
    </row>
    <row r="3658" spans="9:15" x14ac:dyDescent="0.25">
      <c r="I3658" s="268"/>
      <c r="O3658" s="268"/>
    </row>
    <row r="3659" spans="9:15" x14ac:dyDescent="0.25">
      <c r="I3659" s="268"/>
      <c r="O3659" s="268"/>
    </row>
    <row r="3660" spans="9:15" x14ac:dyDescent="0.25">
      <c r="I3660" s="268"/>
      <c r="O3660" s="268"/>
    </row>
    <row r="3661" spans="9:15" x14ac:dyDescent="0.25">
      <c r="I3661" s="268"/>
      <c r="O3661" s="268"/>
    </row>
    <row r="3662" spans="9:15" x14ac:dyDescent="0.25">
      <c r="I3662" s="268"/>
      <c r="O3662" s="268"/>
    </row>
    <row r="3663" spans="9:15" x14ac:dyDescent="0.25">
      <c r="I3663" s="268"/>
      <c r="O3663" s="268"/>
    </row>
    <row r="3664" spans="9:15" x14ac:dyDescent="0.25">
      <c r="I3664" s="268"/>
      <c r="O3664" s="268"/>
    </row>
    <row r="3665" spans="9:15" x14ac:dyDescent="0.25">
      <c r="I3665" s="268"/>
      <c r="O3665" s="268"/>
    </row>
    <row r="3666" spans="9:15" x14ac:dyDescent="0.25">
      <c r="I3666" s="268"/>
      <c r="O3666" s="268"/>
    </row>
    <row r="3667" spans="9:15" x14ac:dyDescent="0.25">
      <c r="I3667" s="268"/>
      <c r="O3667" s="268"/>
    </row>
    <row r="3668" spans="9:15" x14ac:dyDescent="0.25">
      <c r="I3668" s="268"/>
      <c r="O3668" s="268"/>
    </row>
    <row r="3669" spans="9:15" x14ac:dyDescent="0.25">
      <c r="I3669" s="268"/>
      <c r="O3669" s="268"/>
    </row>
    <row r="3670" spans="9:15" x14ac:dyDescent="0.25">
      <c r="I3670" s="268"/>
      <c r="O3670" s="268"/>
    </row>
    <row r="3671" spans="9:15" x14ac:dyDescent="0.25">
      <c r="I3671" s="268"/>
      <c r="O3671" s="268"/>
    </row>
    <row r="3672" spans="9:15" x14ac:dyDescent="0.25">
      <c r="I3672" s="268"/>
      <c r="O3672" s="268"/>
    </row>
    <row r="3673" spans="9:15" x14ac:dyDescent="0.25">
      <c r="I3673" s="268"/>
      <c r="O3673" s="268"/>
    </row>
    <row r="3674" spans="9:15" x14ac:dyDescent="0.25">
      <c r="I3674" s="268"/>
      <c r="O3674" s="268"/>
    </row>
    <row r="3675" spans="9:15" x14ac:dyDescent="0.25">
      <c r="I3675" s="268"/>
      <c r="O3675" s="268"/>
    </row>
    <row r="3676" spans="9:15" x14ac:dyDescent="0.25">
      <c r="I3676" s="268"/>
      <c r="O3676" s="268"/>
    </row>
    <row r="3677" spans="9:15" x14ac:dyDescent="0.25">
      <c r="I3677" s="268"/>
      <c r="O3677" s="268"/>
    </row>
    <row r="3678" spans="9:15" x14ac:dyDescent="0.25">
      <c r="I3678" s="268"/>
      <c r="O3678" s="268"/>
    </row>
    <row r="3679" spans="9:15" x14ac:dyDescent="0.25">
      <c r="I3679" s="268"/>
      <c r="O3679" s="268"/>
    </row>
    <row r="3680" spans="9:15" x14ac:dyDescent="0.25">
      <c r="I3680" s="268"/>
      <c r="O3680" s="268"/>
    </row>
    <row r="3681" spans="9:15" x14ac:dyDescent="0.25">
      <c r="I3681" s="268"/>
      <c r="O3681" s="268"/>
    </row>
    <row r="3682" spans="9:15" x14ac:dyDescent="0.25">
      <c r="I3682" s="268"/>
      <c r="O3682" s="268"/>
    </row>
    <row r="3683" spans="9:15" x14ac:dyDescent="0.25">
      <c r="I3683" s="268"/>
      <c r="O3683" s="268"/>
    </row>
    <row r="3684" spans="9:15" x14ac:dyDescent="0.25">
      <c r="I3684" s="268"/>
      <c r="O3684" s="268"/>
    </row>
    <row r="3685" spans="9:15" x14ac:dyDescent="0.25">
      <c r="I3685" s="268"/>
      <c r="O3685" s="268"/>
    </row>
    <row r="3686" spans="9:15" x14ac:dyDescent="0.25">
      <c r="I3686" s="268"/>
      <c r="O3686" s="268"/>
    </row>
    <row r="3687" spans="9:15" x14ac:dyDescent="0.25">
      <c r="I3687" s="268"/>
      <c r="O3687" s="268"/>
    </row>
    <row r="3688" spans="9:15" x14ac:dyDescent="0.25">
      <c r="I3688" s="268"/>
      <c r="O3688" s="268"/>
    </row>
    <row r="3689" spans="9:15" x14ac:dyDescent="0.25">
      <c r="I3689" s="268"/>
      <c r="O3689" s="268"/>
    </row>
    <row r="3690" spans="9:15" x14ac:dyDescent="0.25">
      <c r="I3690" s="268"/>
      <c r="O3690" s="268"/>
    </row>
    <row r="3691" spans="9:15" x14ac:dyDescent="0.25">
      <c r="I3691" s="268"/>
      <c r="O3691" s="268"/>
    </row>
    <row r="3692" spans="9:15" x14ac:dyDescent="0.25">
      <c r="I3692" s="268"/>
      <c r="O3692" s="268"/>
    </row>
    <row r="3693" spans="9:15" x14ac:dyDescent="0.25">
      <c r="I3693" s="268"/>
      <c r="O3693" s="268"/>
    </row>
    <row r="3694" spans="9:15" x14ac:dyDescent="0.25">
      <c r="I3694" s="268"/>
      <c r="O3694" s="268"/>
    </row>
    <row r="3695" spans="9:15" x14ac:dyDescent="0.25">
      <c r="I3695" s="268"/>
      <c r="O3695" s="268"/>
    </row>
    <row r="3696" spans="9:15" x14ac:dyDescent="0.25">
      <c r="I3696" s="268"/>
      <c r="O3696" s="268"/>
    </row>
    <row r="3697" spans="9:15" x14ac:dyDescent="0.25">
      <c r="I3697" s="268"/>
      <c r="O3697" s="268"/>
    </row>
    <row r="3698" spans="9:15" x14ac:dyDescent="0.25">
      <c r="I3698" s="268"/>
      <c r="O3698" s="268"/>
    </row>
    <row r="3699" spans="9:15" x14ac:dyDescent="0.25">
      <c r="I3699" s="268"/>
      <c r="O3699" s="268"/>
    </row>
    <row r="3700" spans="9:15" x14ac:dyDescent="0.25">
      <c r="I3700" s="268"/>
      <c r="O3700" s="268"/>
    </row>
    <row r="3701" spans="9:15" x14ac:dyDescent="0.25">
      <c r="I3701" s="268"/>
      <c r="O3701" s="268"/>
    </row>
    <row r="3702" spans="9:15" x14ac:dyDescent="0.25">
      <c r="I3702" s="268"/>
      <c r="O3702" s="268"/>
    </row>
    <row r="3703" spans="9:15" x14ac:dyDescent="0.25">
      <c r="I3703" s="268"/>
      <c r="O3703" s="268"/>
    </row>
    <row r="3704" spans="9:15" x14ac:dyDescent="0.25">
      <c r="I3704" s="268"/>
      <c r="O3704" s="268"/>
    </row>
    <row r="3705" spans="9:15" x14ac:dyDescent="0.25">
      <c r="I3705" s="268"/>
      <c r="O3705" s="268"/>
    </row>
    <row r="3706" spans="9:15" x14ac:dyDescent="0.25">
      <c r="I3706" s="268"/>
      <c r="O3706" s="268"/>
    </row>
    <row r="3707" spans="9:15" x14ac:dyDescent="0.25">
      <c r="I3707" s="268"/>
      <c r="O3707" s="268"/>
    </row>
    <row r="3708" spans="9:15" x14ac:dyDescent="0.25">
      <c r="I3708" s="268"/>
      <c r="O3708" s="268"/>
    </row>
    <row r="3709" spans="9:15" x14ac:dyDescent="0.25">
      <c r="I3709" s="268"/>
      <c r="O3709" s="268"/>
    </row>
    <row r="3710" spans="9:15" x14ac:dyDescent="0.25">
      <c r="I3710" s="268"/>
      <c r="O3710" s="268"/>
    </row>
    <row r="3711" spans="9:15" x14ac:dyDescent="0.25">
      <c r="I3711" s="268"/>
      <c r="O3711" s="268"/>
    </row>
    <row r="3712" spans="9:15" x14ac:dyDescent="0.25">
      <c r="I3712" s="268"/>
      <c r="O3712" s="268"/>
    </row>
    <row r="3713" spans="9:15" x14ac:dyDescent="0.25">
      <c r="I3713" s="268"/>
      <c r="O3713" s="268"/>
    </row>
    <row r="3714" spans="9:15" x14ac:dyDescent="0.25">
      <c r="I3714" s="268"/>
      <c r="O3714" s="268"/>
    </row>
    <row r="3715" spans="9:15" x14ac:dyDescent="0.25">
      <c r="I3715" s="268"/>
      <c r="O3715" s="268"/>
    </row>
    <row r="3716" spans="9:15" x14ac:dyDescent="0.25">
      <c r="I3716" s="268"/>
      <c r="O3716" s="268"/>
    </row>
    <row r="3717" spans="9:15" x14ac:dyDescent="0.25">
      <c r="I3717" s="268"/>
      <c r="O3717" s="268"/>
    </row>
    <row r="3718" spans="9:15" x14ac:dyDescent="0.25">
      <c r="I3718" s="268"/>
      <c r="O3718" s="268"/>
    </row>
    <row r="3719" spans="9:15" x14ac:dyDescent="0.25">
      <c r="I3719" s="268"/>
      <c r="O3719" s="268"/>
    </row>
    <row r="3720" spans="9:15" x14ac:dyDescent="0.25">
      <c r="I3720" s="268"/>
      <c r="O3720" s="268"/>
    </row>
    <row r="3721" spans="9:15" x14ac:dyDescent="0.25">
      <c r="I3721" s="268"/>
      <c r="O3721" s="268"/>
    </row>
    <row r="3722" spans="9:15" x14ac:dyDescent="0.25">
      <c r="I3722" s="268"/>
      <c r="O3722" s="268"/>
    </row>
    <row r="3723" spans="9:15" x14ac:dyDescent="0.25">
      <c r="I3723" s="268"/>
      <c r="O3723" s="268"/>
    </row>
    <row r="3724" spans="9:15" x14ac:dyDescent="0.25">
      <c r="I3724" s="268"/>
      <c r="O3724" s="268"/>
    </row>
    <row r="3725" spans="9:15" x14ac:dyDescent="0.25">
      <c r="I3725" s="268"/>
      <c r="O3725" s="268"/>
    </row>
    <row r="3726" spans="9:15" x14ac:dyDescent="0.25">
      <c r="I3726" s="268"/>
      <c r="O3726" s="268"/>
    </row>
    <row r="3727" spans="9:15" x14ac:dyDescent="0.25">
      <c r="I3727" s="268"/>
      <c r="O3727" s="268"/>
    </row>
    <row r="3728" spans="9:15" x14ac:dyDescent="0.25">
      <c r="I3728" s="268"/>
      <c r="O3728" s="268"/>
    </row>
    <row r="3729" spans="9:15" x14ac:dyDescent="0.25">
      <c r="I3729" s="268"/>
      <c r="O3729" s="268"/>
    </row>
    <row r="3730" spans="9:15" x14ac:dyDescent="0.25">
      <c r="I3730" s="268"/>
      <c r="O3730" s="268"/>
    </row>
    <row r="3731" spans="9:15" x14ac:dyDescent="0.25">
      <c r="I3731" s="268"/>
      <c r="O3731" s="268"/>
    </row>
    <row r="3732" spans="9:15" x14ac:dyDescent="0.25">
      <c r="I3732" s="268"/>
      <c r="O3732" s="268"/>
    </row>
    <row r="3733" spans="9:15" x14ac:dyDescent="0.25">
      <c r="I3733" s="268"/>
      <c r="O3733" s="268"/>
    </row>
    <row r="3734" spans="9:15" x14ac:dyDescent="0.25">
      <c r="I3734" s="268"/>
      <c r="O3734" s="268"/>
    </row>
    <row r="3735" spans="9:15" x14ac:dyDescent="0.25">
      <c r="I3735" s="268"/>
      <c r="O3735" s="268"/>
    </row>
    <row r="3736" spans="9:15" x14ac:dyDescent="0.25">
      <c r="I3736" s="268"/>
      <c r="O3736" s="268"/>
    </row>
    <row r="3737" spans="9:15" x14ac:dyDescent="0.25">
      <c r="I3737" s="268"/>
      <c r="O3737" s="268"/>
    </row>
    <row r="3738" spans="9:15" x14ac:dyDescent="0.25">
      <c r="I3738" s="268"/>
      <c r="O3738" s="268"/>
    </row>
    <row r="3739" spans="9:15" x14ac:dyDescent="0.25">
      <c r="I3739" s="268"/>
      <c r="O3739" s="268"/>
    </row>
    <row r="3740" spans="9:15" x14ac:dyDescent="0.25">
      <c r="I3740" s="268"/>
      <c r="O3740" s="268"/>
    </row>
    <row r="3741" spans="9:15" x14ac:dyDescent="0.25">
      <c r="I3741" s="268"/>
      <c r="O3741" s="268"/>
    </row>
    <row r="3742" spans="9:15" x14ac:dyDescent="0.25">
      <c r="I3742" s="268"/>
      <c r="O3742" s="268"/>
    </row>
    <row r="3743" spans="9:15" x14ac:dyDescent="0.25">
      <c r="I3743" s="268"/>
      <c r="O3743" s="268"/>
    </row>
    <row r="3744" spans="9:15" x14ac:dyDescent="0.25">
      <c r="I3744" s="268"/>
      <c r="O3744" s="268"/>
    </row>
    <row r="3745" spans="9:15" x14ac:dyDescent="0.25">
      <c r="I3745" s="268"/>
      <c r="O3745" s="268"/>
    </row>
    <row r="3746" spans="9:15" x14ac:dyDescent="0.25">
      <c r="I3746" s="268"/>
      <c r="O3746" s="268"/>
    </row>
    <row r="3747" spans="9:15" x14ac:dyDescent="0.25">
      <c r="I3747" s="268"/>
      <c r="O3747" s="268"/>
    </row>
    <row r="3748" spans="9:15" x14ac:dyDescent="0.25">
      <c r="I3748" s="268"/>
      <c r="O3748" s="268"/>
    </row>
    <row r="3749" spans="9:15" x14ac:dyDescent="0.25">
      <c r="I3749" s="268"/>
      <c r="O3749" s="268"/>
    </row>
    <row r="3750" spans="9:15" x14ac:dyDescent="0.25">
      <c r="I3750" s="268"/>
      <c r="O3750" s="268"/>
    </row>
    <row r="3751" spans="9:15" x14ac:dyDescent="0.25">
      <c r="I3751" s="268"/>
      <c r="O3751" s="268"/>
    </row>
    <row r="3752" spans="9:15" x14ac:dyDescent="0.25">
      <c r="I3752" s="268"/>
      <c r="O3752" s="268"/>
    </row>
    <row r="3753" spans="9:15" x14ac:dyDescent="0.25">
      <c r="I3753" s="268"/>
      <c r="O3753" s="268"/>
    </row>
    <row r="3754" spans="9:15" x14ac:dyDescent="0.25">
      <c r="I3754" s="268"/>
      <c r="O3754" s="268"/>
    </row>
    <row r="3755" spans="9:15" x14ac:dyDescent="0.25">
      <c r="I3755" s="268"/>
      <c r="O3755" s="268"/>
    </row>
    <row r="3756" spans="9:15" x14ac:dyDescent="0.25">
      <c r="I3756" s="268"/>
      <c r="O3756" s="268"/>
    </row>
    <row r="3757" spans="9:15" x14ac:dyDescent="0.25">
      <c r="I3757" s="268"/>
      <c r="O3757" s="268"/>
    </row>
    <row r="3758" spans="9:15" x14ac:dyDescent="0.25">
      <c r="I3758" s="268"/>
      <c r="O3758" s="268"/>
    </row>
    <row r="3759" spans="9:15" x14ac:dyDescent="0.25">
      <c r="I3759" s="268"/>
      <c r="O3759" s="268"/>
    </row>
    <row r="3760" spans="9:15" x14ac:dyDescent="0.25">
      <c r="I3760" s="268"/>
      <c r="O3760" s="268"/>
    </row>
    <row r="3761" spans="9:15" x14ac:dyDescent="0.25">
      <c r="I3761" s="268"/>
      <c r="O3761" s="268"/>
    </row>
    <row r="3762" spans="9:15" x14ac:dyDescent="0.25">
      <c r="I3762" s="268"/>
      <c r="O3762" s="268"/>
    </row>
    <row r="3763" spans="9:15" x14ac:dyDescent="0.25">
      <c r="I3763" s="268"/>
      <c r="O3763" s="268"/>
    </row>
    <row r="3764" spans="9:15" x14ac:dyDescent="0.25">
      <c r="I3764" s="268"/>
      <c r="O3764" s="268"/>
    </row>
    <row r="3765" spans="9:15" x14ac:dyDescent="0.25">
      <c r="I3765" s="268"/>
      <c r="O3765" s="268"/>
    </row>
    <row r="3766" spans="9:15" x14ac:dyDescent="0.25">
      <c r="I3766" s="268"/>
      <c r="O3766" s="268"/>
    </row>
    <row r="3767" spans="9:15" x14ac:dyDescent="0.25">
      <c r="I3767" s="268"/>
      <c r="O3767" s="268"/>
    </row>
    <row r="3768" spans="9:15" x14ac:dyDescent="0.25">
      <c r="I3768" s="268"/>
      <c r="O3768" s="268"/>
    </row>
    <row r="3769" spans="9:15" x14ac:dyDescent="0.25">
      <c r="I3769" s="268"/>
      <c r="O3769" s="268"/>
    </row>
    <row r="3770" spans="9:15" x14ac:dyDescent="0.25">
      <c r="I3770" s="268"/>
      <c r="O3770" s="268"/>
    </row>
    <row r="3771" spans="9:15" x14ac:dyDescent="0.25">
      <c r="I3771" s="268"/>
      <c r="O3771" s="268"/>
    </row>
    <row r="3772" spans="9:15" x14ac:dyDescent="0.25">
      <c r="I3772" s="268"/>
      <c r="O3772" s="268"/>
    </row>
    <row r="3773" spans="9:15" x14ac:dyDescent="0.25">
      <c r="I3773" s="268"/>
      <c r="O3773" s="268"/>
    </row>
    <row r="3774" spans="9:15" x14ac:dyDescent="0.25">
      <c r="I3774" s="268"/>
      <c r="O3774" s="268"/>
    </row>
    <row r="3775" spans="9:15" x14ac:dyDescent="0.25">
      <c r="I3775" s="268"/>
      <c r="O3775" s="268"/>
    </row>
    <row r="3776" spans="9:15" x14ac:dyDescent="0.25">
      <c r="I3776" s="268"/>
      <c r="O3776" s="268"/>
    </row>
    <row r="3777" spans="9:15" x14ac:dyDescent="0.25">
      <c r="I3777" s="268"/>
      <c r="O3777" s="268"/>
    </row>
    <row r="3778" spans="9:15" x14ac:dyDescent="0.25">
      <c r="I3778" s="268"/>
      <c r="O3778" s="268"/>
    </row>
    <row r="3779" spans="9:15" x14ac:dyDescent="0.25">
      <c r="I3779" s="268"/>
      <c r="O3779" s="268"/>
    </row>
    <row r="3780" spans="9:15" x14ac:dyDescent="0.25">
      <c r="I3780" s="268"/>
      <c r="O3780" s="268"/>
    </row>
    <row r="3781" spans="9:15" x14ac:dyDescent="0.25">
      <c r="I3781" s="268"/>
      <c r="O3781" s="268"/>
    </row>
    <row r="3782" spans="9:15" x14ac:dyDescent="0.25">
      <c r="I3782" s="268"/>
      <c r="O3782" s="268"/>
    </row>
    <row r="3783" spans="9:15" x14ac:dyDescent="0.25">
      <c r="I3783" s="268"/>
      <c r="O3783" s="268"/>
    </row>
    <row r="3784" spans="9:15" x14ac:dyDescent="0.25">
      <c r="I3784" s="268"/>
      <c r="O3784" s="268"/>
    </row>
    <row r="3785" spans="9:15" x14ac:dyDescent="0.25">
      <c r="I3785" s="268"/>
      <c r="O3785" s="268"/>
    </row>
    <row r="3786" spans="9:15" x14ac:dyDescent="0.25">
      <c r="I3786" s="268"/>
      <c r="O3786" s="268"/>
    </row>
    <row r="3787" spans="9:15" x14ac:dyDescent="0.25">
      <c r="I3787" s="268"/>
      <c r="O3787" s="268"/>
    </row>
    <row r="3788" spans="9:15" x14ac:dyDescent="0.25">
      <c r="I3788" s="268"/>
      <c r="O3788" s="268"/>
    </row>
    <row r="3789" spans="9:15" x14ac:dyDescent="0.25">
      <c r="I3789" s="268"/>
      <c r="O3789" s="268"/>
    </row>
    <row r="3790" spans="9:15" x14ac:dyDescent="0.25">
      <c r="I3790" s="268"/>
      <c r="O3790" s="268"/>
    </row>
    <row r="3791" spans="9:15" x14ac:dyDescent="0.25">
      <c r="I3791" s="268"/>
      <c r="O3791" s="268"/>
    </row>
    <row r="3792" spans="9:15" x14ac:dyDescent="0.25">
      <c r="I3792" s="268"/>
      <c r="O3792" s="268"/>
    </row>
    <row r="3793" spans="9:15" x14ac:dyDescent="0.25">
      <c r="I3793" s="268"/>
      <c r="O3793" s="268"/>
    </row>
    <row r="3794" spans="9:15" x14ac:dyDescent="0.25">
      <c r="I3794" s="268"/>
      <c r="O3794" s="268"/>
    </row>
    <row r="3795" spans="9:15" x14ac:dyDescent="0.25">
      <c r="I3795" s="268"/>
      <c r="O3795" s="268"/>
    </row>
    <row r="3796" spans="9:15" x14ac:dyDescent="0.25">
      <c r="I3796" s="268"/>
      <c r="O3796" s="268"/>
    </row>
    <row r="3797" spans="9:15" x14ac:dyDescent="0.25">
      <c r="I3797" s="268"/>
      <c r="O3797" s="268"/>
    </row>
    <row r="3798" spans="9:15" x14ac:dyDescent="0.25">
      <c r="I3798" s="268"/>
      <c r="O3798" s="268"/>
    </row>
    <row r="3799" spans="9:15" x14ac:dyDescent="0.25">
      <c r="I3799" s="268"/>
      <c r="O3799" s="268"/>
    </row>
    <row r="3800" spans="9:15" x14ac:dyDescent="0.25">
      <c r="I3800" s="268"/>
      <c r="O3800" s="268"/>
    </row>
    <row r="3801" spans="9:15" x14ac:dyDescent="0.25">
      <c r="I3801" s="268"/>
      <c r="O3801" s="268"/>
    </row>
    <row r="3802" spans="9:15" x14ac:dyDescent="0.25">
      <c r="I3802" s="268"/>
      <c r="O3802" s="268"/>
    </row>
    <row r="3803" spans="9:15" x14ac:dyDescent="0.25">
      <c r="I3803" s="268"/>
      <c r="O3803" s="268"/>
    </row>
    <row r="3804" spans="9:15" x14ac:dyDescent="0.25">
      <c r="I3804" s="268"/>
      <c r="O3804" s="268"/>
    </row>
    <row r="3805" spans="9:15" x14ac:dyDescent="0.25">
      <c r="I3805" s="268"/>
      <c r="O3805" s="268"/>
    </row>
    <row r="3806" spans="9:15" x14ac:dyDescent="0.25">
      <c r="I3806" s="268"/>
      <c r="O3806" s="268"/>
    </row>
    <row r="3807" spans="9:15" x14ac:dyDescent="0.25">
      <c r="I3807" s="268"/>
      <c r="O3807" s="268"/>
    </row>
    <row r="3808" spans="9:15" x14ac:dyDescent="0.25">
      <c r="I3808" s="268"/>
      <c r="O3808" s="268"/>
    </row>
    <row r="3809" spans="9:15" x14ac:dyDescent="0.25">
      <c r="I3809" s="268"/>
      <c r="O3809" s="268"/>
    </row>
    <row r="3810" spans="9:15" x14ac:dyDescent="0.25">
      <c r="I3810" s="268"/>
      <c r="O3810" s="268"/>
    </row>
    <row r="3811" spans="9:15" x14ac:dyDescent="0.25">
      <c r="I3811" s="268"/>
      <c r="O3811" s="268"/>
    </row>
    <row r="3812" spans="9:15" x14ac:dyDescent="0.25">
      <c r="I3812" s="268"/>
      <c r="O3812" s="268"/>
    </row>
    <row r="3813" spans="9:15" x14ac:dyDescent="0.25">
      <c r="I3813" s="268"/>
      <c r="O3813" s="268"/>
    </row>
    <row r="3814" spans="9:15" x14ac:dyDescent="0.25">
      <c r="I3814" s="268"/>
      <c r="O3814" s="268"/>
    </row>
    <row r="3815" spans="9:15" x14ac:dyDescent="0.25">
      <c r="I3815" s="268"/>
      <c r="O3815" s="268"/>
    </row>
    <row r="3816" spans="9:15" x14ac:dyDescent="0.25">
      <c r="I3816" s="268"/>
      <c r="O3816" s="268"/>
    </row>
    <row r="3817" spans="9:15" x14ac:dyDescent="0.25">
      <c r="I3817" s="268"/>
      <c r="O3817" s="268"/>
    </row>
    <row r="3818" spans="9:15" x14ac:dyDescent="0.25">
      <c r="I3818" s="268"/>
      <c r="O3818" s="268"/>
    </row>
    <row r="3819" spans="9:15" x14ac:dyDescent="0.25">
      <c r="I3819" s="268"/>
      <c r="O3819" s="268"/>
    </row>
    <row r="3820" spans="9:15" x14ac:dyDescent="0.25">
      <c r="I3820" s="268"/>
      <c r="O3820" s="268"/>
    </row>
    <row r="3821" spans="9:15" x14ac:dyDescent="0.25">
      <c r="I3821" s="268"/>
      <c r="O3821" s="268"/>
    </row>
    <row r="3822" spans="9:15" x14ac:dyDescent="0.25">
      <c r="I3822" s="268"/>
      <c r="O3822" s="268"/>
    </row>
    <row r="3823" spans="9:15" x14ac:dyDescent="0.25">
      <c r="I3823" s="268"/>
      <c r="O3823" s="268"/>
    </row>
    <row r="3824" spans="9:15" x14ac:dyDescent="0.25">
      <c r="I3824" s="268"/>
      <c r="O3824" s="268"/>
    </row>
    <row r="3825" spans="9:15" x14ac:dyDescent="0.25">
      <c r="I3825" s="268"/>
      <c r="O3825" s="268"/>
    </row>
    <row r="3826" spans="9:15" x14ac:dyDescent="0.25">
      <c r="I3826" s="268"/>
      <c r="O3826" s="268"/>
    </row>
    <row r="3827" spans="9:15" x14ac:dyDescent="0.25">
      <c r="I3827" s="268"/>
      <c r="O3827" s="268"/>
    </row>
    <row r="3828" spans="9:15" x14ac:dyDescent="0.25">
      <c r="I3828" s="268"/>
      <c r="O3828" s="268"/>
    </row>
    <row r="3829" spans="9:15" x14ac:dyDescent="0.25">
      <c r="I3829" s="268"/>
      <c r="O3829" s="268"/>
    </row>
    <row r="3830" spans="9:15" x14ac:dyDescent="0.25">
      <c r="I3830" s="268"/>
      <c r="O3830" s="268"/>
    </row>
    <row r="3831" spans="9:15" x14ac:dyDescent="0.25">
      <c r="I3831" s="268"/>
      <c r="O3831" s="268"/>
    </row>
    <row r="3832" spans="9:15" x14ac:dyDescent="0.25">
      <c r="I3832" s="268"/>
      <c r="O3832" s="268"/>
    </row>
    <row r="3833" spans="9:15" x14ac:dyDescent="0.25">
      <c r="I3833" s="268"/>
      <c r="O3833" s="268"/>
    </row>
    <row r="3834" spans="9:15" x14ac:dyDescent="0.25">
      <c r="I3834" s="268"/>
      <c r="O3834" s="268"/>
    </row>
    <row r="3835" spans="9:15" x14ac:dyDescent="0.25">
      <c r="I3835" s="268"/>
      <c r="O3835" s="268"/>
    </row>
    <row r="3836" spans="9:15" x14ac:dyDescent="0.25">
      <c r="I3836" s="268"/>
      <c r="O3836" s="268"/>
    </row>
    <row r="3837" spans="9:15" x14ac:dyDescent="0.25">
      <c r="I3837" s="268"/>
      <c r="O3837" s="268"/>
    </row>
    <row r="3838" spans="9:15" x14ac:dyDescent="0.25">
      <c r="I3838" s="268"/>
      <c r="O3838" s="268"/>
    </row>
    <row r="3839" spans="9:15" x14ac:dyDescent="0.25">
      <c r="I3839" s="268"/>
      <c r="O3839" s="268"/>
    </row>
    <row r="3840" spans="9:15" x14ac:dyDescent="0.25">
      <c r="I3840" s="268"/>
      <c r="O3840" s="268"/>
    </row>
    <row r="3841" spans="9:15" x14ac:dyDescent="0.25">
      <c r="I3841" s="268"/>
      <c r="O3841" s="268"/>
    </row>
    <row r="3842" spans="9:15" x14ac:dyDescent="0.25">
      <c r="I3842" s="268"/>
      <c r="O3842" s="268"/>
    </row>
    <row r="3843" spans="9:15" x14ac:dyDescent="0.25">
      <c r="I3843" s="268"/>
      <c r="O3843" s="268"/>
    </row>
    <row r="3844" spans="9:15" x14ac:dyDescent="0.25">
      <c r="I3844" s="268"/>
      <c r="O3844" s="268"/>
    </row>
    <row r="3845" spans="9:15" x14ac:dyDescent="0.25">
      <c r="I3845" s="268"/>
      <c r="O3845" s="268"/>
    </row>
    <row r="3846" spans="9:15" x14ac:dyDescent="0.25">
      <c r="I3846" s="268"/>
      <c r="O3846" s="268"/>
    </row>
    <row r="3847" spans="9:15" x14ac:dyDescent="0.25">
      <c r="I3847" s="268"/>
      <c r="O3847" s="268"/>
    </row>
    <row r="3848" spans="9:15" x14ac:dyDescent="0.25">
      <c r="I3848" s="268"/>
      <c r="O3848" s="268"/>
    </row>
    <row r="3849" spans="9:15" x14ac:dyDescent="0.25">
      <c r="I3849" s="268"/>
      <c r="O3849" s="268"/>
    </row>
    <row r="3850" spans="9:15" x14ac:dyDescent="0.25">
      <c r="I3850" s="268"/>
      <c r="O3850" s="268"/>
    </row>
    <row r="3851" spans="9:15" x14ac:dyDescent="0.25">
      <c r="I3851" s="268"/>
      <c r="O3851" s="268"/>
    </row>
    <row r="3852" spans="9:15" x14ac:dyDescent="0.25">
      <c r="I3852" s="268"/>
      <c r="O3852" s="268"/>
    </row>
    <row r="3853" spans="9:15" x14ac:dyDescent="0.25">
      <c r="I3853" s="268"/>
      <c r="O3853" s="268"/>
    </row>
    <row r="3854" spans="9:15" x14ac:dyDescent="0.25">
      <c r="I3854" s="268"/>
      <c r="O3854" s="268"/>
    </row>
    <row r="3855" spans="9:15" x14ac:dyDescent="0.25">
      <c r="I3855" s="268"/>
      <c r="O3855" s="268"/>
    </row>
    <row r="3856" spans="9:15" x14ac:dyDescent="0.25">
      <c r="I3856" s="268"/>
      <c r="O3856" s="268"/>
    </row>
    <row r="3857" spans="9:15" x14ac:dyDescent="0.25">
      <c r="I3857" s="268"/>
      <c r="O3857" s="268"/>
    </row>
    <row r="3858" spans="9:15" x14ac:dyDescent="0.25">
      <c r="I3858" s="268"/>
      <c r="O3858" s="268"/>
    </row>
    <row r="3859" spans="9:15" x14ac:dyDescent="0.25">
      <c r="I3859" s="268"/>
      <c r="O3859" s="268"/>
    </row>
    <row r="3860" spans="9:15" x14ac:dyDescent="0.25">
      <c r="I3860" s="268"/>
      <c r="O3860" s="268"/>
    </row>
    <row r="3861" spans="9:15" x14ac:dyDescent="0.25">
      <c r="I3861" s="268"/>
      <c r="O3861" s="268"/>
    </row>
    <row r="3862" spans="9:15" x14ac:dyDescent="0.25">
      <c r="I3862" s="268"/>
      <c r="O3862" s="268"/>
    </row>
    <row r="3863" spans="9:15" x14ac:dyDescent="0.25">
      <c r="I3863" s="268"/>
      <c r="O3863" s="268"/>
    </row>
    <row r="3864" spans="9:15" x14ac:dyDescent="0.25">
      <c r="I3864" s="268"/>
      <c r="O3864" s="268"/>
    </row>
    <row r="3865" spans="9:15" x14ac:dyDescent="0.25">
      <c r="I3865" s="268"/>
      <c r="O3865" s="268"/>
    </row>
    <row r="3866" spans="9:15" x14ac:dyDescent="0.25">
      <c r="I3866" s="268"/>
      <c r="O3866" s="268"/>
    </row>
    <row r="3867" spans="9:15" x14ac:dyDescent="0.25">
      <c r="I3867" s="268"/>
      <c r="O3867" s="268"/>
    </row>
    <row r="3868" spans="9:15" x14ac:dyDescent="0.25">
      <c r="I3868" s="268"/>
      <c r="O3868" s="268"/>
    </row>
    <row r="3869" spans="9:15" x14ac:dyDescent="0.25">
      <c r="I3869" s="268"/>
      <c r="O3869" s="268"/>
    </row>
    <row r="3870" spans="9:15" x14ac:dyDescent="0.25">
      <c r="I3870" s="268"/>
      <c r="O3870" s="268"/>
    </row>
    <row r="3871" spans="9:15" x14ac:dyDescent="0.25">
      <c r="I3871" s="268"/>
      <c r="O3871" s="268"/>
    </row>
    <row r="3872" spans="9:15" x14ac:dyDescent="0.25">
      <c r="I3872" s="268"/>
      <c r="O3872" s="268"/>
    </row>
    <row r="3873" spans="9:15" x14ac:dyDescent="0.25">
      <c r="I3873" s="268"/>
      <c r="O3873" s="268"/>
    </row>
    <row r="3874" spans="9:15" x14ac:dyDescent="0.25">
      <c r="I3874" s="268"/>
      <c r="O3874" s="268"/>
    </row>
    <row r="3875" spans="9:15" x14ac:dyDescent="0.25">
      <c r="I3875" s="268"/>
      <c r="O3875" s="268"/>
    </row>
    <row r="3876" spans="9:15" x14ac:dyDescent="0.25">
      <c r="I3876" s="268"/>
      <c r="O3876" s="268"/>
    </row>
    <row r="3877" spans="9:15" x14ac:dyDescent="0.25">
      <c r="I3877" s="268"/>
      <c r="O3877" s="268"/>
    </row>
    <row r="3878" spans="9:15" x14ac:dyDescent="0.25">
      <c r="I3878" s="268"/>
      <c r="O3878" s="268"/>
    </row>
    <row r="3879" spans="9:15" x14ac:dyDescent="0.25">
      <c r="I3879" s="268"/>
      <c r="O3879" s="268"/>
    </row>
    <row r="3880" spans="9:15" x14ac:dyDescent="0.25">
      <c r="I3880" s="268"/>
      <c r="O3880" s="268"/>
    </row>
    <row r="3881" spans="9:15" x14ac:dyDescent="0.25">
      <c r="I3881" s="268"/>
      <c r="O3881" s="268"/>
    </row>
    <row r="3882" spans="9:15" x14ac:dyDescent="0.25">
      <c r="I3882" s="268"/>
      <c r="O3882" s="268"/>
    </row>
    <row r="3883" spans="9:15" x14ac:dyDescent="0.25">
      <c r="I3883" s="268"/>
      <c r="O3883" s="268"/>
    </row>
    <row r="3884" spans="9:15" x14ac:dyDescent="0.25">
      <c r="I3884" s="268"/>
      <c r="O3884" s="268"/>
    </row>
    <row r="3885" spans="9:15" x14ac:dyDescent="0.25">
      <c r="I3885" s="268"/>
      <c r="O3885" s="268"/>
    </row>
    <row r="3886" spans="9:15" x14ac:dyDescent="0.25">
      <c r="I3886" s="268"/>
      <c r="O3886" s="268"/>
    </row>
    <row r="3887" spans="9:15" x14ac:dyDescent="0.25">
      <c r="I3887" s="268"/>
      <c r="O3887" s="268"/>
    </row>
    <row r="3888" spans="9:15" x14ac:dyDescent="0.25">
      <c r="I3888" s="268"/>
      <c r="O3888" s="268"/>
    </row>
    <row r="3889" spans="9:15" x14ac:dyDescent="0.25">
      <c r="I3889" s="268"/>
      <c r="O3889" s="268"/>
    </row>
    <row r="3890" spans="9:15" x14ac:dyDescent="0.25">
      <c r="I3890" s="268"/>
      <c r="O3890" s="268"/>
    </row>
    <row r="3891" spans="9:15" x14ac:dyDescent="0.25">
      <c r="I3891" s="268"/>
      <c r="O3891" s="268"/>
    </row>
    <row r="3892" spans="9:15" x14ac:dyDescent="0.25">
      <c r="I3892" s="268"/>
      <c r="O3892" s="268"/>
    </row>
    <row r="3893" spans="9:15" x14ac:dyDescent="0.25">
      <c r="I3893" s="268"/>
      <c r="O3893" s="268"/>
    </row>
    <row r="3894" spans="9:15" x14ac:dyDescent="0.25">
      <c r="I3894" s="268"/>
      <c r="O3894" s="268"/>
    </row>
    <row r="3895" spans="9:15" x14ac:dyDescent="0.25">
      <c r="I3895" s="268"/>
      <c r="O3895" s="268"/>
    </row>
    <row r="3896" spans="9:15" x14ac:dyDescent="0.25">
      <c r="I3896" s="268"/>
      <c r="O3896" s="268"/>
    </row>
    <row r="3897" spans="9:15" x14ac:dyDescent="0.25">
      <c r="I3897" s="268"/>
      <c r="O3897" s="268"/>
    </row>
    <row r="3898" spans="9:15" x14ac:dyDescent="0.25">
      <c r="I3898" s="268"/>
      <c r="O3898" s="268"/>
    </row>
    <row r="3899" spans="9:15" x14ac:dyDescent="0.25">
      <c r="I3899" s="268"/>
      <c r="O3899" s="268"/>
    </row>
    <row r="3900" spans="9:15" x14ac:dyDescent="0.25">
      <c r="I3900" s="268"/>
      <c r="O3900" s="268"/>
    </row>
    <row r="3901" spans="9:15" x14ac:dyDescent="0.25">
      <c r="I3901" s="268"/>
      <c r="O3901" s="268"/>
    </row>
    <row r="3902" spans="9:15" x14ac:dyDescent="0.25">
      <c r="I3902" s="268"/>
      <c r="O3902" s="268"/>
    </row>
    <row r="3903" spans="9:15" x14ac:dyDescent="0.25">
      <c r="I3903" s="268"/>
      <c r="O3903" s="268"/>
    </row>
    <row r="3904" spans="9:15" x14ac:dyDescent="0.25">
      <c r="I3904" s="268"/>
      <c r="O3904" s="268"/>
    </row>
    <row r="3905" spans="9:15" x14ac:dyDescent="0.25">
      <c r="I3905" s="268"/>
      <c r="O3905" s="268"/>
    </row>
    <row r="3906" spans="9:15" x14ac:dyDescent="0.25">
      <c r="I3906" s="268"/>
      <c r="O3906" s="268"/>
    </row>
    <row r="3907" spans="9:15" x14ac:dyDescent="0.25">
      <c r="I3907" s="268"/>
      <c r="O3907" s="268"/>
    </row>
    <row r="3908" spans="9:15" x14ac:dyDescent="0.25">
      <c r="I3908" s="268"/>
      <c r="O3908" s="268"/>
    </row>
    <row r="3909" spans="9:15" x14ac:dyDescent="0.25">
      <c r="I3909" s="268"/>
      <c r="O3909" s="268"/>
    </row>
    <row r="3910" spans="9:15" x14ac:dyDescent="0.25">
      <c r="I3910" s="268"/>
      <c r="O3910" s="268"/>
    </row>
    <row r="3911" spans="9:15" x14ac:dyDescent="0.25">
      <c r="I3911" s="268"/>
      <c r="O3911" s="268"/>
    </row>
    <row r="3912" spans="9:15" x14ac:dyDescent="0.25">
      <c r="I3912" s="268"/>
      <c r="O3912" s="268"/>
    </row>
    <row r="3913" spans="9:15" x14ac:dyDescent="0.25">
      <c r="I3913" s="268"/>
      <c r="O3913" s="268"/>
    </row>
    <row r="3914" spans="9:15" x14ac:dyDescent="0.25">
      <c r="I3914" s="268"/>
      <c r="O3914" s="268"/>
    </row>
    <row r="3915" spans="9:15" x14ac:dyDescent="0.25">
      <c r="I3915" s="268"/>
      <c r="O3915" s="268"/>
    </row>
    <row r="3916" spans="9:15" x14ac:dyDescent="0.25">
      <c r="I3916" s="268"/>
      <c r="O3916" s="268"/>
    </row>
    <row r="3917" spans="9:15" x14ac:dyDescent="0.25">
      <c r="I3917" s="268"/>
      <c r="O3917" s="268"/>
    </row>
    <row r="3918" spans="9:15" x14ac:dyDescent="0.25">
      <c r="I3918" s="268"/>
      <c r="O3918" s="268"/>
    </row>
    <row r="3919" spans="9:15" x14ac:dyDescent="0.25">
      <c r="I3919" s="268"/>
      <c r="O3919" s="268"/>
    </row>
    <row r="3920" spans="9:15" x14ac:dyDescent="0.25">
      <c r="I3920" s="268"/>
      <c r="O3920" s="268"/>
    </row>
    <row r="3921" spans="9:15" x14ac:dyDescent="0.25">
      <c r="I3921" s="268"/>
      <c r="O3921" s="268"/>
    </row>
    <row r="3922" spans="9:15" x14ac:dyDescent="0.25">
      <c r="I3922" s="268"/>
      <c r="O3922" s="268"/>
    </row>
    <row r="3923" spans="9:15" x14ac:dyDescent="0.25">
      <c r="I3923" s="268"/>
      <c r="O3923" s="268"/>
    </row>
    <row r="3924" spans="9:15" x14ac:dyDescent="0.25">
      <c r="I3924" s="268"/>
      <c r="O3924" s="268"/>
    </row>
    <row r="3925" spans="9:15" x14ac:dyDescent="0.25">
      <c r="I3925" s="268"/>
      <c r="O3925" s="268"/>
    </row>
    <row r="3926" spans="9:15" x14ac:dyDescent="0.25">
      <c r="I3926" s="268"/>
      <c r="O3926" s="268"/>
    </row>
    <row r="3927" spans="9:15" x14ac:dyDescent="0.25">
      <c r="I3927" s="268"/>
      <c r="O3927" s="268"/>
    </row>
    <row r="3928" spans="9:15" x14ac:dyDescent="0.25">
      <c r="I3928" s="268"/>
      <c r="O3928" s="268"/>
    </row>
    <row r="3929" spans="9:15" x14ac:dyDescent="0.25">
      <c r="I3929" s="268"/>
      <c r="O3929" s="268"/>
    </row>
    <row r="3930" spans="9:15" x14ac:dyDescent="0.25">
      <c r="I3930" s="268"/>
      <c r="O3930" s="268"/>
    </row>
    <row r="3931" spans="9:15" x14ac:dyDescent="0.25">
      <c r="I3931" s="268"/>
      <c r="O3931" s="268"/>
    </row>
    <row r="3932" spans="9:15" x14ac:dyDescent="0.25">
      <c r="I3932" s="268"/>
      <c r="O3932" s="268"/>
    </row>
    <row r="3933" spans="9:15" x14ac:dyDescent="0.25">
      <c r="I3933" s="268"/>
      <c r="O3933" s="268"/>
    </row>
    <row r="3934" spans="9:15" x14ac:dyDescent="0.25">
      <c r="I3934" s="268"/>
      <c r="O3934" s="268"/>
    </row>
    <row r="3935" spans="9:15" x14ac:dyDescent="0.25">
      <c r="I3935" s="268"/>
      <c r="O3935" s="268"/>
    </row>
    <row r="3936" spans="9:15" x14ac:dyDescent="0.25">
      <c r="I3936" s="268"/>
      <c r="O3936" s="268"/>
    </row>
    <row r="3937" spans="9:15" x14ac:dyDescent="0.25">
      <c r="I3937" s="268"/>
      <c r="O3937" s="268"/>
    </row>
    <row r="3938" spans="9:15" x14ac:dyDescent="0.25">
      <c r="I3938" s="268"/>
      <c r="O3938" s="268"/>
    </row>
    <row r="3939" spans="9:15" x14ac:dyDescent="0.25">
      <c r="I3939" s="268"/>
      <c r="O3939" s="268"/>
    </row>
    <row r="3940" spans="9:15" x14ac:dyDescent="0.25">
      <c r="I3940" s="268"/>
      <c r="O3940" s="268"/>
    </row>
    <row r="3941" spans="9:15" x14ac:dyDescent="0.25">
      <c r="I3941" s="268"/>
      <c r="O3941" s="268"/>
    </row>
    <row r="3942" spans="9:15" x14ac:dyDescent="0.25">
      <c r="I3942" s="268"/>
      <c r="O3942" s="268"/>
    </row>
    <row r="3943" spans="9:15" x14ac:dyDescent="0.25">
      <c r="I3943" s="268"/>
      <c r="O3943" s="268"/>
    </row>
    <row r="3944" spans="9:15" x14ac:dyDescent="0.25">
      <c r="I3944" s="268"/>
      <c r="O3944" s="268"/>
    </row>
    <row r="3945" spans="9:15" x14ac:dyDescent="0.25">
      <c r="I3945" s="268"/>
      <c r="O3945" s="268"/>
    </row>
    <row r="3946" spans="9:15" x14ac:dyDescent="0.25">
      <c r="I3946" s="268"/>
      <c r="O3946" s="268"/>
    </row>
    <row r="3947" spans="9:15" x14ac:dyDescent="0.25">
      <c r="I3947" s="268"/>
      <c r="O3947" s="268"/>
    </row>
    <row r="3948" spans="9:15" x14ac:dyDescent="0.25">
      <c r="I3948" s="268"/>
      <c r="O3948" s="268"/>
    </row>
    <row r="3949" spans="9:15" x14ac:dyDescent="0.25">
      <c r="I3949" s="268"/>
      <c r="O3949" s="268"/>
    </row>
    <row r="3950" spans="9:15" x14ac:dyDescent="0.25">
      <c r="I3950" s="268"/>
      <c r="O3950" s="268"/>
    </row>
    <row r="3951" spans="9:15" x14ac:dyDescent="0.25">
      <c r="I3951" s="268"/>
      <c r="O3951" s="268"/>
    </row>
    <row r="3952" spans="9:15" x14ac:dyDescent="0.25">
      <c r="I3952" s="268"/>
      <c r="O3952" s="268"/>
    </row>
    <row r="3953" spans="9:15" x14ac:dyDescent="0.25">
      <c r="I3953" s="268"/>
      <c r="O3953" s="268"/>
    </row>
    <row r="3954" spans="9:15" x14ac:dyDescent="0.25">
      <c r="I3954" s="268"/>
      <c r="O3954" s="268"/>
    </row>
    <row r="3955" spans="9:15" x14ac:dyDescent="0.25">
      <c r="I3955" s="268"/>
      <c r="O3955" s="268"/>
    </row>
    <row r="3956" spans="9:15" x14ac:dyDescent="0.25">
      <c r="I3956" s="268"/>
      <c r="O3956" s="268"/>
    </row>
    <row r="3957" spans="9:15" x14ac:dyDescent="0.25">
      <c r="I3957" s="268"/>
      <c r="O3957" s="268"/>
    </row>
    <row r="3958" spans="9:15" x14ac:dyDescent="0.25">
      <c r="I3958" s="268"/>
      <c r="O3958" s="268"/>
    </row>
    <row r="3959" spans="9:15" x14ac:dyDescent="0.25">
      <c r="I3959" s="268"/>
      <c r="O3959" s="268"/>
    </row>
    <row r="3960" spans="9:15" x14ac:dyDescent="0.25">
      <c r="I3960" s="268"/>
      <c r="O3960" s="268"/>
    </row>
    <row r="3961" spans="9:15" x14ac:dyDescent="0.25">
      <c r="I3961" s="268"/>
      <c r="O3961" s="268"/>
    </row>
    <row r="3962" spans="9:15" x14ac:dyDescent="0.25">
      <c r="I3962" s="268"/>
      <c r="O3962" s="268"/>
    </row>
    <row r="3963" spans="9:15" x14ac:dyDescent="0.25">
      <c r="I3963" s="268"/>
      <c r="O3963" s="268"/>
    </row>
    <row r="3964" spans="9:15" x14ac:dyDescent="0.25">
      <c r="I3964" s="268"/>
      <c r="O3964" s="268"/>
    </row>
    <row r="3965" spans="9:15" x14ac:dyDescent="0.25">
      <c r="I3965" s="268"/>
      <c r="O3965" s="268"/>
    </row>
    <row r="3966" spans="9:15" x14ac:dyDescent="0.25">
      <c r="I3966" s="268"/>
      <c r="O3966" s="268"/>
    </row>
    <row r="3967" spans="9:15" x14ac:dyDescent="0.25">
      <c r="I3967" s="268"/>
      <c r="O3967" s="268"/>
    </row>
    <row r="3968" spans="9:15" x14ac:dyDescent="0.25">
      <c r="I3968" s="268"/>
      <c r="O3968" s="268"/>
    </row>
    <row r="3969" spans="9:15" x14ac:dyDescent="0.25">
      <c r="I3969" s="268"/>
      <c r="O3969" s="268"/>
    </row>
    <row r="3970" spans="9:15" x14ac:dyDescent="0.25">
      <c r="I3970" s="268"/>
      <c r="O3970" s="268"/>
    </row>
    <row r="3971" spans="9:15" x14ac:dyDescent="0.25">
      <c r="I3971" s="268"/>
      <c r="O3971" s="268"/>
    </row>
    <row r="3972" spans="9:15" x14ac:dyDescent="0.25">
      <c r="I3972" s="268"/>
      <c r="O3972" s="268"/>
    </row>
    <row r="3973" spans="9:15" x14ac:dyDescent="0.25">
      <c r="I3973" s="268"/>
      <c r="O3973" s="268"/>
    </row>
    <row r="3974" spans="9:15" x14ac:dyDescent="0.25">
      <c r="I3974" s="268"/>
      <c r="O3974" s="268"/>
    </row>
    <row r="3975" spans="9:15" x14ac:dyDescent="0.25">
      <c r="I3975" s="268"/>
      <c r="O3975" s="268"/>
    </row>
    <row r="3976" spans="9:15" x14ac:dyDescent="0.25">
      <c r="I3976" s="268"/>
      <c r="O3976" s="268"/>
    </row>
    <row r="3977" spans="9:15" x14ac:dyDescent="0.25">
      <c r="I3977" s="268"/>
      <c r="O3977" s="268"/>
    </row>
    <row r="3978" spans="9:15" x14ac:dyDescent="0.25">
      <c r="I3978" s="268"/>
      <c r="O3978" s="268"/>
    </row>
    <row r="3979" spans="9:15" x14ac:dyDescent="0.25">
      <c r="I3979" s="268"/>
      <c r="O3979" s="268"/>
    </row>
    <row r="3980" spans="9:15" x14ac:dyDescent="0.25">
      <c r="I3980" s="268"/>
      <c r="O3980" s="268"/>
    </row>
    <row r="3981" spans="9:15" x14ac:dyDescent="0.25">
      <c r="I3981" s="268"/>
      <c r="O3981" s="268"/>
    </row>
    <row r="3982" spans="9:15" x14ac:dyDescent="0.25">
      <c r="I3982" s="268"/>
      <c r="O3982" s="268"/>
    </row>
    <row r="3983" spans="9:15" x14ac:dyDescent="0.25">
      <c r="I3983" s="268"/>
      <c r="O3983" s="268"/>
    </row>
    <row r="3984" spans="9:15" x14ac:dyDescent="0.25">
      <c r="I3984" s="268"/>
      <c r="O3984" s="268"/>
    </row>
    <row r="3985" spans="9:15" x14ac:dyDescent="0.25">
      <c r="I3985" s="268"/>
      <c r="O3985" s="268"/>
    </row>
    <row r="3986" spans="9:15" x14ac:dyDescent="0.25">
      <c r="I3986" s="268"/>
      <c r="O3986" s="268"/>
    </row>
    <row r="3987" spans="9:15" x14ac:dyDescent="0.25">
      <c r="I3987" s="268"/>
      <c r="O3987" s="268"/>
    </row>
    <row r="3988" spans="9:15" x14ac:dyDescent="0.25">
      <c r="I3988" s="268"/>
      <c r="O3988" s="268"/>
    </row>
    <row r="3989" spans="9:15" x14ac:dyDescent="0.25">
      <c r="I3989" s="268"/>
      <c r="O3989" s="268"/>
    </row>
    <row r="3990" spans="9:15" x14ac:dyDescent="0.25">
      <c r="I3990" s="268"/>
      <c r="O3990" s="268"/>
    </row>
    <row r="3991" spans="9:15" x14ac:dyDescent="0.25">
      <c r="I3991" s="268"/>
      <c r="O3991" s="268"/>
    </row>
    <row r="3992" spans="9:15" x14ac:dyDescent="0.25">
      <c r="I3992" s="268"/>
      <c r="O3992" s="268"/>
    </row>
    <row r="3993" spans="9:15" x14ac:dyDescent="0.25">
      <c r="I3993" s="268"/>
      <c r="O3993" s="268"/>
    </row>
    <row r="3994" spans="9:15" x14ac:dyDescent="0.25">
      <c r="I3994" s="268"/>
      <c r="O3994" s="268"/>
    </row>
    <row r="3995" spans="9:15" x14ac:dyDescent="0.25">
      <c r="I3995" s="268"/>
      <c r="O3995" s="268"/>
    </row>
    <row r="3996" spans="9:15" x14ac:dyDescent="0.25">
      <c r="I3996" s="268"/>
      <c r="O3996" s="268"/>
    </row>
    <row r="3997" spans="9:15" x14ac:dyDescent="0.25">
      <c r="I3997" s="268"/>
      <c r="O3997" s="268"/>
    </row>
    <row r="3998" spans="9:15" x14ac:dyDescent="0.25">
      <c r="I3998" s="268"/>
      <c r="O3998" s="268"/>
    </row>
    <row r="3999" spans="9:15" x14ac:dyDescent="0.25">
      <c r="I3999" s="268"/>
      <c r="O3999" s="268"/>
    </row>
    <row r="4000" spans="9:15" x14ac:dyDescent="0.25">
      <c r="I4000" s="268"/>
      <c r="O4000" s="268"/>
    </row>
    <row r="4001" spans="9:15" x14ac:dyDescent="0.25">
      <c r="I4001" s="268"/>
      <c r="O4001" s="268"/>
    </row>
    <row r="4002" spans="9:15" x14ac:dyDescent="0.25">
      <c r="I4002" s="268"/>
      <c r="O4002" s="268"/>
    </row>
    <row r="4003" spans="9:15" x14ac:dyDescent="0.25">
      <c r="I4003" s="268"/>
      <c r="O4003" s="268"/>
    </row>
    <row r="4004" spans="9:15" x14ac:dyDescent="0.25">
      <c r="I4004" s="268"/>
      <c r="O4004" s="268"/>
    </row>
    <row r="4005" spans="9:15" x14ac:dyDescent="0.25">
      <c r="I4005" s="268"/>
      <c r="O4005" s="268"/>
    </row>
    <row r="4006" spans="9:15" x14ac:dyDescent="0.25">
      <c r="I4006" s="268"/>
      <c r="O4006" s="268"/>
    </row>
    <row r="4007" spans="9:15" x14ac:dyDescent="0.25">
      <c r="I4007" s="268"/>
      <c r="O4007" s="268"/>
    </row>
    <row r="4008" spans="9:15" x14ac:dyDescent="0.25">
      <c r="I4008" s="268"/>
      <c r="O4008" s="268"/>
    </row>
    <row r="4009" spans="9:15" x14ac:dyDescent="0.25">
      <c r="I4009" s="268"/>
      <c r="O4009" s="268"/>
    </row>
    <row r="4010" spans="9:15" x14ac:dyDescent="0.25">
      <c r="I4010" s="268"/>
      <c r="O4010" s="268"/>
    </row>
    <row r="4011" spans="9:15" x14ac:dyDescent="0.25">
      <c r="I4011" s="268"/>
      <c r="O4011" s="268"/>
    </row>
    <row r="4012" spans="9:15" x14ac:dyDescent="0.25">
      <c r="I4012" s="268"/>
      <c r="O4012" s="268"/>
    </row>
    <row r="4013" spans="9:15" x14ac:dyDescent="0.25">
      <c r="I4013" s="268"/>
      <c r="O4013" s="268"/>
    </row>
    <row r="4014" spans="9:15" x14ac:dyDescent="0.25">
      <c r="I4014" s="268"/>
      <c r="O4014" s="268"/>
    </row>
    <row r="4015" spans="9:15" x14ac:dyDescent="0.25">
      <c r="I4015" s="268"/>
      <c r="O4015" s="268"/>
    </row>
    <row r="4016" spans="9:15" x14ac:dyDescent="0.25">
      <c r="I4016" s="268"/>
      <c r="O4016" s="268"/>
    </row>
    <row r="4017" spans="9:15" x14ac:dyDescent="0.25">
      <c r="I4017" s="268"/>
      <c r="O4017" s="268"/>
    </row>
    <row r="4018" spans="9:15" x14ac:dyDescent="0.25">
      <c r="I4018" s="268"/>
      <c r="O4018" s="268"/>
    </row>
    <row r="4019" spans="9:15" x14ac:dyDescent="0.25">
      <c r="I4019" s="268"/>
      <c r="O4019" s="268"/>
    </row>
    <row r="4020" spans="9:15" x14ac:dyDescent="0.25">
      <c r="I4020" s="268"/>
      <c r="O4020" s="268"/>
    </row>
    <row r="4021" spans="9:15" x14ac:dyDescent="0.25">
      <c r="I4021" s="268"/>
      <c r="O4021" s="268"/>
    </row>
    <row r="4022" spans="9:15" x14ac:dyDescent="0.25">
      <c r="I4022" s="268"/>
      <c r="O4022" s="268"/>
    </row>
    <row r="4023" spans="9:15" x14ac:dyDescent="0.25">
      <c r="I4023" s="268"/>
      <c r="O4023" s="268"/>
    </row>
    <row r="4024" spans="9:15" x14ac:dyDescent="0.25">
      <c r="I4024" s="268"/>
      <c r="O4024" s="268"/>
    </row>
    <row r="4025" spans="9:15" x14ac:dyDescent="0.25">
      <c r="I4025" s="268"/>
      <c r="O4025" s="268"/>
    </row>
    <row r="4026" spans="9:15" x14ac:dyDescent="0.25">
      <c r="I4026" s="268"/>
      <c r="O4026" s="268"/>
    </row>
    <row r="4027" spans="9:15" x14ac:dyDescent="0.25">
      <c r="I4027" s="268"/>
      <c r="O4027" s="268"/>
    </row>
    <row r="4028" spans="9:15" x14ac:dyDescent="0.25">
      <c r="I4028" s="268"/>
      <c r="O4028" s="268"/>
    </row>
    <row r="4029" spans="9:15" x14ac:dyDescent="0.25">
      <c r="I4029" s="268"/>
      <c r="O4029" s="268"/>
    </row>
    <row r="4030" spans="9:15" x14ac:dyDescent="0.25">
      <c r="I4030" s="268"/>
      <c r="O4030" s="268"/>
    </row>
    <row r="4031" spans="9:15" x14ac:dyDescent="0.25">
      <c r="I4031" s="268"/>
      <c r="O4031" s="268"/>
    </row>
    <row r="4032" spans="9:15" x14ac:dyDescent="0.25">
      <c r="I4032" s="268"/>
      <c r="O4032" s="268"/>
    </row>
    <row r="4033" spans="9:15" x14ac:dyDescent="0.25">
      <c r="I4033" s="268"/>
      <c r="O4033" s="268"/>
    </row>
    <row r="4034" spans="9:15" x14ac:dyDescent="0.25">
      <c r="I4034" s="268"/>
      <c r="O4034" s="268"/>
    </row>
    <row r="4035" spans="9:15" x14ac:dyDescent="0.25">
      <c r="I4035" s="268"/>
      <c r="O4035" s="268"/>
    </row>
    <row r="4036" spans="9:15" x14ac:dyDescent="0.25">
      <c r="I4036" s="268"/>
      <c r="O4036" s="268"/>
    </row>
    <row r="4037" spans="9:15" x14ac:dyDescent="0.25">
      <c r="I4037" s="268"/>
      <c r="O4037" s="268"/>
    </row>
    <row r="4038" spans="9:15" x14ac:dyDescent="0.25">
      <c r="I4038" s="268"/>
      <c r="O4038" s="268"/>
    </row>
    <row r="4039" spans="9:15" x14ac:dyDescent="0.25">
      <c r="I4039" s="268"/>
      <c r="O4039" s="268"/>
    </row>
    <row r="4040" spans="9:15" x14ac:dyDescent="0.25">
      <c r="I4040" s="268"/>
      <c r="O4040" s="268"/>
    </row>
    <row r="4041" spans="9:15" x14ac:dyDescent="0.25">
      <c r="I4041" s="268"/>
      <c r="O4041" s="268"/>
    </row>
    <row r="4042" spans="9:15" x14ac:dyDescent="0.25">
      <c r="I4042" s="268"/>
      <c r="O4042" s="268"/>
    </row>
    <row r="4043" spans="9:15" x14ac:dyDescent="0.25">
      <c r="I4043" s="268"/>
      <c r="O4043" s="268"/>
    </row>
    <row r="4044" spans="9:15" x14ac:dyDescent="0.25">
      <c r="I4044" s="268"/>
      <c r="O4044" s="268"/>
    </row>
    <row r="4045" spans="9:15" x14ac:dyDescent="0.25">
      <c r="I4045" s="268"/>
      <c r="O4045" s="268"/>
    </row>
    <row r="4046" spans="9:15" x14ac:dyDescent="0.25">
      <c r="I4046" s="268"/>
      <c r="O4046" s="268"/>
    </row>
    <row r="4047" spans="9:15" x14ac:dyDescent="0.25">
      <c r="I4047" s="268"/>
      <c r="O4047" s="268"/>
    </row>
    <row r="4048" spans="9:15" x14ac:dyDescent="0.25">
      <c r="I4048" s="268"/>
      <c r="O4048" s="268"/>
    </row>
    <row r="4049" spans="9:15" x14ac:dyDescent="0.25">
      <c r="I4049" s="268"/>
      <c r="O4049" s="268"/>
    </row>
    <row r="4050" spans="9:15" x14ac:dyDescent="0.25">
      <c r="I4050" s="268"/>
      <c r="O4050" s="268"/>
    </row>
    <row r="4051" spans="9:15" x14ac:dyDescent="0.25">
      <c r="I4051" s="268"/>
      <c r="O4051" s="268"/>
    </row>
    <row r="4052" spans="9:15" x14ac:dyDescent="0.25">
      <c r="I4052" s="268"/>
      <c r="O4052" s="268"/>
    </row>
    <row r="4053" spans="9:15" x14ac:dyDescent="0.25">
      <c r="I4053" s="268"/>
      <c r="O4053" s="268"/>
    </row>
    <row r="4054" spans="9:15" x14ac:dyDescent="0.25">
      <c r="I4054" s="268"/>
      <c r="O4054" s="268"/>
    </row>
    <row r="4055" spans="9:15" x14ac:dyDescent="0.25">
      <c r="I4055" s="268"/>
      <c r="O4055" s="268"/>
    </row>
    <row r="4056" spans="9:15" x14ac:dyDescent="0.25">
      <c r="I4056" s="268"/>
      <c r="O4056" s="268"/>
    </row>
    <row r="4057" spans="9:15" x14ac:dyDescent="0.25">
      <c r="I4057" s="268"/>
      <c r="O4057" s="268"/>
    </row>
    <row r="4058" spans="9:15" x14ac:dyDescent="0.25">
      <c r="I4058" s="268"/>
      <c r="O4058" s="268"/>
    </row>
    <row r="4059" spans="9:15" x14ac:dyDescent="0.25">
      <c r="I4059" s="268"/>
      <c r="O4059" s="268"/>
    </row>
    <row r="4060" spans="9:15" x14ac:dyDescent="0.25">
      <c r="I4060" s="268"/>
      <c r="O4060" s="268"/>
    </row>
    <row r="4061" spans="9:15" x14ac:dyDescent="0.25">
      <c r="I4061" s="268"/>
      <c r="O4061" s="268"/>
    </row>
    <row r="4062" spans="9:15" x14ac:dyDescent="0.25">
      <c r="I4062" s="268"/>
      <c r="O4062" s="268"/>
    </row>
    <row r="4063" spans="9:15" x14ac:dyDescent="0.25">
      <c r="I4063" s="268"/>
      <c r="O4063" s="268"/>
    </row>
    <row r="4064" spans="9:15" x14ac:dyDescent="0.25">
      <c r="I4064" s="268"/>
      <c r="O4064" s="268"/>
    </row>
    <row r="4065" spans="9:15" x14ac:dyDescent="0.25">
      <c r="I4065" s="268"/>
      <c r="O4065" s="268"/>
    </row>
    <row r="4066" spans="9:15" x14ac:dyDescent="0.25">
      <c r="I4066" s="268"/>
      <c r="O4066" s="268"/>
    </row>
    <row r="4067" spans="9:15" x14ac:dyDescent="0.25">
      <c r="I4067" s="268"/>
      <c r="O4067" s="268"/>
    </row>
    <row r="4068" spans="9:15" x14ac:dyDescent="0.25">
      <c r="I4068" s="268"/>
      <c r="O4068" s="268"/>
    </row>
    <row r="4069" spans="9:15" x14ac:dyDescent="0.25">
      <c r="I4069" s="268"/>
      <c r="O4069" s="268"/>
    </row>
    <row r="4070" spans="9:15" x14ac:dyDescent="0.25">
      <c r="I4070" s="268"/>
      <c r="O4070" s="268"/>
    </row>
    <row r="4071" spans="9:15" x14ac:dyDescent="0.25">
      <c r="I4071" s="268"/>
      <c r="O4071" s="268"/>
    </row>
    <row r="4072" spans="9:15" x14ac:dyDescent="0.25">
      <c r="I4072" s="268"/>
      <c r="O4072" s="268"/>
    </row>
    <row r="4073" spans="9:15" x14ac:dyDescent="0.25">
      <c r="I4073" s="268"/>
      <c r="O4073" s="268"/>
    </row>
    <row r="4074" spans="9:15" x14ac:dyDescent="0.25">
      <c r="I4074" s="268"/>
      <c r="O4074" s="268"/>
    </row>
    <row r="4075" spans="9:15" x14ac:dyDescent="0.25">
      <c r="I4075" s="268"/>
      <c r="O4075" s="268"/>
    </row>
    <row r="4076" spans="9:15" x14ac:dyDescent="0.25">
      <c r="I4076" s="268"/>
      <c r="O4076" s="268"/>
    </row>
    <row r="4077" spans="9:15" x14ac:dyDescent="0.25">
      <c r="I4077" s="268"/>
      <c r="O4077" s="268"/>
    </row>
    <row r="4078" spans="9:15" x14ac:dyDescent="0.25">
      <c r="I4078" s="268"/>
      <c r="O4078" s="268"/>
    </row>
    <row r="4079" spans="9:15" x14ac:dyDescent="0.25">
      <c r="I4079" s="268"/>
      <c r="O4079" s="268"/>
    </row>
    <row r="4080" spans="9:15" x14ac:dyDescent="0.25">
      <c r="I4080" s="268"/>
      <c r="O4080" s="268"/>
    </row>
    <row r="4081" spans="9:15" x14ac:dyDescent="0.25">
      <c r="I4081" s="268"/>
      <c r="O4081" s="268"/>
    </row>
    <row r="4082" spans="9:15" x14ac:dyDescent="0.25">
      <c r="I4082" s="268"/>
      <c r="O4082" s="268"/>
    </row>
    <row r="4083" spans="9:15" x14ac:dyDescent="0.25">
      <c r="I4083" s="268"/>
      <c r="O4083" s="268"/>
    </row>
    <row r="4084" spans="9:15" x14ac:dyDescent="0.25">
      <c r="I4084" s="268"/>
      <c r="O4084" s="268"/>
    </row>
    <row r="4085" spans="9:15" x14ac:dyDescent="0.25">
      <c r="I4085" s="268"/>
      <c r="O4085" s="268"/>
    </row>
    <row r="4086" spans="9:15" x14ac:dyDescent="0.25">
      <c r="I4086" s="268"/>
      <c r="O4086" s="268"/>
    </row>
    <row r="4087" spans="9:15" x14ac:dyDescent="0.25">
      <c r="I4087" s="268"/>
      <c r="O4087" s="268"/>
    </row>
    <row r="4088" spans="9:15" x14ac:dyDescent="0.25">
      <c r="I4088" s="268"/>
      <c r="O4088" s="268"/>
    </row>
    <row r="4089" spans="9:15" x14ac:dyDescent="0.25">
      <c r="I4089" s="268"/>
      <c r="O4089" s="268"/>
    </row>
    <row r="4090" spans="9:15" x14ac:dyDescent="0.25">
      <c r="I4090" s="268"/>
      <c r="O4090" s="268"/>
    </row>
    <row r="4091" spans="9:15" x14ac:dyDescent="0.25">
      <c r="I4091" s="268"/>
      <c r="O4091" s="268"/>
    </row>
    <row r="4092" spans="9:15" x14ac:dyDescent="0.25">
      <c r="I4092" s="268"/>
      <c r="O4092" s="268"/>
    </row>
    <row r="4093" spans="9:15" x14ac:dyDescent="0.25">
      <c r="I4093" s="268"/>
      <c r="O4093" s="268"/>
    </row>
    <row r="4094" spans="9:15" x14ac:dyDescent="0.25">
      <c r="I4094" s="268"/>
      <c r="O4094" s="268"/>
    </row>
    <row r="4095" spans="9:15" x14ac:dyDescent="0.25">
      <c r="I4095" s="268"/>
      <c r="O4095" s="268"/>
    </row>
    <row r="4096" spans="9:15" x14ac:dyDescent="0.25">
      <c r="I4096" s="268"/>
      <c r="O4096" s="268"/>
    </row>
    <row r="4097" spans="9:15" x14ac:dyDescent="0.25">
      <c r="I4097" s="268"/>
      <c r="O4097" s="268"/>
    </row>
    <row r="4098" spans="9:15" x14ac:dyDescent="0.25">
      <c r="I4098" s="268"/>
      <c r="O4098" s="268"/>
    </row>
    <row r="4099" spans="9:15" x14ac:dyDescent="0.25">
      <c r="I4099" s="268"/>
      <c r="O4099" s="268"/>
    </row>
    <row r="4100" spans="9:15" x14ac:dyDescent="0.25">
      <c r="I4100" s="268"/>
      <c r="O4100" s="268"/>
    </row>
    <row r="4101" spans="9:15" x14ac:dyDescent="0.25">
      <c r="I4101" s="268"/>
      <c r="O4101" s="268"/>
    </row>
    <row r="4102" spans="9:15" x14ac:dyDescent="0.25">
      <c r="I4102" s="268"/>
      <c r="O4102" s="268"/>
    </row>
    <row r="4103" spans="9:15" x14ac:dyDescent="0.25">
      <c r="I4103" s="268"/>
      <c r="O4103" s="268"/>
    </row>
    <row r="4104" spans="9:15" x14ac:dyDescent="0.25">
      <c r="I4104" s="268"/>
      <c r="O4104" s="268"/>
    </row>
    <row r="4105" spans="9:15" x14ac:dyDescent="0.25">
      <c r="I4105" s="268"/>
      <c r="O4105" s="268"/>
    </row>
    <row r="4106" spans="9:15" x14ac:dyDescent="0.25">
      <c r="I4106" s="268"/>
      <c r="O4106" s="268"/>
    </row>
    <row r="4107" spans="9:15" x14ac:dyDescent="0.25">
      <c r="I4107" s="268"/>
      <c r="O4107" s="268"/>
    </row>
    <row r="4108" spans="9:15" x14ac:dyDescent="0.25">
      <c r="I4108" s="268"/>
      <c r="O4108" s="268"/>
    </row>
    <row r="4109" spans="9:15" x14ac:dyDescent="0.25">
      <c r="I4109" s="268"/>
      <c r="O4109" s="268"/>
    </row>
    <row r="4110" spans="9:15" x14ac:dyDescent="0.25">
      <c r="I4110" s="268"/>
      <c r="O4110" s="268"/>
    </row>
    <row r="4111" spans="9:15" x14ac:dyDescent="0.25">
      <c r="I4111" s="268"/>
      <c r="O4111" s="268"/>
    </row>
    <row r="4112" spans="9:15" x14ac:dyDescent="0.25">
      <c r="I4112" s="268"/>
      <c r="O4112" s="268"/>
    </row>
    <row r="4113" spans="9:15" x14ac:dyDescent="0.25">
      <c r="I4113" s="268"/>
      <c r="O4113" s="268"/>
    </row>
    <row r="4114" spans="9:15" x14ac:dyDescent="0.25">
      <c r="I4114" s="268"/>
      <c r="O4114" s="268"/>
    </row>
    <row r="4115" spans="9:15" x14ac:dyDescent="0.25">
      <c r="I4115" s="268"/>
      <c r="O4115" s="268"/>
    </row>
    <row r="4116" spans="9:15" x14ac:dyDescent="0.25">
      <c r="I4116" s="268"/>
      <c r="O4116" s="268"/>
    </row>
    <row r="4117" spans="9:15" x14ac:dyDescent="0.25">
      <c r="I4117" s="268"/>
      <c r="O4117" s="268"/>
    </row>
    <row r="4118" spans="9:15" x14ac:dyDescent="0.25">
      <c r="I4118" s="268"/>
      <c r="O4118" s="268"/>
    </row>
    <row r="4119" spans="9:15" x14ac:dyDescent="0.25">
      <c r="I4119" s="268"/>
      <c r="O4119" s="268"/>
    </row>
    <row r="4120" spans="9:15" x14ac:dyDescent="0.25">
      <c r="I4120" s="268"/>
      <c r="O4120" s="268"/>
    </row>
    <row r="4121" spans="9:15" x14ac:dyDescent="0.25">
      <c r="I4121" s="268"/>
      <c r="O4121" s="268"/>
    </row>
    <row r="4122" spans="9:15" x14ac:dyDescent="0.25">
      <c r="I4122" s="268"/>
      <c r="O4122" s="268"/>
    </row>
    <row r="4123" spans="9:15" x14ac:dyDescent="0.25">
      <c r="I4123" s="268"/>
      <c r="O4123" s="268"/>
    </row>
    <row r="4124" spans="9:15" x14ac:dyDescent="0.25">
      <c r="I4124" s="268"/>
      <c r="O4124" s="268"/>
    </row>
    <row r="4125" spans="9:15" x14ac:dyDescent="0.25">
      <c r="I4125" s="268"/>
      <c r="O4125" s="268"/>
    </row>
    <row r="4126" spans="9:15" x14ac:dyDescent="0.25">
      <c r="I4126" s="268"/>
      <c r="O4126" s="268"/>
    </row>
    <row r="4127" spans="9:15" x14ac:dyDescent="0.25">
      <c r="I4127" s="268"/>
      <c r="O4127" s="268"/>
    </row>
    <row r="4128" spans="9:15" x14ac:dyDescent="0.25">
      <c r="I4128" s="268"/>
      <c r="O4128" s="268"/>
    </row>
    <row r="4129" spans="9:15" x14ac:dyDescent="0.25">
      <c r="I4129" s="268"/>
      <c r="O4129" s="268"/>
    </row>
    <row r="4130" spans="9:15" x14ac:dyDescent="0.25">
      <c r="I4130" s="268"/>
      <c r="O4130" s="268"/>
    </row>
    <row r="4131" spans="9:15" x14ac:dyDescent="0.25">
      <c r="I4131" s="268"/>
      <c r="O4131" s="268"/>
    </row>
    <row r="4132" spans="9:15" x14ac:dyDescent="0.25">
      <c r="I4132" s="268"/>
      <c r="O4132" s="268"/>
    </row>
    <row r="4133" spans="9:15" x14ac:dyDescent="0.25">
      <c r="I4133" s="268"/>
      <c r="O4133" s="268"/>
    </row>
    <row r="4134" spans="9:15" x14ac:dyDescent="0.25">
      <c r="I4134" s="268"/>
      <c r="O4134" s="268"/>
    </row>
    <row r="4135" spans="9:15" x14ac:dyDescent="0.25">
      <c r="I4135" s="268"/>
      <c r="O4135" s="268"/>
    </row>
    <row r="4136" spans="9:15" x14ac:dyDescent="0.25">
      <c r="I4136" s="268"/>
      <c r="O4136" s="268"/>
    </row>
    <row r="4137" spans="9:15" x14ac:dyDescent="0.25">
      <c r="I4137" s="268"/>
      <c r="O4137" s="268"/>
    </row>
    <row r="4138" spans="9:15" x14ac:dyDescent="0.25">
      <c r="I4138" s="268"/>
      <c r="O4138" s="268"/>
    </row>
    <row r="4139" spans="9:15" x14ac:dyDescent="0.25">
      <c r="I4139" s="268"/>
      <c r="O4139" s="268"/>
    </row>
    <row r="4140" spans="9:15" x14ac:dyDescent="0.25">
      <c r="I4140" s="268"/>
      <c r="O4140" s="268"/>
    </row>
    <row r="4141" spans="9:15" x14ac:dyDescent="0.25">
      <c r="I4141" s="268"/>
      <c r="O4141" s="268"/>
    </row>
    <row r="4142" spans="9:15" x14ac:dyDescent="0.25">
      <c r="I4142" s="268"/>
      <c r="O4142" s="268"/>
    </row>
    <row r="4143" spans="9:15" x14ac:dyDescent="0.25">
      <c r="I4143" s="268"/>
      <c r="O4143" s="268"/>
    </row>
    <row r="4144" spans="9:15" x14ac:dyDescent="0.25">
      <c r="I4144" s="268"/>
      <c r="O4144" s="268"/>
    </row>
    <row r="4145" spans="9:15" x14ac:dyDescent="0.25">
      <c r="I4145" s="268"/>
      <c r="O4145" s="268"/>
    </row>
    <row r="4146" spans="9:15" x14ac:dyDescent="0.25">
      <c r="I4146" s="268"/>
      <c r="O4146" s="268"/>
    </row>
    <row r="4147" spans="9:15" x14ac:dyDescent="0.25">
      <c r="I4147" s="268"/>
      <c r="O4147" s="268"/>
    </row>
    <row r="4148" spans="9:15" x14ac:dyDescent="0.25">
      <c r="I4148" s="268"/>
      <c r="O4148" s="268"/>
    </row>
    <row r="4149" spans="9:15" x14ac:dyDescent="0.25">
      <c r="I4149" s="268"/>
      <c r="O4149" s="268"/>
    </row>
    <row r="4150" spans="9:15" x14ac:dyDescent="0.25">
      <c r="I4150" s="268"/>
      <c r="O4150" s="268"/>
    </row>
    <row r="4151" spans="9:15" x14ac:dyDescent="0.25">
      <c r="I4151" s="268"/>
      <c r="O4151" s="268"/>
    </row>
    <row r="4152" spans="9:15" x14ac:dyDescent="0.25">
      <c r="I4152" s="268"/>
      <c r="O4152" s="268"/>
    </row>
    <row r="4153" spans="9:15" x14ac:dyDescent="0.25">
      <c r="I4153" s="268"/>
      <c r="O4153" s="268"/>
    </row>
    <row r="4154" spans="9:15" x14ac:dyDescent="0.25">
      <c r="I4154" s="268"/>
      <c r="O4154" s="268"/>
    </row>
    <row r="4155" spans="9:15" x14ac:dyDescent="0.25">
      <c r="I4155" s="268"/>
      <c r="O4155" s="268"/>
    </row>
    <row r="4156" spans="9:15" x14ac:dyDescent="0.25">
      <c r="I4156" s="268"/>
      <c r="O4156" s="268"/>
    </row>
    <row r="4157" spans="9:15" x14ac:dyDescent="0.25">
      <c r="I4157" s="268"/>
      <c r="O4157" s="268"/>
    </row>
    <row r="4158" spans="9:15" x14ac:dyDescent="0.25">
      <c r="I4158" s="268"/>
      <c r="O4158" s="268"/>
    </row>
    <row r="4159" spans="9:15" x14ac:dyDescent="0.25">
      <c r="I4159" s="268"/>
      <c r="O4159" s="268"/>
    </row>
    <row r="4160" spans="9:15" x14ac:dyDescent="0.25">
      <c r="I4160" s="268"/>
      <c r="O4160" s="268"/>
    </row>
    <row r="4161" spans="9:15" x14ac:dyDescent="0.25">
      <c r="I4161" s="268"/>
      <c r="O4161" s="268"/>
    </row>
    <row r="4162" spans="9:15" x14ac:dyDescent="0.25">
      <c r="I4162" s="268"/>
      <c r="O4162" s="268"/>
    </row>
    <row r="4163" spans="9:15" x14ac:dyDescent="0.25">
      <c r="I4163" s="268"/>
      <c r="O4163" s="268"/>
    </row>
    <row r="4164" spans="9:15" x14ac:dyDescent="0.25">
      <c r="I4164" s="268"/>
      <c r="O4164" s="268"/>
    </row>
    <row r="4165" spans="9:15" x14ac:dyDescent="0.25">
      <c r="I4165" s="268"/>
      <c r="O4165" s="268"/>
    </row>
    <row r="4166" spans="9:15" x14ac:dyDescent="0.25">
      <c r="I4166" s="268"/>
      <c r="O4166" s="268"/>
    </row>
    <row r="4167" spans="9:15" x14ac:dyDescent="0.25">
      <c r="I4167" s="268"/>
      <c r="O4167" s="268"/>
    </row>
    <row r="4168" spans="9:15" x14ac:dyDescent="0.25">
      <c r="I4168" s="268"/>
      <c r="O4168" s="268"/>
    </row>
    <row r="4169" spans="9:15" x14ac:dyDescent="0.25">
      <c r="I4169" s="268"/>
      <c r="O4169" s="268"/>
    </row>
    <row r="4170" spans="9:15" x14ac:dyDescent="0.25">
      <c r="I4170" s="268"/>
      <c r="O4170" s="268"/>
    </row>
    <row r="4171" spans="9:15" x14ac:dyDescent="0.25">
      <c r="I4171" s="268"/>
      <c r="O4171" s="268"/>
    </row>
    <row r="4172" spans="9:15" x14ac:dyDescent="0.25">
      <c r="I4172" s="268"/>
      <c r="O4172" s="268"/>
    </row>
    <row r="4173" spans="9:15" x14ac:dyDescent="0.25">
      <c r="I4173" s="268"/>
      <c r="O4173" s="268"/>
    </row>
    <row r="4174" spans="9:15" x14ac:dyDescent="0.25">
      <c r="I4174" s="268"/>
      <c r="O4174" s="268"/>
    </row>
    <row r="4175" spans="9:15" x14ac:dyDescent="0.25">
      <c r="I4175" s="268"/>
      <c r="O4175" s="268"/>
    </row>
    <row r="4176" spans="9:15" x14ac:dyDescent="0.25">
      <c r="I4176" s="268"/>
      <c r="O4176" s="268"/>
    </row>
    <row r="4177" spans="9:15" x14ac:dyDescent="0.25">
      <c r="I4177" s="268"/>
      <c r="O4177" s="268"/>
    </row>
    <row r="4178" spans="9:15" x14ac:dyDescent="0.25">
      <c r="I4178" s="268"/>
      <c r="O4178" s="268"/>
    </row>
    <row r="4179" spans="9:15" x14ac:dyDescent="0.25">
      <c r="I4179" s="268"/>
      <c r="O4179" s="268"/>
    </row>
    <row r="4180" spans="9:15" x14ac:dyDescent="0.25">
      <c r="I4180" s="268"/>
      <c r="O4180" s="268"/>
    </row>
    <row r="4181" spans="9:15" x14ac:dyDescent="0.25">
      <c r="I4181" s="268"/>
      <c r="O4181" s="268"/>
    </row>
    <row r="4182" spans="9:15" x14ac:dyDescent="0.25">
      <c r="I4182" s="268"/>
      <c r="O4182" s="268"/>
    </row>
    <row r="4183" spans="9:15" x14ac:dyDescent="0.25">
      <c r="I4183" s="268"/>
      <c r="O4183" s="268"/>
    </row>
    <row r="4184" spans="9:15" x14ac:dyDescent="0.25">
      <c r="I4184" s="268"/>
      <c r="O4184" s="268"/>
    </row>
    <row r="4185" spans="9:15" x14ac:dyDescent="0.25">
      <c r="I4185" s="268"/>
      <c r="O4185" s="268"/>
    </row>
    <row r="4186" spans="9:15" x14ac:dyDescent="0.25">
      <c r="I4186" s="268"/>
      <c r="O4186" s="268"/>
    </row>
    <row r="4187" spans="9:15" x14ac:dyDescent="0.25">
      <c r="I4187" s="268"/>
      <c r="O4187" s="268"/>
    </row>
    <row r="4188" spans="9:15" x14ac:dyDescent="0.25">
      <c r="I4188" s="268"/>
      <c r="O4188" s="268"/>
    </row>
    <row r="4189" spans="9:15" x14ac:dyDescent="0.25">
      <c r="I4189" s="268"/>
      <c r="O4189" s="268"/>
    </row>
    <row r="4190" spans="9:15" x14ac:dyDescent="0.25">
      <c r="I4190" s="268"/>
      <c r="O4190" s="268"/>
    </row>
    <row r="4191" spans="9:15" x14ac:dyDescent="0.25">
      <c r="I4191" s="268"/>
      <c r="O4191" s="268"/>
    </row>
    <row r="4192" spans="9:15" x14ac:dyDescent="0.25">
      <c r="I4192" s="268"/>
      <c r="O4192" s="268"/>
    </row>
    <row r="4193" spans="9:15" x14ac:dyDescent="0.25">
      <c r="I4193" s="268"/>
      <c r="O4193" s="268"/>
    </row>
    <row r="4194" spans="9:15" x14ac:dyDescent="0.25">
      <c r="I4194" s="268"/>
      <c r="O4194" s="268"/>
    </row>
    <row r="4195" spans="9:15" x14ac:dyDescent="0.25">
      <c r="I4195" s="268"/>
      <c r="O4195" s="268"/>
    </row>
    <row r="4196" spans="9:15" x14ac:dyDescent="0.25">
      <c r="I4196" s="268"/>
      <c r="O4196" s="268"/>
    </row>
    <row r="4197" spans="9:15" x14ac:dyDescent="0.25">
      <c r="I4197" s="268"/>
      <c r="O4197" s="268"/>
    </row>
    <row r="4198" spans="9:15" x14ac:dyDescent="0.25">
      <c r="I4198" s="268"/>
      <c r="O4198" s="268"/>
    </row>
    <row r="4199" spans="9:15" x14ac:dyDescent="0.25">
      <c r="I4199" s="268"/>
      <c r="O4199" s="268"/>
    </row>
    <row r="4200" spans="9:15" x14ac:dyDescent="0.25">
      <c r="I4200" s="268"/>
      <c r="O4200" s="268"/>
    </row>
    <row r="4201" spans="9:15" x14ac:dyDescent="0.25">
      <c r="I4201" s="268"/>
      <c r="O4201" s="268"/>
    </row>
    <row r="4202" spans="9:15" x14ac:dyDescent="0.25">
      <c r="I4202" s="268"/>
      <c r="O4202" s="268"/>
    </row>
    <row r="4203" spans="9:15" x14ac:dyDescent="0.25">
      <c r="I4203" s="268"/>
      <c r="O4203" s="268"/>
    </row>
    <row r="4204" spans="9:15" x14ac:dyDescent="0.25">
      <c r="I4204" s="268"/>
      <c r="O4204" s="268"/>
    </row>
    <row r="4205" spans="9:15" x14ac:dyDescent="0.25">
      <c r="I4205" s="268"/>
      <c r="O4205" s="268"/>
    </row>
    <row r="4206" spans="9:15" x14ac:dyDescent="0.25">
      <c r="I4206" s="268"/>
      <c r="O4206" s="268"/>
    </row>
    <row r="4207" spans="9:15" x14ac:dyDescent="0.25">
      <c r="I4207" s="268"/>
      <c r="O4207" s="268"/>
    </row>
    <row r="4208" spans="9:15" x14ac:dyDescent="0.25">
      <c r="I4208" s="268"/>
      <c r="O4208" s="268"/>
    </row>
    <row r="4209" spans="9:15" x14ac:dyDescent="0.25">
      <c r="I4209" s="268"/>
      <c r="O4209" s="268"/>
    </row>
    <row r="4210" spans="9:15" x14ac:dyDescent="0.25">
      <c r="I4210" s="268"/>
      <c r="O4210" s="268"/>
    </row>
    <row r="4211" spans="9:15" x14ac:dyDescent="0.25">
      <c r="I4211" s="268"/>
      <c r="O4211" s="268"/>
    </row>
    <row r="4212" spans="9:15" x14ac:dyDescent="0.25">
      <c r="I4212" s="268"/>
      <c r="O4212" s="268"/>
    </row>
    <row r="4213" spans="9:15" x14ac:dyDescent="0.25">
      <c r="I4213" s="268"/>
      <c r="O4213" s="268"/>
    </row>
    <row r="4214" spans="9:15" x14ac:dyDescent="0.25">
      <c r="I4214" s="268"/>
      <c r="O4214" s="268"/>
    </row>
    <row r="4215" spans="9:15" x14ac:dyDescent="0.25">
      <c r="I4215" s="268"/>
      <c r="O4215" s="268"/>
    </row>
    <row r="4216" spans="9:15" x14ac:dyDescent="0.25">
      <c r="I4216" s="268"/>
      <c r="O4216" s="268"/>
    </row>
    <row r="4217" spans="9:15" x14ac:dyDescent="0.25">
      <c r="I4217" s="268"/>
      <c r="O4217" s="268"/>
    </row>
    <row r="4218" spans="9:15" x14ac:dyDescent="0.25">
      <c r="I4218" s="268"/>
      <c r="O4218" s="268"/>
    </row>
    <row r="4219" spans="9:15" x14ac:dyDescent="0.25">
      <c r="I4219" s="268"/>
      <c r="O4219" s="268"/>
    </row>
    <row r="4220" spans="9:15" x14ac:dyDescent="0.25">
      <c r="I4220" s="268"/>
      <c r="O4220" s="268"/>
    </row>
    <row r="4221" spans="9:15" x14ac:dyDescent="0.25">
      <c r="I4221" s="268"/>
      <c r="O4221" s="268"/>
    </row>
    <row r="4222" spans="9:15" x14ac:dyDescent="0.25">
      <c r="I4222" s="268"/>
      <c r="O4222" s="268"/>
    </row>
    <row r="4223" spans="9:15" x14ac:dyDescent="0.25">
      <c r="I4223" s="268"/>
      <c r="O4223" s="268"/>
    </row>
    <row r="4224" spans="9:15" x14ac:dyDescent="0.25">
      <c r="I4224" s="268"/>
      <c r="O4224" s="268"/>
    </row>
    <row r="4225" spans="9:15" x14ac:dyDescent="0.25">
      <c r="I4225" s="268"/>
      <c r="O4225" s="268"/>
    </row>
    <row r="4226" spans="9:15" x14ac:dyDescent="0.25">
      <c r="I4226" s="268"/>
      <c r="O4226" s="268"/>
    </row>
    <row r="4227" spans="9:15" x14ac:dyDescent="0.25">
      <c r="I4227" s="268"/>
      <c r="O4227" s="268"/>
    </row>
    <row r="4228" spans="9:15" x14ac:dyDescent="0.25">
      <c r="I4228" s="268"/>
      <c r="O4228" s="268"/>
    </row>
    <row r="4229" spans="9:15" x14ac:dyDescent="0.25">
      <c r="I4229" s="268"/>
      <c r="O4229" s="268"/>
    </row>
    <row r="4230" spans="9:15" x14ac:dyDescent="0.25">
      <c r="I4230" s="268"/>
      <c r="O4230" s="268"/>
    </row>
    <row r="4231" spans="9:15" x14ac:dyDescent="0.25">
      <c r="I4231" s="268"/>
      <c r="O4231" s="268"/>
    </row>
    <row r="4232" spans="9:15" x14ac:dyDescent="0.25">
      <c r="I4232" s="268"/>
      <c r="O4232" s="268"/>
    </row>
    <row r="4233" spans="9:15" x14ac:dyDescent="0.25">
      <c r="I4233" s="268"/>
      <c r="O4233" s="268"/>
    </row>
    <row r="4234" spans="9:15" x14ac:dyDescent="0.25">
      <c r="I4234" s="268"/>
      <c r="O4234" s="268"/>
    </row>
    <row r="4235" spans="9:15" x14ac:dyDescent="0.25">
      <c r="I4235" s="268"/>
      <c r="O4235" s="268"/>
    </row>
    <row r="4236" spans="9:15" x14ac:dyDescent="0.25">
      <c r="I4236" s="268"/>
      <c r="O4236" s="268"/>
    </row>
    <row r="4237" spans="9:15" x14ac:dyDescent="0.25">
      <c r="I4237" s="268"/>
      <c r="O4237" s="268"/>
    </row>
    <row r="4238" spans="9:15" x14ac:dyDescent="0.25">
      <c r="I4238" s="268"/>
      <c r="O4238" s="268"/>
    </row>
    <row r="4239" spans="9:15" x14ac:dyDescent="0.25">
      <c r="I4239" s="268"/>
      <c r="O4239" s="268"/>
    </row>
    <row r="4240" spans="9:15" x14ac:dyDescent="0.25">
      <c r="I4240" s="268"/>
      <c r="O4240" s="268"/>
    </row>
    <row r="4241" spans="9:15" x14ac:dyDescent="0.25">
      <c r="I4241" s="268"/>
      <c r="O4241" s="268"/>
    </row>
    <row r="4242" spans="9:15" x14ac:dyDescent="0.25">
      <c r="I4242" s="268"/>
      <c r="O4242" s="268"/>
    </row>
    <row r="4243" spans="9:15" x14ac:dyDescent="0.25">
      <c r="I4243" s="268"/>
      <c r="O4243" s="268"/>
    </row>
    <row r="4244" spans="9:15" x14ac:dyDescent="0.25">
      <c r="I4244" s="268"/>
      <c r="O4244" s="268"/>
    </row>
    <row r="4245" spans="9:15" x14ac:dyDescent="0.25">
      <c r="I4245" s="268"/>
      <c r="O4245" s="268"/>
    </row>
    <row r="4246" spans="9:15" x14ac:dyDescent="0.25">
      <c r="I4246" s="268"/>
      <c r="O4246" s="268"/>
    </row>
    <row r="4247" spans="9:15" x14ac:dyDescent="0.25">
      <c r="I4247" s="268"/>
      <c r="O4247" s="268"/>
    </row>
    <row r="4248" spans="9:15" x14ac:dyDescent="0.25">
      <c r="I4248" s="268"/>
      <c r="O4248" s="268"/>
    </row>
    <row r="4249" spans="9:15" x14ac:dyDescent="0.25">
      <c r="I4249" s="268"/>
      <c r="O4249" s="268"/>
    </row>
    <row r="4250" spans="9:15" x14ac:dyDescent="0.25">
      <c r="I4250" s="268"/>
      <c r="O4250" s="268"/>
    </row>
    <row r="4251" spans="9:15" x14ac:dyDescent="0.25">
      <c r="I4251" s="268"/>
      <c r="O4251" s="268"/>
    </row>
    <row r="4252" spans="9:15" x14ac:dyDescent="0.25">
      <c r="I4252" s="268"/>
      <c r="O4252" s="268"/>
    </row>
    <row r="4253" spans="9:15" x14ac:dyDescent="0.25">
      <c r="I4253" s="268"/>
      <c r="O4253" s="268"/>
    </row>
    <row r="4254" spans="9:15" x14ac:dyDescent="0.25">
      <c r="I4254" s="268"/>
      <c r="O4254" s="268"/>
    </row>
    <row r="4255" spans="9:15" x14ac:dyDescent="0.25">
      <c r="I4255" s="268"/>
      <c r="O4255" s="268"/>
    </row>
    <row r="4256" spans="9:15" x14ac:dyDescent="0.25">
      <c r="I4256" s="268"/>
      <c r="O4256" s="268"/>
    </row>
    <row r="4257" spans="9:15" x14ac:dyDescent="0.25">
      <c r="I4257" s="268"/>
      <c r="O4257" s="268"/>
    </row>
    <row r="4258" spans="9:15" x14ac:dyDescent="0.25">
      <c r="I4258" s="268"/>
      <c r="O4258" s="268"/>
    </row>
    <row r="4259" spans="9:15" x14ac:dyDescent="0.25">
      <c r="I4259" s="268"/>
      <c r="O4259" s="268"/>
    </row>
    <row r="4260" spans="9:15" x14ac:dyDescent="0.25">
      <c r="I4260" s="268"/>
      <c r="O4260" s="268"/>
    </row>
    <row r="4261" spans="9:15" x14ac:dyDescent="0.25">
      <c r="I4261" s="268"/>
      <c r="O4261" s="268"/>
    </row>
    <row r="4262" spans="9:15" x14ac:dyDescent="0.25">
      <c r="I4262" s="268"/>
      <c r="O4262" s="268"/>
    </row>
    <row r="4263" spans="9:15" x14ac:dyDescent="0.25">
      <c r="I4263" s="268"/>
      <c r="O4263" s="268"/>
    </row>
    <row r="4264" spans="9:15" x14ac:dyDescent="0.25">
      <c r="I4264" s="268"/>
      <c r="O4264" s="268"/>
    </row>
    <row r="4265" spans="9:15" x14ac:dyDescent="0.25">
      <c r="I4265" s="268"/>
      <c r="O4265" s="268"/>
    </row>
    <row r="4266" spans="9:15" x14ac:dyDescent="0.25">
      <c r="I4266" s="268"/>
      <c r="O4266" s="268"/>
    </row>
    <row r="4267" spans="9:15" x14ac:dyDescent="0.25">
      <c r="I4267" s="268"/>
      <c r="O4267" s="268"/>
    </row>
    <row r="4268" spans="9:15" x14ac:dyDescent="0.25">
      <c r="I4268" s="268"/>
      <c r="O4268" s="268"/>
    </row>
    <row r="4269" spans="9:15" x14ac:dyDescent="0.25">
      <c r="I4269" s="268"/>
      <c r="O4269" s="268"/>
    </row>
    <row r="4270" spans="9:15" x14ac:dyDescent="0.25">
      <c r="I4270" s="268"/>
      <c r="O4270" s="268"/>
    </row>
    <row r="4271" spans="9:15" x14ac:dyDescent="0.25">
      <c r="I4271" s="268"/>
      <c r="O4271" s="268"/>
    </row>
    <row r="4272" spans="9:15" x14ac:dyDescent="0.25">
      <c r="I4272" s="268"/>
      <c r="O4272" s="268"/>
    </row>
    <row r="4273" spans="9:15" x14ac:dyDescent="0.25">
      <c r="I4273" s="268"/>
      <c r="O4273" s="268"/>
    </row>
    <row r="4274" spans="9:15" x14ac:dyDescent="0.25">
      <c r="I4274" s="268"/>
      <c r="O4274" s="268"/>
    </row>
    <row r="4275" spans="9:15" x14ac:dyDescent="0.25">
      <c r="I4275" s="268"/>
      <c r="O4275" s="268"/>
    </row>
    <row r="4276" spans="9:15" x14ac:dyDescent="0.25">
      <c r="I4276" s="268"/>
      <c r="O4276" s="268"/>
    </row>
    <row r="4277" spans="9:15" x14ac:dyDescent="0.25">
      <c r="I4277" s="268"/>
      <c r="O4277" s="268"/>
    </row>
    <row r="4278" spans="9:15" x14ac:dyDescent="0.25">
      <c r="I4278" s="268"/>
      <c r="O4278" s="268"/>
    </row>
    <row r="4279" spans="9:15" x14ac:dyDescent="0.25">
      <c r="I4279" s="268"/>
      <c r="O4279" s="268"/>
    </row>
    <row r="4280" spans="9:15" x14ac:dyDescent="0.25">
      <c r="I4280" s="268"/>
      <c r="O4280" s="268"/>
    </row>
    <row r="4281" spans="9:15" x14ac:dyDescent="0.25">
      <c r="I4281" s="268"/>
      <c r="O4281" s="268"/>
    </row>
    <row r="4282" spans="9:15" x14ac:dyDescent="0.25">
      <c r="I4282" s="268"/>
      <c r="O4282" s="268"/>
    </row>
    <row r="4283" spans="9:15" x14ac:dyDescent="0.25">
      <c r="I4283" s="268"/>
      <c r="O4283" s="268"/>
    </row>
    <row r="4284" spans="9:15" x14ac:dyDescent="0.25">
      <c r="I4284" s="268"/>
      <c r="O4284" s="268"/>
    </row>
    <row r="4285" spans="9:15" x14ac:dyDescent="0.25">
      <c r="I4285" s="268"/>
      <c r="O4285" s="268"/>
    </row>
    <row r="4286" spans="9:15" x14ac:dyDescent="0.25">
      <c r="I4286" s="268"/>
      <c r="O4286" s="268"/>
    </row>
    <row r="4287" spans="9:15" x14ac:dyDescent="0.25">
      <c r="I4287" s="268"/>
      <c r="O4287" s="268"/>
    </row>
    <row r="4288" spans="9:15" x14ac:dyDescent="0.25">
      <c r="I4288" s="268"/>
      <c r="O4288" s="268"/>
    </row>
    <row r="4289" spans="9:15" x14ac:dyDescent="0.25">
      <c r="I4289" s="268"/>
      <c r="O4289" s="268"/>
    </row>
    <row r="4290" spans="9:15" x14ac:dyDescent="0.25">
      <c r="I4290" s="268"/>
      <c r="O4290" s="268"/>
    </row>
    <row r="4291" spans="9:15" x14ac:dyDescent="0.25">
      <c r="I4291" s="268"/>
      <c r="O4291" s="268"/>
    </row>
    <row r="4292" spans="9:15" x14ac:dyDescent="0.25">
      <c r="I4292" s="268"/>
      <c r="O4292" s="268"/>
    </row>
    <row r="4293" spans="9:15" x14ac:dyDescent="0.25">
      <c r="I4293" s="268"/>
      <c r="O4293" s="268"/>
    </row>
    <row r="4294" spans="9:15" x14ac:dyDescent="0.25">
      <c r="I4294" s="268"/>
      <c r="O4294" s="268"/>
    </row>
    <row r="4295" spans="9:15" x14ac:dyDescent="0.25">
      <c r="I4295" s="268"/>
      <c r="O4295" s="268"/>
    </row>
    <row r="4296" spans="9:15" x14ac:dyDescent="0.25">
      <c r="I4296" s="268"/>
      <c r="O4296" s="268"/>
    </row>
    <row r="4297" spans="9:15" x14ac:dyDescent="0.25">
      <c r="I4297" s="268"/>
      <c r="O4297" s="268"/>
    </row>
    <row r="4298" spans="9:15" x14ac:dyDescent="0.25">
      <c r="I4298" s="268"/>
      <c r="O4298" s="268"/>
    </row>
    <row r="4299" spans="9:15" x14ac:dyDescent="0.25">
      <c r="I4299" s="268"/>
      <c r="O4299" s="268"/>
    </row>
    <row r="4300" spans="9:15" x14ac:dyDescent="0.25">
      <c r="I4300" s="268"/>
      <c r="O4300" s="268"/>
    </row>
    <row r="4301" spans="9:15" x14ac:dyDescent="0.25">
      <c r="I4301" s="268"/>
      <c r="O4301" s="268"/>
    </row>
    <row r="4302" spans="9:15" x14ac:dyDescent="0.25">
      <c r="I4302" s="268"/>
      <c r="O4302" s="268"/>
    </row>
    <row r="4303" spans="9:15" x14ac:dyDescent="0.25">
      <c r="I4303" s="268"/>
      <c r="O4303" s="268"/>
    </row>
    <row r="4304" spans="9:15" x14ac:dyDescent="0.25">
      <c r="I4304" s="268"/>
      <c r="O4304" s="268"/>
    </row>
    <row r="4305" spans="9:15" x14ac:dyDescent="0.25">
      <c r="I4305" s="268"/>
      <c r="O4305" s="268"/>
    </row>
    <row r="4306" spans="9:15" x14ac:dyDescent="0.25">
      <c r="I4306" s="268"/>
      <c r="O4306" s="268"/>
    </row>
    <row r="4307" spans="9:15" x14ac:dyDescent="0.25">
      <c r="I4307" s="268"/>
      <c r="O4307" s="268"/>
    </row>
    <row r="4308" spans="9:15" x14ac:dyDescent="0.25">
      <c r="I4308" s="268"/>
      <c r="O4308" s="268"/>
    </row>
    <row r="4309" spans="9:15" x14ac:dyDescent="0.25">
      <c r="I4309" s="268"/>
      <c r="O4309" s="268"/>
    </row>
    <row r="4310" spans="9:15" x14ac:dyDescent="0.25">
      <c r="I4310" s="268"/>
      <c r="O4310" s="268"/>
    </row>
    <row r="4311" spans="9:15" x14ac:dyDescent="0.25">
      <c r="I4311" s="268"/>
      <c r="O4311" s="268"/>
    </row>
    <row r="4312" spans="9:15" x14ac:dyDescent="0.25">
      <c r="I4312" s="268"/>
      <c r="O4312" s="268"/>
    </row>
    <row r="4313" spans="9:15" x14ac:dyDescent="0.25">
      <c r="I4313" s="268"/>
      <c r="O4313" s="268"/>
    </row>
    <row r="4314" spans="9:15" x14ac:dyDescent="0.25">
      <c r="I4314" s="268"/>
      <c r="O4314" s="268"/>
    </row>
    <row r="4315" spans="9:15" x14ac:dyDescent="0.25">
      <c r="I4315" s="268"/>
      <c r="O4315" s="268"/>
    </row>
    <row r="4316" spans="9:15" x14ac:dyDescent="0.25">
      <c r="I4316" s="268"/>
      <c r="O4316" s="268"/>
    </row>
    <row r="4317" spans="9:15" x14ac:dyDescent="0.25">
      <c r="I4317" s="268"/>
      <c r="O4317" s="268"/>
    </row>
    <row r="4318" spans="9:15" x14ac:dyDescent="0.25">
      <c r="I4318" s="268"/>
      <c r="O4318" s="268"/>
    </row>
    <row r="4319" spans="9:15" x14ac:dyDescent="0.25">
      <c r="I4319" s="268"/>
      <c r="O4319" s="268"/>
    </row>
    <row r="4320" spans="9:15" x14ac:dyDescent="0.25">
      <c r="I4320" s="268"/>
      <c r="O4320" s="268"/>
    </row>
    <row r="4321" spans="9:15" x14ac:dyDescent="0.25">
      <c r="I4321" s="268"/>
      <c r="O4321" s="268"/>
    </row>
    <row r="4322" spans="9:15" x14ac:dyDescent="0.25">
      <c r="I4322" s="268"/>
      <c r="O4322" s="268"/>
    </row>
    <row r="4323" spans="9:15" x14ac:dyDescent="0.25">
      <c r="I4323" s="268"/>
      <c r="O4323" s="268"/>
    </row>
    <row r="4324" spans="9:15" x14ac:dyDescent="0.25">
      <c r="I4324" s="268"/>
      <c r="O4324" s="268"/>
    </row>
    <row r="4325" spans="9:15" x14ac:dyDescent="0.25">
      <c r="I4325" s="268"/>
      <c r="O4325" s="268"/>
    </row>
    <row r="4326" spans="9:15" x14ac:dyDescent="0.25">
      <c r="I4326" s="268"/>
      <c r="O4326" s="268"/>
    </row>
    <row r="4327" spans="9:15" x14ac:dyDescent="0.25">
      <c r="I4327" s="268"/>
      <c r="O4327" s="268"/>
    </row>
    <row r="4328" spans="9:15" x14ac:dyDescent="0.25">
      <c r="I4328" s="268"/>
      <c r="O4328" s="268"/>
    </row>
    <row r="4329" spans="9:15" x14ac:dyDescent="0.25">
      <c r="I4329" s="268"/>
      <c r="O4329" s="268"/>
    </row>
    <row r="4330" spans="9:15" x14ac:dyDescent="0.25">
      <c r="I4330" s="268"/>
      <c r="O4330" s="268"/>
    </row>
    <row r="4331" spans="9:15" x14ac:dyDescent="0.25">
      <c r="I4331" s="268"/>
      <c r="O4331" s="268"/>
    </row>
    <row r="4332" spans="9:15" x14ac:dyDescent="0.25">
      <c r="I4332" s="268"/>
      <c r="O4332" s="268"/>
    </row>
    <row r="4333" spans="9:15" x14ac:dyDescent="0.25">
      <c r="I4333" s="268"/>
      <c r="O4333" s="268"/>
    </row>
    <row r="4334" spans="9:15" x14ac:dyDescent="0.25">
      <c r="I4334" s="268"/>
      <c r="O4334" s="268"/>
    </row>
    <row r="4335" spans="9:15" x14ac:dyDescent="0.25">
      <c r="I4335" s="268"/>
      <c r="O4335" s="268"/>
    </row>
    <row r="4336" spans="9:15" x14ac:dyDescent="0.25">
      <c r="I4336" s="268"/>
      <c r="O4336" s="268"/>
    </row>
    <row r="4337" spans="9:15" x14ac:dyDescent="0.25">
      <c r="I4337" s="268"/>
      <c r="O4337" s="268"/>
    </row>
    <row r="4338" spans="9:15" x14ac:dyDescent="0.25">
      <c r="I4338" s="268"/>
      <c r="O4338" s="268"/>
    </row>
    <row r="4339" spans="9:15" x14ac:dyDescent="0.25">
      <c r="I4339" s="268"/>
      <c r="O4339" s="268"/>
    </row>
    <row r="4340" spans="9:15" x14ac:dyDescent="0.25">
      <c r="I4340" s="268"/>
      <c r="O4340" s="268"/>
    </row>
    <row r="4341" spans="9:15" x14ac:dyDescent="0.25">
      <c r="I4341" s="268"/>
      <c r="O4341" s="268"/>
    </row>
    <row r="4342" spans="9:15" x14ac:dyDescent="0.25">
      <c r="I4342" s="268"/>
      <c r="O4342" s="268"/>
    </row>
    <row r="4343" spans="9:15" x14ac:dyDescent="0.25">
      <c r="I4343" s="268"/>
      <c r="O4343" s="268"/>
    </row>
    <row r="4344" spans="9:15" x14ac:dyDescent="0.25">
      <c r="I4344" s="268"/>
      <c r="O4344" s="268"/>
    </row>
    <row r="4345" spans="9:15" x14ac:dyDescent="0.25">
      <c r="I4345" s="268"/>
      <c r="O4345" s="268"/>
    </row>
    <row r="4346" spans="9:15" x14ac:dyDescent="0.25">
      <c r="I4346" s="268"/>
      <c r="O4346" s="268"/>
    </row>
    <row r="4347" spans="9:15" x14ac:dyDescent="0.25">
      <c r="I4347" s="268"/>
      <c r="O4347" s="268"/>
    </row>
    <row r="4348" spans="9:15" x14ac:dyDescent="0.25">
      <c r="I4348" s="268"/>
      <c r="O4348" s="268"/>
    </row>
    <row r="4349" spans="9:15" x14ac:dyDescent="0.25">
      <c r="I4349" s="268"/>
      <c r="O4349" s="268"/>
    </row>
    <row r="4350" spans="9:15" x14ac:dyDescent="0.25">
      <c r="I4350" s="268"/>
      <c r="O4350" s="268"/>
    </row>
    <row r="4351" spans="9:15" x14ac:dyDescent="0.25">
      <c r="I4351" s="268"/>
      <c r="O4351" s="268"/>
    </row>
    <row r="4352" spans="9:15" x14ac:dyDescent="0.25">
      <c r="I4352" s="268"/>
      <c r="O4352" s="268"/>
    </row>
    <row r="4353" spans="9:15" x14ac:dyDescent="0.25">
      <c r="I4353" s="268"/>
      <c r="O4353" s="268"/>
    </row>
    <row r="4354" spans="9:15" x14ac:dyDescent="0.25">
      <c r="I4354" s="268"/>
      <c r="O4354" s="268"/>
    </row>
    <row r="4355" spans="9:15" x14ac:dyDescent="0.25">
      <c r="I4355" s="268"/>
      <c r="O4355" s="268"/>
    </row>
    <row r="4356" spans="9:15" x14ac:dyDescent="0.25">
      <c r="I4356" s="268"/>
      <c r="O4356" s="268"/>
    </row>
    <row r="4357" spans="9:15" x14ac:dyDescent="0.25">
      <c r="I4357" s="268"/>
      <c r="O4357" s="268"/>
    </row>
    <row r="4358" spans="9:15" x14ac:dyDescent="0.25">
      <c r="I4358" s="268"/>
      <c r="O4358" s="268"/>
    </row>
    <row r="4359" spans="9:15" x14ac:dyDescent="0.25">
      <c r="I4359" s="268"/>
      <c r="O4359" s="268"/>
    </row>
    <row r="4360" spans="9:15" x14ac:dyDescent="0.25">
      <c r="I4360" s="268"/>
      <c r="O4360" s="268"/>
    </row>
    <row r="4361" spans="9:15" x14ac:dyDescent="0.25">
      <c r="I4361" s="268"/>
      <c r="O4361" s="268"/>
    </row>
    <row r="4362" spans="9:15" x14ac:dyDescent="0.25">
      <c r="I4362" s="268"/>
      <c r="O4362" s="268"/>
    </row>
    <row r="4363" spans="9:15" x14ac:dyDescent="0.25">
      <c r="I4363" s="268"/>
      <c r="O4363" s="268"/>
    </row>
    <row r="4364" spans="9:15" x14ac:dyDescent="0.25">
      <c r="I4364" s="268"/>
      <c r="O4364" s="268"/>
    </row>
    <row r="4365" spans="9:15" x14ac:dyDescent="0.25">
      <c r="I4365" s="268"/>
      <c r="O4365" s="268"/>
    </row>
    <row r="4366" spans="9:15" x14ac:dyDescent="0.25">
      <c r="I4366" s="268"/>
      <c r="O4366" s="268"/>
    </row>
    <row r="4367" spans="9:15" x14ac:dyDescent="0.25">
      <c r="I4367" s="268"/>
      <c r="O4367" s="268"/>
    </row>
    <row r="4368" spans="9:15" x14ac:dyDescent="0.25">
      <c r="I4368" s="268"/>
      <c r="O4368" s="268"/>
    </row>
    <row r="4369" spans="9:15" x14ac:dyDescent="0.25">
      <c r="I4369" s="268"/>
      <c r="O4369" s="268"/>
    </row>
    <row r="4370" spans="9:15" x14ac:dyDescent="0.25">
      <c r="I4370" s="268"/>
      <c r="O4370" s="268"/>
    </row>
    <row r="4371" spans="9:15" x14ac:dyDescent="0.25">
      <c r="I4371" s="268"/>
      <c r="O4371" s="268"/>
    </row>
    <row r="4372" spans="9:15" x14ac:dyDescent="0.25">
      <c r="I4372" s="268"/>
      <c r="O4372" s="268"/>
    </row>
    <row r="4373" spans="9:15" x14ac:dyDescent="0.25">
      <c r="I4373" s="268"/>
      <c r="O4373" s="268"/>
    </row>
    <row r="4374" spans="9:15" x14ac:dyDescent="0.25">
      <c r="I4374" s="268"/>
      <c r="O4374" s="268"/>
    </row>
    <row r="4375" spans="9:15" x14ac:dyDescent="0.25">
      <c r="I4375" s="268"/>
      <c r="O4375" s="268"/>
    </row>
    <row r="4376" spans="9:15" x14ac:dyDescent="0.25">
      <c r="I4376" s="268"/>
      <c r="O4376" s="268"/>
    </row>
    <row r="4377" spans="9:15" x14ac:dyDescent="0.25">
      <c r="I4377" s="268"/>
      <c r="O4377" s="268"/>
    </row>
    <row r="4378" spans="9:15" x14ac:dyDescent="0.25">
      <c r="I4378" s="268"/>
      <c r="O4378" s="268"/>
    </row>
    <row r="4379" spans="9:15" x14ac:dyDescent="0.25">
      <c r="I4379" s="268"/>
      <c r="O4379" s="268"/>
    </row>
    <row r="4380" spans="9:15" x14ac:dyDescent="0.25">
      <c r="I4380" s="268"/>
      <c r="O4380" s="268"/>
    </row>
    <row r="4381" spans="9:15" x14ac:dyDescent="0.25">
      <c r="I4381" s="268"/>
      <c r="O4381" s="268"/>
    </row>
    <row r="4382" spans="9:15" x14ac:dyDescent="0.25">
      <c r="I4382" s="268"/>
      <c r="O4382" s="268"/>
    </row>
    <row r="4383" spans="9:15" x14ac:dyDescent="0.25">
      <c r="I4383" s="268"/>
      <c r="O4383" s="268"/>
    </row>
    <row r="4384" spans="9:15" x14ac:dyDescent="0.25">
      <c r="I4384" s="268"/>
      <c r="O4384" s="268"/>
    </row>
    <row r="4385" spans="9:15" x14ac:dyDescent="0.25">
      <c r="I4385" s="268"/>
      <c r="O4385" s="268"/>
    </row>
    <row r="4386" spans="9:15" x14ac:dyDescent="0.25">
      <c r="I4386" s="268"/>
      <c r="O4386" s="268"/>
    </row>
    <row r="4387" spans="9:15" x14ac:dyDescent="0.25">
      <c r="I4387" s="268"/>
      <c r="O4387" s="268"/>
    </row>
    <row r="4388" spans="9:15" x14ac:dyDescent="0.25">
      <c r="I4388" s="268"/>
      <c r="O4388" s="268"/>
    </row>
    <row r="4389" spans="9:15" x14ac:dyDescent="0.25">
      <c r="I4389" s="268"/>
      <c r="O4389" s="268"/>
    </row>
    <row r="4390" spans="9:15" x14ac:dyDescent="0.25">
      <c r="I4390" s="268"/>
      <c r="O4390" s="268"/>
    </row>
    <row r="4391" spans="9:15" x14ac:dyDescent="0.25">
      <c r="I4391" s="268"/>
      <c r="O4391" s="268"/>
    </row>
    <row r="4392" spans="9:15" x14ac:dyDescent="0.25">
      <c r="I4392" s="268"/>
      <c r="O4392" s="268"/>
    </row>
    <row r="4393" spans="9:15" x14ac:dyDescent="0.25">
      <c r="I4393" s="268"/>
      <c r="O4393" s="268"/>
    </row>
    <row r="4394" spans="9:15" x14ac:dyDescent="0.25">
      <c r="I4394" s="268"/>
      <c r="O4394" s="268"/>
    </row>
    <row r="4395" spans="9:15" x14ac:dyDescent="0.25">
      <c r="I4395" s="268"/>
      <c r="O4395" s="268"/>
    </row>
    <row r="4396" spans="9:15" x14ac:dyDescent="0.25">
      <c r="I4396" s="268"/>
      <c r="O4396" s="268"/>
    </row>
    <row r="4397" spans="9:15" x14ac:dyDescent="0.25">
      <c r="I4397" s="268"/>
      <c r="O4397" s="268"/>
    </row>
    <row r="4398" spans="9:15" x14ac:dyDescent="0.25">
      <c r="I4398" s="268"/>
      <c r="O4398" s="268"/>
    </row>
    <row r="4399" spans="9:15" x14ac:dyDescent="0.25">
      <c r="I4399" s="268"/>
      <c r="O4399" s="268"/>
    </row>
    <row r="4400" spans="9:15" x14ac:dyDescent="0.25">
      <c r="I4400" s="268"/>
      <c r="O4400" s="268"/>
    </row>
    <row r="4401" spans="9:15" x14ac:dyDescent="0.25">
      <c r="I4401" s="268"/>
      <c r="O4401" s="268"/>
    </row>
    <row r="4402" spans="9:15" x14ac:dyDescent="0.25">
      <c r="I4402" s="268"/>
      <c r="O4402" s="268"/>
    </row>
    <row r="4403" spans="9:15" x14ac:dyDescent="0.25">
      <c r="I4403" s="268"/>
      <c r="O4403" s="268"/>
    </row>
    <row r="4404" spans="9:15" x14ac:dyDescent="0.25">
      <c r="I4404" s="268"/>
      <c r="O4404" s="268"/>
    </row>
    <row r="4405" spans="9:15" x14ac:dyDescent="0.25">
      <c r="I4405" s="268"/>
      <c r="O4405" s="268"/>
    </row>
    <row r="4406" spans="9:15" x14ac:dyDescent="0.25">
      <c r="I4406" s="268"/>
      <c r="O4406" s="268"/>
    </row>
    <row r="4407" spans="9:15" x14ac:dyDescent="0.25">
      <c r="I4407" s="268"/>
      <c r="O4407" s="268"/>
    </row>
    <row r="4408" spans="9:15" x14ac:dyDescent="0.25">
      <c r="I4408" s="268"/>
      <c r="O4408" s="268"/>
    </row>
    <row r="4409" spans="9:15" x14ac:dyDescent="0.25">
      <c r="I4409" s="268"/>
      <c r="O4409" s="268"/>
    </row>
    <row r="4410" spans="9:15" x14ac:dyDescent="0.25">
      <c r="I4410" s="268"/>
      <c r="O4410" s="268"/>
    </row>
    <row r="4411" spans="9:15" x14ac:dyDescent="0.25">
      <c r="I4411" s="268"/>
      <c r="O4411" s="268"/>
    </row>
    <row r="4412" spans="9:15" x14ac:dyDescent="0.25">
      <c r="I4412" s="268"/>
      <c r="O4412" s="268"/>
    </row>
    <row r="4413" spans="9:15" x14ac:dyDescent="0.25">
      <c r="I4413" s="268"/>
      <c r="O4413" s="268"/>
    </row>
    <row r="4414" spans="9:15" x14ac:dyDescent="0.25">
      <c r="I4414" s="268"/>
      <c r="O4414" s="268"/>
    </row>
    <row r="4415" spans="9:15" x14ac:dyDescent="0.25">
      <c r="I4415" s="268"/>
      <c r="O4415" s="268"/>
    </row>
    <row r="4416" spans="9:15" x14ac:dyDescent="0.25">
      <c r="I4416" s="268"/>
      <c r="O4416" s="268"/>
    </row>
    <row r="4417" spans="9:15" x14ac:dyDescent="0.25">
      <c r="I4417" s="268"/>
      <c r="O4417" s="268"/>
    </row>
    <row r="4418" spans="9:15" x14ac:dyDescent="0.25">
      <c r="I4418" s="268"/>
      <c r="O4418" s="268"/>
    </row>
    <row r="4419" spans="9:15" x14ac:dyDescent="0.25">
      <c r="I4419" s="268"/>
      <c r="O4419" s="268"/>
    </row>
    <row r="4420" spans="9:15" x14ac:dyDescent="0.25">
      <c r="I4420" s="268"/>
      <c r="O4420" s="268"/>
    </row>
    <row r="4421" spans="9:15" x14ac:dyDescent="0.25">
      <c r="I4421" s="268"/>
      <c r="O4421" s="268"/>
    </row>
    <row r="4422" spans="9:15" x14ac:dyDescent="0.25">
      <c r="I4422" s="268"/>
      <c r="O4422" s="268"/>
    </row>
    <row r="4423" spans="9:15" x14ac:dyDescent="0.25">
      <c r="I4423" s="268"/>
      <c r="O4423" s="268"/>
    </row>
    <row r="4424" spans="9:15" x14ac:dyDescent="0.25">
      <c r="I4424" s="268"/>
      <c r="O4424" s="268"/>
    </row>
    <row r="4425" spans="9:15" x14ac:dyDescent="0.25">
      <c r="I4425" s="268"/>
      <c r="O4425" s="268"/>
    </row>
    <row r="4426" spans="9:15" x14ac:dyDescent="0.25">
      <c r="I4426" s="268"/>
      <c r="O4426" s="268"/>
    </row>
    <row r="4427" spans="9:15" x14ac:dyDescent="0.25">
      <c r="I4427" s="268"/>
      <c r="O4427" s="268"/>
    </row>
    <row r="4428" spans="9:15" x14ac:dyDescent="0.25">
      <c r="I4428" s="268"/>
      <c r="O4428" s="268"/>
    </row>
    <row r="4429" spans="9:15" x14ac:dyDescent="0.25">
      <c r="I4429" s="268"/>
      <c r="O4429" s="268"/>
    </row>
    <row r="4430" spans="9:15" x14ac:dyDescent="0.25">
      <c r="I4430" s="268"/>
      <c r="O4430" s="268"/>
    </row>
    <row r="4431" spans="9:15" x14ac:dyDescent="0.25">
      <c r="I4431" s="268"/>
      <c r="O4431" s="268"/>
    </row>
    <row r="4432" spans="9:15" x14ac:dyDescent="0.25">
      <c r="I4432" s="268"/>
      <c r="O4432" s="268"/>
    </row>
    <row r="4433" spans="9:15" x14ac:dyDescent="0.25">
      <c r="I4433" s="268"/>
      <c r="O4433" s="268"/>
    </row>
    <row r="4434" spans="9:15" x14ac:dyDescent="0.25">
      <c r="I4434" s="268"/>
      <c r="O4434" s="268"/>
    </row>
    <row r="4435" spans="9:15" x14ac:dyDescent="0.25">
      <c r="I4435" s="268"/>
      <c r="O4435" s="268"/>
    </row>
    <row r="4436" spans="9:15" x14ac:dyDescent="0.25">
      <c r="I4436" s="268"/>
      <c r="O4436" s="268"/>
    </row>
    <row r="4437" spans="9:15" x14ac:dyDescent="0.25">
      <c r="I4437" s="268"/>
      <c r="O4437" s="268"/>
    </row>
    <row r="4438" spans="9:15" x14ac:dyDescent="0.25">
      <c r="I4438" s="268"/>
      <c r="O4438" s="268"/>
    </row>
    <row r="4439" spans="9:15" x14ac:dyDescent="0.25">
      <c r="I4439" s="268"/>
      <c r="O4439" s="268"/>
    </row>
    <row r="4440" spans="9:15" x14ac:dyDescent="0.25">
      <c r="I4440" s="268"/>
      <c r="O4440" s="268"/>
    </row>
    <row r="4441" spans="9:15" x14ac:dyDescent="0.25">
      <c r="I4441" s="268"/>
      <c r="O4441" s="268"/>
    </row>
    <row r="4442" spans="9:15" x14ac:dyDescent="0.25">
      <c r="I4442" s="268"/>
      <c r="O4442" s="268"/>
    </row>
    <row r="4443" spans="9:15" x14ac:dyDescent="0.25">
      <c r="I4443" s="268"/>
      <c r="O4443" s="268"/>
    </row>
    <row r="4444" spans="9:15" x14ac:dyDescent="0.25">
      <c r="I4444" s="268"/>
      <c r="O4444" s="268"/>
    </row>
    <row r="4445" spans="9:15" x14ac:dyDescent="0.25">
      <c r="I4445" s="268"/>
      <c r="O4445" s="268"/>
    </row>
    <row r="4446" spans="9:15" x14ac:dyDescent="0.25">
      <c r="I4446" s="268"/>
      <c r="O4446" s="268"/>
    </row>
    <row r="4447" spans="9:15" x14ac:dyDescent="0.25">
      <c r="I4447" s="268"/>
      <c r="O4447" s="268"/>
    </row>
    <row r="4448" spans="9:15" x14ac:dyDescent="0.25">
      <c r="I4448" s="268"/>
      <c r="O4448" s="268"/>
    </row>
    <row r="4449" spans="9:15" x14ac:dyDescent="0.25">
      <c r="I4449" s="268"/>
      <c r="O4449" s="268"/>
    </row>
    <row r="4450" spans="9:15" x14ac:dyDescent="0.25">
      <c r="I4450" s="268"/>
      <c r="O4450" s="268"/>
    </row>
    <row r="4451" spans="9:15" x14ac:dyDescent="0.25">
      <c r="I4451" s="268"/>
      <c r="O4451" s="268"/>
    </row>
    <row r="4452" spans="9:15" x14ac:dyDescent="0.25">
      <c r="I4452" s="268"/>
      <c r="O4452" s="268"/>
    </row>
    <row r="4453" spans="9:15" x14ac:dyDescent="0.25">
      <c r="I4453" s="268"/>
      <c r="O4453" s="268"/>
    </row>
    <row r="4454" spans="9:15" x14ac:dyDescent="0.25">
      <c r="I4454" s="268"/>
      <c r="O4454" s="268"/>
    </row>
    <row r="4455" spans="9:15" x14ac:dyDescent="0.25">
      <c r="I4455" s="268"/>
      <c r="O4455" s="268"/>
    </row>
    <row r="4456" spans="9:15" x14ac:dyDescent="0.25">
      <c r="I4456" s="268"/>
      <c r="O4456" s="268"/>
    </row>
    <row r="4457" spans="9:15" x14ac:dyDescent="0.25">
      <c r="I4457" s="268"/>
      <c r="O4457" s="268"/>
    </row>
    <row r="4458" spans="9:15" x14ac:dyDescent="0.25">
      <c r="I4458" s="268"/>
      <c r="O4458" s="268"/>
    </row>
    <row r="4459" spans="9:15" x14ac:dyDescent="0.25">
      <c r="I4459" s="268"/>
      <c r="O4459" s="268"/>
    </row>
    <row r="4460" spans="9:15" x14ac:dyDescent="0.25">
      <c r="I4460" s="268"/>
      <c r="O4460" s="268"/>
    </row>
    <row r="4461" spans="9:15" x14ac:dyDescent="0.25">
      <c r="I4461" s="268"/>
      <c r="O4461" s="268"/>
    </row>
    <row r="4462" spans="9:15" x14ac:dyDescent="0.25">
      <c r="I4462" s="268"/>
      <c r="O4462" s="268"/>
    </row>
    <row r="4463" spans="9:15" x14ac:dyDescent="0.25">
      <c r="I4463" s="268"/>
      <c r="O4463" s="268"/>
    </row>
    <row r="4464" spans="9:15" x14ac:dyDescent="0.25">
      <c r="I4464" s="268"/>
      <c r="O4464" s="268"/>
    </row>
    <row r="4465" spans="9:15" x14ac:dyDescent="0.25">
      <c r="I4465" s="268"/>
      <c r="O4465" s="268"/>
    </row>
    <row r="4466" spans="9:15" x14ac:dyDescent="0.25">
      <c r="I4466" s="268"/>
      <c r="O4466" s="268"/>
    </row>
    <row r="4467" spans="9:15" x14ac:dyDescent="0.25">
      <c r="I4467" s="268"/>
      <c r="O4467" s="268"/>
    </row>
    <row r="4468" spans="9:15" x14ac:dyDescent="0.25">
      <c r="I4468" s="268"/>
      <c r="O4468" s="268"/>
    </row>
    <row r="4469" spans="9:15" x14ac:dyDescent="0.25">
      <c r="I4469" s="268"/>
      <c r="O4469" s="268"/>
    </row>
    <row r="4470" spans="9:15" x14ac:dyDescent="0.25">
      <c r="I4470" s="268"/>
      <c r="O4470" s="268"/>
    </row>
    <row r="4471" spans="9:15" x14ac:dyDescent="0.25">
      <c r="I4471" s="268"/>
      <c r="O4471" s="268"/>
    </row>
    <row r="4472" spans="9:15" x14ac:dyDescent="0.25">
      <c r="I4472" s="268"/>
      <c r="O4472" s="268"/>
    </row>
    <row r="4473" spans="9:15" x14ac:dyDescent="0.25">
      <c r="I4473" s="268"/>
      <c r="O4473" s="268"/>
    </row>
    <row r="4474" spans="9:15" x14ac:dyDescent="0.25">
      <c r="I4474" s="268"/>
      <c r="O4474" s="268"/>
    </row>
    <row r="4475" spans="9:15" x14ac:dyDescent="0.25">
      <c r="I4475" s="268"/>
      <c r="O4475" s="268"/>
    </row>
    <row r="4476" spans="9:15" x14ac:dyDescent="0.25">
      <c r="I4476" s="268"/>
      <c r="O4476" s="268"/>
    </row>
    <row r="4477" spans="9:15" x14ac:dyDescent="0.25">
      <c r="I4477" s="268"/>
      <c r="O4477" s="268"/>
    </row>
    <row r="4478" spans="9:15" x14ac:dyDescent="0.25">
      <c r="I4478" s="268"/>
      <c r="O4478" s="268"/>
    </row>
    <row r="4479" spans="9:15" x14ac:dyDescent="0.25">
      <c r="I4479" s="268"/>
      <c r="O4479" s="268"/>
    </row>
    <row r="4480" spans="9:15" x14ac:dyDescent="0.25">
      <c r="I4480" s="268"/>
      <c r="O4480" s="268"/>
    </row>
    <row r="4481" spans="9:15" x14ac:dyDescent="0.25">
      <c r="I4481" s="268"/>
      <c r="O4481" s="268"/>
    </row>
    <row r="4482" spans="9:15" x14ac:dyDescent="0.25">
      <c r="I4482" s="268"/>
      <c r="O4482" s="268"/>
    </row>
    <row r="4483" spans="9:15" x14ac:dyDescent="0.25">
      <c r="I4483" s="268"/>
      <c r="O4483" s="268"/>
    </row>
    <row r="4484" spans="9:15" x14ac:dyDescent="0.25">
      <c r="I4484" s="268"/>
      <c r="O4484" s="268"/>
    </row>
    <row r="4485" spans="9:15" x14ac:dyDescent="0.25">
      <c r="I4485" s="268"/>
      <c r="O4485" s="268"/>
    </row>
    <row r="4486" spans="9:15" x14ac:dyDescent="0.25">
      <c r="I4486" s="268"/>
      <c r="O4486" s="268"/>
    </row>
    <row r="4487" spans="9:15" x14ac:dyDescent="0.25">
      <c r="I4487" s="268"/>
      <c r="O4487" s="268"/>
    </row>
    <row r="4488" spans="9:15" x14ac:dyDescent="0.25">
      <c r="I4488" s="268"/>
      <c r="O4488" s="268"/>
    </row>
    <row r="4489" spans="9:15" x14ac:dyDescent="0.25">
      <c r="I4489" s="268"/>
      <c r="O4489" s="268"/>
    </row>
    <row r="4490" spans="9:15" x14ac:dyDescent="0.25">
      <c r="I4490" s="268"/>
      <c r="O4490" s="268"/>
    </row>
    <row r="4491" spans="9:15" x14ac:dyDescent="0.25">
      <c r="I4491" s="268"/>
      <c r="O4491" s="268"/>
    </row>
    <row r="4492" spans="9:15" x14ac:dyDescent="0.25">
      <c r="I4492" s="268"/>
      <c r="O4492" s="268"/>
    </row>
    <row r="4493" spans="9:15" x14ac:dyDescent="0.25">
      <c r="I4493" s="268"/>
      <c r="O4493" s="268"/>
    </row>
    <row r="4494" spans="9:15" x14ac:dyDescent="0.25">
      <c r="I4494" s="268"/>
      <c r="O4494" s="268"/>
    </row>
    <row r="4495" spans="9:15" x14ac:dyDescent="0.25">
      <c r="I4495" s="268"/>
      <c r="O4495" s="268"/>
    </row>
    <row r="4496" spans="9:15" x14ac:dyDescent="0.25">
      <c r="I4496" s="268"/>
      <c r="O4496" s="268"/>
    </row>
    <row r="4497" spans="9:15" x14ac:dyDescent="0.25">
      <c r="I4497" s="268"/>
      <c r="O4497" s="268"/>
    </row>
    <row r="4498" spans="9:15" x14ac:dyDescent="0.25">
      <c r="I4498" s="268"/>
      <c r="O4498" s="268"/>
    </row>
    <row r="4499" spans="9:15" x14ac:dyDescent="0.25">
      <c r="I4499" s="268"/>
      <c r="O4499" s="268"/>
    </row>
    <row r="4500" spans="9:15" x14ac:dyDescent="0.25">
      <c r="I4500" s="268"/>
      <c r="O4500" s="268"/>
    </row>
    <row r="4501" spans="9:15" x14ac:dyDescent="0.25">
      <c r="I4501" s="268"/>
      <c r="O4501" s="268"/>
    </row>
    <row r="4502" spans="9:15" x14ac:dyDescent="0.25">
      <c r="I4502" s="268"/>
      <c r="O4502" s="268"/>
    </row>
    <row r="4503" spans="9:15" x14ac:dyDescent="0.25">
      <c r="I4503" s="268"/>
      <c r="O4503" s="268"/>
    </row>
    <row r="4504" spans="9:15" x14ac:dyDescent="0.25">
      <c r="I4504" s="268"/>
      <c r="O4504" s="268"/>
    </row>
    <row r="4505" spans="9:15" x14ac:dyDescent="0.25">
      <c r="I4505" s="268"/>
      <c r="O4505" s="268"/>
    </row>
    <row r="4506" spans="9:15" x14ac:dyDescent="0.25">
      <c r="I4506" s="268"/>
      <c r="O4506" s="268"/>
    </row>
    <row r="4507" spans="9:15" x14ac:dyDescent="0.25">
      <c r="I4507" s="268"/>
      <c r="O4507" s="268"/>
    </row>
    <row r="4508" spans="9:15" x14ac:dyDescent="0.25">
      <c r="I4508" s="268"/>
      <c r="O4508" s="268"/>
    </row>
    <row r="4509" spans="9:15" x14ac:dyDescent="0.25">
      <c r="I4509" s="268"/>
      <c r="O4509" s="268"/>
    </row>
    <row r="4510" spans="9:15" x14ac:dyDescent="0.25">
      <c r="I4510" s="268"/>
      <c r="O4510" s="268"/>
    </row>
    <row r="4511" spans="9:15" x14ac:dyDescent="0.25">
      <c r="I4511" s="268"/>
      <c r="O4511" s="268"/>
    </row>
    <row r="4512" spans="9:15" x14ac:dyDescent="0.25">
      <c r="I4512" s="268"/>
      <c r="O4512" s="268"/>
    </row>
    <row r="4513" spans="9:15" x14ac:dyDescent="0.25">
      <c r="I4513" s="268"/>
      <c r="O4513" s="268"/>
    </row>
    <row r="4514" spans="9:15" x14ac:dyDescent="0.25">
      <c r="I4514" s="268"/>
      <c r="O4514" s="268"/>
    </row>
    <row r="4515" spans="9:15" x14ac:dyDescent="0.25">
      <c r="I4515" s="268"/>
      <c r="O4515" s="268"/>
    </row>
    <row r="4516" spans="9:15" x14ac:dyDescent="0.25">
      <c r="I4516" s="268"/>
      <c r="O4516" s="268"/>
    </row>
    <row r="4517" spans="9:15" x14ac:dyDescent="0.25">
      <c r="I4517" s="268"/>
      <c r="O4517" s="268"/>
    </row>
    <row r="4518" spans="9:15" x14ac:dyDescent="0.25">
      <c r="I4518" s="268"/>
      <c r="O4518" s="268"/>
    </row>
    <row r="4519" spans="9:15" x14ac:dyDescent="0.25">
      <c r="I4519" s="268"/>
      <c r="O4519" s="268"/>
    </row>
    <row r="4520" spans="9:15" x14ac:dyDescent="0.25">
      <c r="I4520" s="268"/>
      <c r="O4520" s="268"/>
    </row>
    <row r="4521" spans="9:15" x14ac:dyDescent="0.25">
      <c r="I4521" s="268"/>
      <c r="O4521" s="268"/>
    </row>
    <row r="4522" spans="9:15" x14ac:dyDescent="0.25">
      <c r="I4522" s="268"/>
      <c r="O4522" s="268"/>
    </row>
    <row r="4523" spans="9:15" x14ac:dyDescent="0.25">
      <c r="I4523" s="268"/>
      <c r="O4523" s="268"/>
    </row>
    <row r="4524" spans="9:15" x14ac:dyDescent="0.25">
      <c r="I4524" s="268"/>
      <c r="O4524" s="268"/>
    </row>
    <row r="4525" spans="9:15" x14ac:dyDescent="0.25">
      <c r="I4525" s="268"/>
      <c r="O4525" s="268"/>
    </row>
    <row r="4526" spans="9:15" x14ac:dyDescent="0.25">
      <c r="I4526" s="268"/>
      <c r="O4526" s="268"/>
    </row>
    <row r="4527" spans="9:15" x14ac:dyDescent="0.25">
      <c r="I4527" s="268"/>
      <c r="O4527" s="268"/>
    </row>
    <row r="4528" spans="9:15" x14ac:dyDescent="0.25">
      <c r="I4528" s="268"/>
      <c r="O4528" s="268"/>
    </row>
    <row r="4529" spans="9:15" x14ac:dyDescent="0.25">
      <c r="I4529" s="268"/>
      <c r="O4529" s="268"/>
    </row>
    <row r="4530" spans="9:15" x14ac:dyDescent="0.25">
      <c r="I4530" s="268"/>
      <c r="O4530" s="268"/>
    </row>
    <row r="4531" spans="9:15" x14ac:dyDescent="0.25">
      <c r="I4531" s="268"/>
      <c r="O4531" s="268"/>
    </row>
    <row r="4532" spans="9:15" x14ac:dyDescent="0.25">
      <c r="I4532" s="268"/>
      <c r="O4532" s="268"/>
    </row>
    <row r="4533" spans="9:15" x14ac:dyDescent="0.25">
      <c r="I4533" s="268"/>
      <c r="O4533" s="268"/>
    </row>
    <row r="4534" spans="9:15" x14ac:dyDescent="0.25">
      <c r="I4534" s="268"/>
      <c r="O4534" s="268"/>
    </row>
    <row r="4535" spans="9:15" x14ac:dyDescent="0.25">
      <c r="I4535" s="268"/>
      <c r="O4535" s="268"/>
    </row>
    <row r="4536" spans="9:15" x14ac:dyDescent="0.25">
      <c r="I4536" s="268"/>
      <c r="O4536" s="268"/>
    </row>
    <row r="4537" spans="9:15" x14ac:dyDescent="0.25">
      <c r="I4537" s="268"/>
      <c r="O4537" s="268"/>
    </row>
    <row r="4538" spans="9:15" x14ac:dyDescent="0.25">
      <c r="I4538" s="268"/>
      <c r="O4538" s="268"/>
    </row>
    <row r="4539" spans="9:15" x14ac:dyDescent="0.25">
      <c r="I4539" s="268"/>
      <c r="O4539" s="268"/>
    </row>
    <row r="4540" spans="9:15" x14ac:dyDescent="0.25">
      <c r="I4540" s="268"/>
      <c r="O4540" s="268"/>
    </row>
    <row r="4541" spans="9:15" x14ac:dyDescent="0.25">
      <c r="I4541" s="268"/>
      <c r="O4541" s="268"/>
    </row>
    <row r="4542" spans="9:15" x14ac:dyDescent="0.25">
      <c r="I4542" s="268"/>
      <c r="O4542" s="268"/>
    </row>
    <row r="4543" spans="9:15" x14ac:dyDescent="0.25">
      <c r="I4543" s="268"/>
      <c r="O4543" s="268"/>
    </row>
    <row r="4544" spans="9:15" x14ac:dyDescent="0.25">
      <c r="I4544" s="268"/>
      <c r="O4544" s="268"/>
    </row>
    <row r="4545" spans="9:15" x14ac:dyDescent="0.25">
      <c r="I4545" s="268"/>
      <c r="O4545" s="268"/>
    </row>
    <row r="4546" spans="9:15" x14ac:dyDescent="0.25">
      <c r="I4546" s="268"/>
      <c r="O4546" s="268"/>
    </row>
    <row r="4547" spans="9:15" x14ac:dyDescent="0.25">
      <c r="I4547" s="268"/>
      <c r="O4547" s="268"/>
    </row>
    <row r="4548" spans="9:15" x14ac:dyDescent="0.25">
      <c r="I4548" s="268"/>
      <c r="O4548" s="268"/>
    </row>
    <row r="4549" spans="9:15" x14ac:dyDescent="0.25">
      <c r="I4549" s="268"/>
      <c r="O4549" s="268"/>
    </row>
    <row r="4550" spans="9:15" x14ac:dyDescent="0.25">
      <c r="I4550" s="268"/>
      <c r="O4550" s="268"/>
    </row>
    <row r="4551" spans="9:15" x14ac:dyDescent="0.25">
      <c r="I4551" s="268"/>
      <c r="O4551" s="268"/>
    </row>
    <row r="4552" spans="9:15" x14ac:dyDescent="0.25">
      <c r="I4552" s="268"/>
      <c r="O4552" s="268"/>
    </row>
    <row r="4553" spans="9:15" x14ac:dyDescent="0.25">
      <c r="I4553" s="268"/>
      <c r="O4553" s="268"/>
    </row>
    <row r="4554" spans="9:15" x14ac:dyDescent="0.25">
      <c r="I4554" s="268"/>
      <c r="O4554" s="268"/>
    </row>
    <row r="4555" spans="9:15" x14ac:dyDescent="0.25">
      <c r="I4555" s="268"/>
      <c r="O4555" s="268"/>
    </row>
    <row r="4556" spans="9:15" x14ac:dyDescent="0.25">
      <c r="I4556" s="268"/>
      <c r="O4556" s="268"/>
    </row>
    <row r="4557" spans="9:15" x14ac:dyDescent="0.25">
      <c r="I4557" s="268"/>
      <c r="O4557" s="268"/>
    </row>
    <row r="4558" spans="9:15" x14ac:dyDescent="0.25">
      <c r="I4558" s="268"/>
      <c r="O4558" s="268"/>
    </row>
    <row r="4559" spans="9:15" x14ac:dyDescent="0.25">
      <c r="I4559" s="268"/>
      <c r="O4559" s="268"/>
    </row>
    <row r="4560" spans="9:15" x14ac:dyDescent="0.25">
      <c r="I4560" s="268"/>
      <c r="O4560" s="268"/>
    </row>
    <row r="4561" spans="9:15" x14ac:dyDescent="0.25">
      <c r="I4561" s="268"/>
      <c r="O4561" s="268"/>
    </row>
    <row r="4562" spans="9:15" x14ac:dyDescent="0.25">
      <c r="I4562" s="268"/>
      <c r="O4562" s="268"/>
    </row>
    <row r="4563" spans="9:15" x14ac:dyDescent="0.25">
      <c r="I4563" s="268"/>
      <c r="O4563" s="268"/>
    </row>
    <row r="4564" spans="9:15" x14ac:dyDescent="0.25">
      <c r="I4564" s="268"/>
      <c r="O4564" s="268"/>
    </row>
    <row r="4565" spans="9:15" x14ac:dyDescent="0.25">
      <c r="I4565" s="268"/>
      <c r="O4565" s="268"/>
    </row>
    <row r="4566" spans="9:15" x14ac:dyDescent="0.25">
      <c r="I4566" s="268"/>
      <c r="O4566" s="268"/>
    </row>
    <row r="4567" spans="9:15" x14ac:dyDescent="0.25">
      <c r="I4567" s="268"/>
      <c r="O4567" s="268"/>
    </row>
    <row r="4568" spans="9:15" x14ac:dyDescent="0.25">
      <c r="I4568" s="268"/>
      <c r="O4568" s="268"/>
    </row>
    <row r="4569" spans="9:15" x14ac:dyDescent="0.25">
      <c r="I4569" s="268"/>
      <c r="O4569" s="268"/>
    </row>
    <row r="4570" spans="9:15" x14ac:dyDescent="0.25">
      <c r="I4570" s="268"/>
      <c r="O4570" s="268"/>
    </row>
    <row r="4571" spans="9:15" x14ac:dyDescent="0.25">
      <c r="I4571" s="268"/>
      <c r="O4571" s="268"/>
    </row>
    <row r="4572" spans="9:15" x14ac:dyDescent="0.25">
      <c r="I4572" s="268"/>
      <c r="O4572" s="268"/>
    </row>
    <row r="4573" spans="9:15" x14ac:dyDescent="0.25">
      <c r="I4573" s="268"/>
      <c r="O4573" s="268"/>
    </row>
    <row r="4574" spans="9:15" x14ac:dyDescent="0.25">
      <c r="I4574" s="268"/>
      <c r="O4574" s="268"/>
    </row>
    <row r="4575" spans="9:15" x14ac:dyDescent="0.25">
      <c r="I4575" s="268"/>
      <c r="O4575" s="268"/>
    </row>
    <row r="4576" spans="9:15" x14ac:dyDescent="0.25">
      <c r="I4576" s="268"/>
      <c r="O4576" s="268"/>
    </row>
    <row r="4577" spans="9:15" x14ac:dyDescent="0.25">
      <c r="I4577" s="268"/>
      <c r="O4577" s="268"/>
    </row>
    <row r="4578" spans="9:15" x14ac:dyDescent="0.25">
      <c r="I4578" s="268"/>
      <c r="O4578" s="268"/>
    </row>
    <row r="4579" spans="9:15" x14ac:dyDescent="0.25">
      <c r="I4579" s="268"/>
      <c r="O4579" s="268"/>
    </row>
    <row r="4580" spans="9:15" x14ac:dyDescent="0.25">
      <c r="I4580" s="268"/>
      <c r="O4580" s="268"/>
    </row>
    <row r="4581" spans="9:15" x14ac:dyDescent="0.25">
      <c r="I4581" s="268"/>
      <c r="O4581" s="268"/>
    </row>
    <row r="4582" spans="9:15" x14ac:dyDescent="0.25">
      <c r="I4582" s="268"/>
      <c r="O4582" s="268"/>
    </row>
    <row r="4583" spans="9:15" x14ac:dyDescent="0.25">
      <c r="I4583" s="268"/>
      <c r="O4583" s="268"/>
    </row>
    <row r="4584" spans="9:15" x14ac:dyDescent="0.25">
      <c r="I4584" s="268"/>
      <c r="O4584" s="268"/>
    </row>
    <row r="4585" spans="9:15" x14ac:dyDescent="0.25">
      <c r="I4585" s="268"/>
      <c r="O4585" s="268"/>
    </row>
    <row r="4586" spans="9:15" x14ac:dyDescent="0.25">
      <c r="I4586" s="268"/>
      <c r="O4586" s="268"/>
    </row>
    <row r="4587" spans="9:15" x14ac:dyDescent="0.25">
      <c r="I4587" s="268"/>
      <c r="O4587" s="268"/>
    </row>
    <row r="4588" spans="9:15" x14ac:dyDescent="0.25">
      <c r="I4588" s="268"/>
      <c r="O4588" s="268"/>
    </row>
    <row r="4589" spans="9:15" x14ac:dyDescent="0.25">
      <c r="I4589" s="268"/>
      <c r="O4589" s="268"/>
    </row>
    <row r="4590" spans="9:15" x14ac:dyDescent="0.25">
      <c r="I4590" s="268"/>
      <c r="O4590" s="268"/>
    </row>
    <row r="4591" spans="9:15" x14ac:dyDescent="0.25">
      <c r="I4591" s="268"/>
      <c r="O4591" s="268"/>
    </row>
    <row r="4592" spans="9:15" x14ac:dyDescent="0.25">
      <c r="I4592" s="268"/>
      <c r="O4592" s="268"/>
    </row>
    <row r="4593" spans="9:15" x14ac:dyDescent="0.25">
      <c r="I4593" s="268"/>
      <c r="O4593" s="268"/>
    </row>
    <row r="4594" spans="9:15" x14ac:dyDescent="0.25">
      <c r="I4594" s="268"/>
      <c r="O4594" s="268"/>
    </row>
    <row r="4595" spans="9:15" x14ac:dyDescent="0.25">
      <c r="I4595" s="268"/>
      <c r="O4595" s="268"/>
    </row>
    <row r="4596" spans="9:15" x14ac:dyDescent="0.25">
      <c r="I4596" s="268"/>
      <c r="O4596" s="268"/>
    </row>
    <row r="4597" spans="9:15" x14ac:dyDescent="0.25">
      <c r="I4597" s="268"/>
      <c r="O4597" s="268"/>
    </row>
    <row r="4598" spans="9:15" x14ac:dyDescent="0.25">
      <c r="I4598" s="268"/>
      <c r="O4598" s="268"/>
    </row>
    <row r="4599" spans="9:15" x14ac:dyDescent="0.25">
      <c r="I4599" s="268"/>
      <c r="O4599" s="268"/>
    </row>
    <row r="4600" spans="9:15" x14ac:dyDescent="0.25">
      <c r="I4600" s="268"/>
      <c r="O4600" s="268"/>
    </row>
    <row r="4601" spans="9:15" x14ac:dyDescent="0.25">
      <c r="I4601" s="268"/>
      <c r="O4601" s="268"/>
    </row>
    <row r="4602" spans="9:15" x14ac:dyDescent="0.25">
      <c r="I4602" s="268"/>
      <c r="O4602" s="268"/>
    </row>
    <row r="4603" spans="9:15" x14ac:dyDescent="0.25">
      <c r="I4603" s="268"/>
      <c r="O4603" s="268"/>
    </row>
    <row r="4604" spans="9:15" x14ac:dyDescent="0.25">
      <c r="I4604" s="268"/>
      <c r="O4604" s="268"/>
    </row>
    <row r="4605" spans="9:15" x14ac:dyDescent="0.25">
      <c r="I4605" s="268"/>
      <c r="O4605" s="268"/>
    </row>
    <row r="4606" spans="9:15" x14ac:dyDescent="0.25">
      <c r="I4606" s="268"/>
      <c r="O4606" s="268"/>
    </row>
    <row r="4607" spans="9:15" x14ac:dyDescent="0.25">
      <c r="I4607" s="268"/>
      <c r="O4607" s="268"/>
    </row>
    <row r="4608" spans="9:15" x14ac:dyDescent="0.25">
      <c r="I4608" s="268"/>
      <c r="O4608" s="268"/>
    </row>
    <row r="4609" spans="9:15" x14ac:dyDescent="0.25">
      <c r="I4609" s="268"/>
      <c r="O4609" s="268"/>
    </row>
    <row r="4610" spans="9:15" x14ac:dyDescent="0.25">
      <c r="I4610" s="268"/>
      <c r="O4610" s="268"/>
    </row>
    <row r="4611" spans="9:15" x14ac:dyDescent="0.25">
      <c r="I4611" s="268"/>
      <c r="O4611" s="268"/>
    </row>
    <row r="4612" spans="9:15" x14ac:dyDescent="0.25">
      <c r="I4612" s="268"/>
      <c r="O4612" s="268"/>
    </row>
    <row r="4613" spans="9:15" x14ac:dyDescent="0.25">
      <c r="I4613" s="268"/>
      <c r="O4613" s="268"/>
    </row>
    <row r="4614" spans="9:15" x14ac:dyDescent="0.25">
      <c r="I4614" s="268"/>
      <c r="O4614" s="268"/>
    </row>
    <row r="4615" spans="9:15" x14ac:dyDescent="0.25">
      <c r="I4615" s="268"/>
      <c r="O4615" s="268"/>
    </row>
    <row r="4616" spans="9:15" x14ac:dyDescent="0.25">
      <c r="I4616" s="268"/>
      <c r="O4616" s="268"/>
    </row>
    <row r="4617" spans="9:15" x14ac:dyDescent="0.25">
      <c r="I4617" s="268"/>
      <c r="O4617" s="268"/>
    </row>
    <row r="4618" spans="9:15" x14ac:dyDescent="0.25">
      <c r="I4618" s="268"/>
      <c r="O4618" s="268"/>
    </row>
    <row r="4619" spans="9:15" x14ac:dyDescent="0.25">
      <c r="I4619" s="268"/>
      <c r="O4619" s="268"/>
    </row>
    <row r="4620" spans="9:15" x14ac:dyDescent="0.25">
      <c r="I4620" s="268"/>
      <c r="O4620" s="268"/>
    </row>
    <row r="4621" spans="9:15" x14ac:dyDescent="0.25">
      <c r="I4621" s="268"/>
      <c r="O4621" s="268"/>
    </row>
    <row r="4622" spans="9:15" x14ac:dyDescent="0.25">
      <c r="I4622" s="268"/>
      <c r="O4622" s="268"/>
    </row>
    <row r="4623" spans="9:15" x14ac:dyDescent="0.25">
      <c r="I4623" s="268"/>
      <c r="O4623" s="268"/>
    </row>
    <row r="4624" spans="9:15" x14ac:dyDescent="0.25">
      <c r="I4624" s="268"/>
      <c r="O4624" s="268"/>
    </row>
    <row r="4625" spans="9:15" x14ac:dyDescent="0.25">
      <c r="I4625" s="268"/>
      <c r="O4625" s="268"/>
    </row>
    <row r="4626" spans="9:15" x14ac:dyDescent="0.25">
      <c r="I4626" s="268"/>
      <c r="O4626" s="268"/>
    </row>
    <row r="4627" spans="9:15" x14ac:dyDescent="0.25">
      <c r="I4627" s="268"/>
      <c r="O4627" s="268"/>
    </row>
    <row r="4628" spans="9:15" x14ac:dyDescent="0.25">
      <c r="I4628" s="268"/>
      <c r="O4628" s="268"/>
    </row>
    <row r="4629" spans="9:15" x14ac:dyDescent="0.25">
      <c r="I4629" s="268"/>
      <c r="O4629" s="268"/>
    </row>
    <row r="4630" spans="9:15" x14ac:dyDescent="0.25">
      <c r="I4630" s="268"/>
      <c r="O4630" s="268"/>
    </row>
    <row r="4631" spans="9:15" x14ac:dyDescent="0.25">
      <c r="I4631" s="268"/>
      <c r="O4631" s="268"/>
    </row>
    <row r="4632" spans="9:15" x14ac:dyDescent="0.25">
      <c r="I4632" s="268"/>
      <c r="O4632" s="268"/>
    </row>
    <row r="4633" spans="9:15" x14ac:dyDescent="0.25">
      <c r="I4633" s="268"/>
      <c r="O4633" s="268"/>
    </row>
    <row r="4634" spans="9:15" x14ac:dyDescent="0.25">
      <c r="I4634" s="268"/>
      <c r="O4634" s="268"/>
    </row>
    <row r="4635" spans="9:15" x14ac:dyDescent="0.25">
      <c r="I4635" s="268"/>
      <c r="O4635" s="268"/>
    </row>
    <row r="4636" spans="9:15" x14ac:dyDescent="0.25">
      <c r="I4636" s="268"/>
      <c r="O4636" s="268"/>
    </row>
    <row r="4637" spans="9:15" x14ac:dyDescent="0.25">
      <c r="I4637" s="268"/>
      <c r="O4637" s="268"/>
    </row>
    <row r="4638" spans="9:15" x14ac:dyDescent="0.25">
      <c r="I4638" s="268"/>
      <c r="O4638" s="268"/>
    </row>
    <row r="4639" spans="9:15" x14ac:dyDescent="0.25">
      <c r="I4639" s="268"/>
      <c r="O4639" s="268"/>
    </row>
    <row r="4640" spans="9:15" x14ac:dyDescent="0.25">
      <c r="I4640" s="268"/>
      <c r="O4640" s="268"/>
    </row>
    <row r="4641" spans="9:15" x14ac:dyDescent="0.25">
      <c r="I4641" s="268"/>
      <c r="O4641" s="268"/>
    </row>
    <row r="4642" spans="9:15" x14ac:dyDescent="0.25">
      <c r="I4642" s="268"/>
      <c r="O4642" s="268"/>
    </row>
    <row r="4643" spans="9:15" x14ac:dyDescent="0.25">
      <c r="I4643" s="268"/>
      <c r="O4643" s="268"/>
    </row>
    <row r="4644" spans="9:15" x14ac:dyDescent="0.25">
      <c r="I4644" s="268"/>
      <c r="O4644" s="268"/>
    </row>
    <row r="4645" spans="9:15" x14ac:dyDescent="0.25">
      <c r="I4645" s="268"/>
      <c r="O4645" s="268"/>
    </row>
    <row r="4646" spans="9:15" x14ac:dyDescent="0.25">
      <c r="I4646" s="268"/>
      <c r="O4646" s="268"/>
    </row>
    <row r="4647" spans="9:15" x14ac:dyDescent="0.25">
      <c r="I4647" s="268"/>
      <c r="O4647" s="268"/>
    </row>
    <row r="4648" spans="9:15" x14ac:dyDescent="0.25">
      <c r="I4648" s="268"/>
      <c r="O4648" s="268"/>
    </row>
    <row r="4649" spans="9:15" x14ac:dyDescent="0.25">
      <c r="I4649" s="268"/>
      <c r="O4649" s="268"/>
    </row>
    <row r="4650" spans="9:15" x14ac:dyDescent="0.25">
      <c r="I4650" s="268"/>
      <c r="O4650" s="268"/>
    </row>
    <row r="4651" spans="9:15" x14ac:dyDescent="0.25">
      <c r="I4651" s="268"/>
      <c r="O4651" s="268"/>
    </row>
    <row r="4652" spans="9:15" x14ac:dyDescent="0.25">
      <c r="I4652" s="268"/>
      <c r="O4652" s="268"/>
    </row>
    <row r="4653" spans="9:15" x14ac:dyDescent="0.25">
      <c r="I4653" s="268"/>
      <c r="O4653" s="268"/>
    </row>
    <row r="4654" spans="9:15" x14ac:dyDescent="0.25">
      <c r="I4654" s="268"/>
      <c r="O4654" s="268"/>
    </row>
    <row r="4655" spans="9:15" x14ac:dyDescent="0.25">
      <c r="I4655" s="268"/>
      <c r="O4655" s="268"/>
    </row>
    <row r="4656" spans="9:15" x14ac:dyDescent="0.25">
      <c r="I4656" s="268"/>
      <c r="O4656" s="268"/>
    </row>
    <row r="4657" spans="9:15" x14ac:dyDescent="0.25">
      <c r="I4657" s="268"/>
      <c r="O4657" s="268"/>
    </row>
    <row r="4658" spans="9:15" x14ac:dyDescent="0.25">
      <c r="I4658" s="268"/>
      <c r="O4658" s="268"/>
    </row>
    <row r="4659" spans="9:15" x14ac:dyDescent="0.25">
      <c r="I4659" s="268"/>
      <c r="O4659" s="268"/>
    </row>
    <row r="4660" spans="9:15" x14ac:dyDescent="0.25">
      <c r="I4660" s="268"/>
      <c r="O4660" s="268"/>
    </row>
    <row r="4661" spans="9:15" x14ac:dyDescent="0.25">
      <c r="I4661" s="268"/>
      <c r="O4661" s="268"/>
    </row>
    <row r="4662" spans="9:15" x14ac:dyDescent="0.25">
      <c r="I4662" s="268"/>
      <c r="O4662" s="268"/>
    </row>
    <row r="4663" spans="9:15" x14ac:dyDescent="0.25">
      <c r="I4663" s="268"/>
      <c r="O4663" s="268"/>
    </row>
    <row r="4664" spans="9:15" x14ac:dyDescent="0.25">
      <c r="I4664" s="268"/>
      <c r="O4664" s="268"/>
    </row>
    <row r="4665" spans="9:15" x14ac:dyDescent="0.25">
      <c r="I4665" s="268"/>
      <c r="O4665" s="268"/>
    </row>
    <row r="4666" spans="9:15" x14ac:dyDescent="0.25">
      <c r="I4666" s="268"/>
      <c r="O4666" s="268"/>
    </row>
    <row r="4667" spans="9:15" x14ac:dyDescent="0.25">
      <c r="I4667" s="268"/>
      <c r="O4667" s="268"/>
    </row>
    <row r="4668" spans="9:15" x14ac:dyDescent="0.25">
      <c r="I4668" s="268"/>
      <c r="O4668" s="268"/>
    </row>
    <row r="4669" spans="9:15" x14ac:dyDescent="0.25">
      <c r="I4669" s="268"/>
      <c r="O4669" s="268"/>
    </row>
    <row r="4670" spans="9:15" x14ac:dyDescent="0.25">
      <c r="I4670" s="268"/>
      <c r="O4670" s="268"/>
    </row>
    <row r="4671" spans="9:15" x14ac:dyDescent="0.25">
      <c r="I4671" s="268"/>
      <c r="O4671" s="268"/>
    </row>
    <row r="4672" spans="9:15" x14ac:dyDescent="0.25">
      <c r="I4672" s="268"/>
      <c r="O4672" s="268"/>
    </row>
    <row r="4673" spans="9:15" x14ac:dyDescent="0.25">
      <c r="I4673" s="268"/>
      <c r="O4673" s="268"/>
    </row>
    <row r="4674" spans="9:15" x14ac:dyDescent="0.25">
      <c r="I4674" s="268"/>
      <c r="O4674" s="268"/>
    </row>
    <row r="4675" spans="9:15" x14ac:dyDescent="0.25">
      <c r="I4675" s="268"/>
      <c r="O4675" s="268"/>
    </row>
    <row r="4676" spans="9:15" x14ac:dyDescent="0.25">
      <c r="I4676" s="268"/>
      <c r="O4676" s="268"/>
    </row>
    <row r="4677" spans="9:15" x14ac:dyDescent="0.25">
      <c r="I4677" s="268"/>
      <c r="O4677" s="268"/>
    </row>
    <row r="4678" spans="9:15" x14ac:dyDescent="0.25">
      <c r="I4678" s="268"/>
      <c r="O4678" s="268"/>
    </row>
    <row r="4679" spans="9:15" x14ac:dyDescent="0.25">
      <c r="I4679" s="268"/>
      <c r="O4679" s="268"/>
    </row>
    <row r="4680" spans="9:15" x14ac:dyDescent="0.25">
      <c r="I4680" s="268"/>
      <c r="O4680" s="268"/>
    </row>
    <row r="4681" spans="9:15" x14ac:dyDescent="0.25">
      <c r="I4681" s="268"/>
      <c r="O4681" s="268"/>
    </row>
    <row r="4682" spans="9:15" x14ac:dyDescent="0.25">
      <c r="I4682" s="268"/>
      <c r="O4682" s="268"/>
    </row>
    <row r="4683" spans="9:15" x14ac:dyDescent="0.25">
      <c r="I4683" s="268"/>
      <c r="O4683" s="268"/>
    </row>
    <row r="4684" spans="9:15" x14ac:dyDescent="0.25">
      <c r="I4684" s="268"/>
      <c r="O4684" s="268"/>
    </row>
    <row r="4685" spans="9:15" x14ac:dyDescent="0.25">
      <c r="I4685" s="268"/>
      <c r="O4685" s="268"/>
    </row>
    <row r="4686" spans="9:15" x14ac:dyDescent="0.25">
      <c r="I4686" s="268"/>
      <c r="O4686" s="268"/>
    </row>
    <row r="4687" spans="9:15" x14ac:dyDescent="0.25">
      <c r="I4687" s="268"/>
      <c r="O4687" s="268"/>
    </row>
    <row r="4688" spans="9:15" x14ac:dyDescent="0.25">
      <c r="I4688" s="268"/>
      <c r="O4688" s="268"/>
    </row>
    <row r="4689" spans="9:15" x14ac:dyDescent="0.25">
      <c r="I4689" s="268"/>
      <c r="O4689" s="268"/>
    </row>
    <row r="4690" spans="9:15" x14ac:dyDescent="0.25">
      <c r="I4690" s="268"/>
      <c r="O4690" s="268"/>
    </row>
    <row r="4691" spans="9:15" x14ac:dyDescent="0.25">
      <c r="I4691" s="268"/>
      <c r="O4691" s="268"/>
    </row>
    <row r="4692" spans="9:15" x14ac:dyDescent="0.25">
      <c r="I4692" s="268"/>
      <c r="O4692" s="268"/>
    </row>
    <row r="4693" spans="9:15" x14ac:dyDescent="0.25">
      <c r="I4693" s="268"/>
      <c r="O4693" s="268"/>
    </row>
    <row r="4694" spans="9:15" x14ac:dyDescent="0.25">
      <c r="I4694" s="268"/>
      <c r="O4694" s="268"/>
    </row>
    <row r="4695" spans="9:15" x14ac:dyDescent="0.25">
      <c r="I4695" s="268"/>
      <c r="O4695" s="268"/>
    </row>
    <row r="4696" spans="9:15" x14ac:dyDescent="0.25">
      <c r="I4696" s="268"/>
      <c r="O4696" s="268"/>
    </row>
    <row r="4697" spans="9:15" x14ac:dyDescent="0.25">
      <c r="I4697" s="268"/>
      <c r="O4697" s="268"/>
    </row>
    <row r="4698" spans="9:15" x14ac:dyDescent="0.25">
      <c r="I4698" s="268"/>
      <c r="O4698" s="268"/>
    </row>
    <row r="4699" spans="9:15" x14ac:dyDescent="0.25">
      <c r="I4699" s="268"/>
      <c r="O4699" s="268"/>
    </row>
    <row r="4700" spans="9:15" x14ac:dyDescent="0.25">
      <c r="I4700" s="268"/>
      <c r="O4700" s="268"/>
    </row>
    <row r="4701" spans="9:15" x14ac:dyDescent="0.25">
      <c r="I4701" s="268"/>
      <c r="O4701" s="268"/>
    </row>
    <row r="4702" spans="9:15" x14ac:dyDescent="0.25">
      <c r="I4702" s="268"/>
      <c r="O4702" s="268"/>
    </row>
    <row r="4703" spans="9:15" x14ac:dyDescent="0.25">
      <c r="I4703" s="268"/>
      <c r="O4703" s="268"/>
    </row>
    <row r="4704" spans="9:15" x14ac:dyDescent="0.25">
      <c r="I4704" s="268"/>
      <c r="O4704" s="268"/>
    </row>
    <row r="4705" spans="9:15" x14ac:dyDescent="0.25">
      <c r="I4705" s="268"/>
      <c r="O4705" s="268"/>
    </row>
    <row r="4706" spans="9:15" x14ac:dyDescent="0.25">
      <c r="I4706" s="268"/>
      <c r="O4706" s="268"/>
    </row>
    <row r="4707" spans="9:15" x14ac:dyDescent="0.25">
      <c r="I4707" s="268"/>
      <c r="O4707" s="268"/>
    </row>
    <row r="4708" spans="9:15" x14ac:dyDescent="0.25">
      <c r="I4708" s="268"/>
      <c r="O4708" s="268"/>
    </row>
    <row r="4709" spans="9:15" x14ac:dyDescent="0.25">
      <c r="I4709" s="268"/>
      <c r="O4709" s="268"/>
    </row>
    <row r="4710" spans="9:15" x14ac:dyDescent="0.25">
      <c r="I4710" s="268"/>
      <c r="O4710" s="268"/>
    </row>
    <row r="4711" spans="9:15" x14ac:dyDescent="0.25">
      <c r="I4711" s="268"/>
      <c r="O4711" s="268"/>
    </row>
    <row r="4712" spans="9:15" x14ac:dyDescent="0.25">
      <c r="I4712" s="268"/>
      <c r="O4712" s="268"/>
    </row>
    <row r="4713" spans="9:15" x14ac:dyDescent="0.25">
      <c r="I4713" s="268"/>
      <c r="O4713" s="268"/>
    </row>
    <row r="4714" spans="9:15" x14ac:dyDescent="0.25">
      <c r="I4714" s="268"/>
      <c r="O4714" s="268"/>
    </row>
    <row r="4715" spans="9:15" x14ac:dyDescent="0.25">
      <c r="I4715" s="268"/>
      <c r="O4715" s="268"/>
    </row>
    <row r="4716" spans="9:15" x14ac:dyDescent="0.25">
      <c r="I4716" s="268"/>
      <c r="O4716" s="268"/>
    </row>
    <row r="4717" spans="9:15" x14ac:dyDescent="0.25">
      <c r="I4717" s="268"/>
      <c r="O4717" s="268"/>
    </row>
    <row r="4718" spans="9:15" x14ac:dyDescent="0.25">
      <c r="I4718" s="268"/>
      <c r="O4718" s="268"/>
    </row>
    <row r="4719" spans="9:15" x14ac:dyDescent="0.25">
      <c r="I4719" s="268"/>
      <c r="O4719" s="268"/>
    </row>
    <row r="4720" spans="9:15" x14ac:dyDescent="0.25">
      <c r="I4720" s="268"/>
      <c r="O4720" s="268"/>
    </row>
    <row r="4721" spans="9:15" x14ac:dyDescent="0.25">
      <c r="I4721" s="268"/>
      <c r="O4721" s="268"/>
    </row>
    <row r="4722" spans="9:15" x14ac:dyDescent="0.25">
      <c r="I4722" s="268"/>
      <c r="O4722" s="268"/>
    </row>
    <row r="4723" spans="9:15" x14ac:dyDescent="0.25">
      <c r="I4723" s="268"/>
      <c r="O4723" s="268"/>
    </row>
    <row r="4724" spans="9:15" x14ac:dyDescent="0.25">
      <c r="I4724" s="268"/>
      <c r="O4724" s="268"/>
    </row>
    <row r="4725" spans="9:15" x14ac:dyDescent="0.25">
      <c r="I4725" s="268"/>
      <c r="O4725" s="268"/>
    </row>
    <row r="4726" spans="9:15" x14ac:dyDescent="0.25">
      <c r="I4726" s="268"/>
      <c r="O4726" s="268"/>
    </row>
    <row r="4727" spans="9:15" x14ac:dyDescent="0.25">
      <c r="I4727" s="268"/>
      <c r="O4727" s="268"/>
    </row>
    <row r="4728" spans="9:15" x14ac:dyDescent="0.25">
      <c r="I4728" s="268"/>
      <c r="O4728" s="268"/>
    </row>
    <row r="4729" spans="9:15" x14ac:dyDescent="0.25">
      <c r="I4729" s="268"/>
      <c r="O4729" s="268"/>
    </row>
    <row r="4730" spans="9:15" x14ac:dyDescent="0.25">
      <c r="I4730" s="268"/>
      <c r="O4730" s="268"/>
    </row>
    <row r="4731" spans="9:15" x14ac:dyDescent="0.25">
      <c r="I4731" s="268"/>
      <c r="O4731" s="268"/>
    </row>
    <row r="4732" spans="9:15" x14ac:dyDescent="0.25">
      <c r="I4732" s="268"/>
      <c r="O4732" s="268"/>
    </row>
    <row r="4733" spans="9:15" x14ac:dyDescent="0.25">
      <c r="I4733" s="268"/>
      <c r="O4733" s="268"/>
    </row>
    <row r="4734" spans="9:15" x14ac:dyDescent="0.25">
      <c r="I4734" s="268"/>
      <c r="O4734" s="268"/>
    </row>
    <row r="4735" spans="9:15" x14ac:dyDescent="0.25">
      <c r="I4735" s="268"/>
      <c r="O4735" s="268"/>
    </row>
    <row r="4736" spans="9:15" x14ac:dyDescent="0.25">
      <c r="I4736" s="268"/>
      <c r="O4736" s="268"/>
    </row>
    <row r="4737" spans="9:15" x14ac:dyDescent="0.25">
      <c r="I4737" s="268"/>
      <c r="O4737" s="268"/>
    </row>
    <row r="4738" spans="9:15" x14ac:dyDescent="0.25">
      <c r="I4738" s="268"/>
      <c r="O4738" s="268"/>
    </row>
    <row r="4739" spans="9:15" x14ac:dyDescent="0.25">
      <c r="I4739" s="268"/>
      <c r="O4739" s="268"/>
    </row>
    <row r="4740" spans="9:15" x14ac:dyDescent="0.25">
      <c r="I4740" s="268"/>
      <c r="O4740" s="268"/>
    </row>
    <row r="4741" spans="9:15" x14ac:dyDescent="0.25">
      <c r="I4741" s="268"/>
      <c r="O4741" s="268"/>
    </row>
    <row r="4742" spans="9:15" x14ac:dyDescent="0.25">
      <c r="I4742" s="268"/>
      <c r="O4742" s="268"/>
    </row>
    <row r="4743" spans="9:15" x14ac:dyDescent="0.25">
      <c r="I4743" s="268"/>
      <c r="O4743" s="268"/>
    </row>
    <row r="4744" spans="9:15" x14ac:dyDescent="0.25">
      <c r="I4744" s="268"/>
      <c r="O4744" s="268"/>
    </row>
    <row r="4745" spans="9:15" x14ac:dyDescent="0.25">
      <c r="I4745" s="268"/>
      <c r="O4745" s="268"/>
    </row>
    <row r="4746" spans="9:15" x14ac:dyDescent="0.25">
      <c r="I4746" s="268"/>
      <c r="O4746" s="268"/>
    </row>
    <row r="4747" spans="9:15" x14ac:dyDescent="0.25">
      <c r="I4747" s="268"/>
      <c r="O4747" s="268"/>
    </row>
    <row r="4748" spans="9:15" x14ac:dyDescent="0.25">
      <c r="I4748" s="268"/>
      <c r="O4748" s="268"/>
    </row>
    <row r="4749" spans="9:15" x14ac:dyDescent="0.25">
      <c r="I4749" s="268"/>
      <c r="O4749" s="268"/>
    </row>
    <row r="4750" spans="9:15" x14ac:dyDescent="0.25">
      <c r="I4750" s="268"/>
      <c r="O4750" s="268"/>
    </row>
    <row r="4751" spans="9:15" x14ac:dyDescent="0.25">
      <c r="I4751" s="268"/>
      <c r="O4751" s="268"/>
    </row>
    <row r="4752" spans="9:15" x14ac:dyDescent="0.25">
      <c r="I4752" s="268"/>
      <c r="O4752" s="268"/>
    </row>
    <row r="4753" spans="9:15" x14ac:dyDescent="0.25">
      <c r="I4753" s="268"/>
      <c r="O4753" s="268"/>
    </row>
    <row r="4754" spans="9:15" x14ac:dyDescent="0.25">
      <c r="I4754" s="268"/>
      <c r="O4754" s="268"/>
    </row>
    <row r="4755" spans="9:15" x14ac:dyDescent="0.25">
      <c r="I4755" s="268"/>
      <c r="O4755" s="268"/>
    </row>
    <row r="4756" spans="9:15" x14ac:dyDescent="0.25">
      <c r="I4756" s="268"/>
      <c r="O4756" s="268"/>
    </row>
    <row r="4757" spans="9:15" x14ac:dyDescent="0.25">
      <c r="I4757" s="268"/>
      <c r="O4757" s="268"/>
    </row>
    <row r="4758" spans="9:15" x14ac:dyDescent="0.25">
      <c r="I4758" s="268"/>
      <c r="O4758" s="268"/>
    </row>
    <row r="4759" spans="9:15" x14ac:dyDescent="0.25">
      <c r="I4759" s="268"/>
      <c r="O4759" s="268"/>
    </row>
    <row r="4760" spans="9:15" x14ac:dyDescent="0.25">
      <c r="I4760" s="268"/>
      <c r="O4760" s="268"/>
    </row>
    <row r="4761" spans="9:15" x14ac:dyDescent="0.25">
      <c r="I4761" s="268"/>
      <c r="O4761" s="268"/>
    </row>
    <row r="4762" spans="9:15" x14ac:dyDescent="0.25">
      <c r="I4762" s="268"/>
      <c r="O4762" s="268"/>
    </row>
    <row r="4763" spans="9:15" x14ac:dyDescent="0.25">
      <c r="I4763" s="268"/>
      <c r="O4763" s="268"/>
    </row>
    <row r="4764" spans="9:15" x14ac:dyDescent="0.25">
      <c r="I4764" s="268"/>
      <c r="O4764" s="268"/>
    </row>
    <row r="4765" spans="9:15" x14ac:dyDescent="0.25">
      <c r="I4765" s="268"/>
      <c r="O4765" s="268"/>
    </row>
    <row r="4766" spans="9:15" x14ac:dyDescent="0.25">
      <c r="I4766" s="268"/>
      <c r="O4766" s="268"/>
    </row>
    <row r="4767" spans="9:15" x14ac:dyDescent="0.25">
      <c r="I4767" s="268"/>
      <c r="O4767" s="268"/>
    </row>
    <row r="4768" spans="9:15" x14ac:dyDescent="0.25">
      <c r="I4768" s="268"/>
      <c r="O4768" s="268"/>
    </row>
    <row r="4769" spans="9:15" x14ac:dyDescent="0.25">
      <c r="I4769" s="268"/>
      <c r="O4769" s="268"/>
    </row>
    <row r="4770" spans="9:15" x14ac:dyDescent="0.25">
      <c r="I4770" s="268"/>
      <c r="O4770" s="268"/>
    </row>
    <row r="4771" spans="9:15" x14ac:dyDescent="0.25">
      <c r="I4771" s="268"/>
      <c r="O4771" s="268"/>
    </row>
    <row r="4772" spans="9:15" x14ac:dyDescent="0.25">
      <c r="I4772" s="268"/>
      <c r="O4772" s="268"/>
    </row>
    <row r="4773" spans="9:15" x14ac:dyDescent="0.25">
      <c r="I4773" s="268"/>
      <c r="O4773" s="268"/>
    </row>
    <row r="4774" spans="9:15" x14ac:dyDescent="0.25">
      <c r="I4774" s="268"/>
      <c r="O4774" s="268"/>
    </row>
    <row r="4775" spans="9:15" x14ac:dyDescent="0.25">
      <c r="I4775" s="268"/>
      <c r="O4775" s="268"/>
    </row>
    <row r="4776" spans="9:15" x14ac:dyDescent="0.25">
      <c r="I4776" s="268"/>
      <c r="O4776" s="268"/>
    </row>
    <row r="4777" spans="9:15" x14ac:dyDescent="0.25">
      <c r="I4777" s="268"/>
      <c r="O4777" s="268"/>
    </row>
    <row r="4778" spans="9:15" x14ac:dyDescent="0.25">
      <c r="I4778" s="268"/>
      <c r="O4778" s="268"/>
    </row>
    <row r="4779" spans="9:15" x14ac:dyDescent="0.25">
      <c r="I4779" s="268"/>
      <c r="O4779" s="268"/>
    </row>
    <row r="4780" spans="9:15" x14ac:dyDescent="0.25">
      <c r="I4780" s="268"/>
      <c r="O4780" s="268"/>
    </row>
    <row r="4781" spans="9:15" x14ac:dyDescent="0.25">
      <c r="I4781" s="268"/>
      <c r="O4781" s="268"/>
    </row>
    <row r="4782" spans="9:15" x14ac:dyDescent="0.25">
      <c r="I4782" s="268"/>
      <c r="O4782" s="268"/>
    </row>
    <row r="4783" spans="9:15" x14ac:dyDescent="0.25">
      <c r="I4783" s="268"/>
      <c r="O4783" s="268"/>
    </row>
    <row r="4784" spans="9:15" x14ac:dyDescent="0.25">
      <c r="I4784" s="268"/>
      <c r="O4784" s="268"/>
    </row>
    <row r="4785" spans="9:15" x14ac:dyDescent="0.25">
      <c r="I4785" s="268"/>
      <c r="O4785" s="268"/>
    </row>
    <row r="4786" spans="9:15" x14ac:dyDescent="0.25">
      <c r="I4786" s="268"/>
      <c r="O4786" s="268"/>
    </row>
    <row r="4787" spans="9:15" x14ac:dyDescent="0.25">
      <c r="I4787" s="268"/>
      <c r="O4787" s="268"/>
    </row>
    <row r="4788" spans="9:15" x14ac:dyDescent="0.25">
      <c r="I4788" s="268"/>
      <c r="O4788" s="268"/>
    </row>
    <row r="4789" spans="9:15" x14ac:dyDescent="0.25">
      <c r="I4789" s="268"/>
      <c r="O4789" s="268"/>
    </row>
    <row r="4790" spans="9:15" x14ac:dyDescent="0.25">
      <c r="I4790" s="268"/>
      <c r="O4790" s="268"/>
    </row>
    <row r="4791" spans="9:15" x14ac:dyDescent="0.25">
      <c r="I4791" s="268"/>
      <c r="O4791" s="268"/>
    </row>
    <row r="4792" spans="9:15" x14ac:dyDescent="0.25">
      <c r="I4792" s="268"/>
      <c r="O4792" s="268"/>
    </row>
    <row r="4793" spans="9:15" x14ac:dyDescent="0.25">
      <c r="I4793" s="268"/>
      <c r="O4793" s="268"/>
    </row>
    <row r="4794" spans="9:15" x14ac:dyDescent="0.25">
      <c r="I4794" s="268"/>
      <c r="O4794" s="268"/>
    </row>
    <row r="4795" spans="9:15" x14ac:dyDescent="0.25">
      <c r="I4795" s="268"/>
      <c r="O4795" s="268"/>
    </row>
    <row r="4796" spans="9:15" x14ac:dyDescent="0.25">
      <c r="I4796" s="268"/>
      <c r="O4796" s="268"/>
    </row>
    <row r="4797" spans="9:15" x14ac:dyDescent="0.25">
      <c r="I4797" s="268"/>
      <c r="O4797" s="268"/>
    </row>
    <row r="4798" spans="9:15" x14ac:dyDescent="0.25">
      <c r="I4798" s="268"/>
      <c r="O4798" s="268"/>
    </row>
    <row r="4799" spans="9:15" x14ac:dyDescent="0.25">
      <c r="I4799" s="268"/>
      <c r="O4799" s="268"/>
    </row>
    <row r="4800" spans="9:15" x14ac:dyDescent="0.25">
      <c r="I4800" s="268"/>
      <c r="O4800" s="268"/>
    </row>
    <row r="4801" spans="9:15" x14ac:dyDescent="0.25">
      <c r="I4801" s="268"/>
      <c r="O4801" s="268"/>
    </row>
    <row r="4802" spans="9:15" x14ac:dyDescent="0.25">
      <c r="I4802" s="268"/>
      <c r="O4802" s="268"/>
    </row>
    <row r="4803" spans="9:15" x14ac:dyDescent="0.25">
      <c r="I4803" s="268"/>
      <c r="O4803" s="268"/>
    </row>
    <row r="4804" spans="9:15" x14ac:dyDescent="0.25">
      <c r="I4804" s="268"/>
      <c r="O4804" s="268"/>
    </row>
    <row r="4805" spans="9:15" x14ac:dyDescent="0.25">
      <c r="I4805" s="268"/>
      <c r="O4805" s="268"/>
    </row>
    <row r="4806" spans="9:15" x14ac:dyDescent="0.25">
      <c r="I4806" s="268"/>
      <c r="O4806" s="268"/>
    </row>
    <row r="4807" spans="9:15" x14ac:dyDescent="0.25">
      <c r="I4807" s="268"/>
      <c r="O4807" s="268"/>
    </row>
    <row r="4808" spans="9:15" x14ac:dyDescent="0.25">
      <c r="I4808" s="268"/>
      <c r="O4808" s="268"/>
    </row>
    <row r="4809" spans="9:15" x14ac:dyDescent="0.25">
      <c r="I4809" s="268"/>
      <c r="O4809" s="268"/>
    </row>
    <row r="4810" spans="9:15" x14ac:dyDescent="0.25">
      <c r="I4810" s="268"/>
      <c r="O4810" s="268"/>
    </row>
    <row r="4811" spans="9:15" x14ac:dyDescent="0.25">
      <c r="I4811" s="268"/>
      <c r="O4811" s="268"/>
    </row>
    <row r="4812" spans="9:15" x14ac:dyDescent="0.25">
      <c r="I4812" s="268"/>
      <c r="O4812" s="268"/>
    </row>
    <row r="4813" spans="9:15" x14ac:dyDescent="0.25">
      <c r="I4813" s="268"/>
      <c r="O4813" s="268"/>
    </row>
    <row r="4814" spans="9:15" x14ac:dyDescent="0.25">
      <c r="I4814" s="268"/>
      <c r="O4814" s="268"/>
    </row>
    <row r="4815" spans="9:15" x14ac:dyDescent="0.25">
      <c r="I4815" s="268"/>
      <c r="O4815" s="268"/>
    </row>
    <row r="4816" spans="9:15" x14ac:dyDescent="0.25">
      <c r="I4816" s="268"/>
      <c r="O4816" s="268"/>
    </row>
    <row r="4817" spans="9:15" x14ac:dyDescent="0.25">
      <c r="I4817" s="268"/>
      <c r="O4817" s="268"/>
    </row>
    <row r="4818" spans="9:15" x14ac:dyDescent="0.25">
      <c r="I4818" s="268"/>
      <c r="O4818" s="268"/>
    </row>
    <row r="4819" spans="9:15" x14ac:dyDescent="0.25">
      <c r="I4819" s="268"/>
      <c r="O4819" s="268"/>
    </row>
    <row r="4820" spans="9:15" x14ac:dyDescent="0.25">
      <c r="I4820" s="268"/>
      <c r="O4820" s="268"/>
    </row>
    <row r="4821" spans="9:15" x14ac:dyDescent="0.25">
      <c r="I4821" s="268"/>
      <c r="O4821" s="268"/>
    </row>
    <row r="4822" spans="9:15" x14ac:dyDescent="0.25">
      <c r="I4822" s="268"/>
      <c r="O4822" s="268"/>
    </row>
    <row r="4823" spans="9:15" x14ac:dyDescent="0.25">
      <c r="I4823" s="268"/>
      <c r="O4823" s="268"/>
    </row>
    <row r="4824" spans="9:15" x14ac:dyDescent="0.25">
      <c r="I4824" s="268"/>
      <c r="O4824" s="268"/>
    </row>
    <row r="4825" spans="9:15" x14ac:dyDescent="0.25">
      <c r="I4825" s="268"/>
      <c r="O4825" s="268"/>
    </row>
    <row r="4826" spans="9:15" x14ac:dyDescent="0.25">
      <c r="I4826" s="268"/>
      <c r="O4826" s="268"/>
    </row>
    <row r="4827" spans="9:15" x14ac:dyDescent="0.25">
      <c r="I4827" s="268"/>
      <c r="O4827" s="268"/>
    </row>
    <row r="4828" spans="9:15" x14ac:dyDescent="0.25">
      <c r="I4828" s="268"/>
      <c r="O4828" s="268"/>
    </row>
    <row r="4829" spans="9:15" x14ac:dyDescent="0.25">
      <c r="I4829" s="268"/>
      <c r="O4829" s="268"/>
    </row>
    <row r="4830" spans="9:15" x14ac:dyDescent="0.25">
      <c r="I4830" s="268"/>
      <c r="O4830" s="268"/>
    </row>
    <row r="4831" spans="9:15" x14ac:dyDescent="0.25">
      <c r="I4831" s="268"/>
      <c r="O4831" s="268"/>
    </row>
    <row r="4832" spans="9:15" x14ac:dyDescent="0.25">
      <c r="I4832" s="268"/>
      <c r="O4832" s="268"/>
    </row>
    <row r="4833" spans="9:15" x14ac:dyDescent="0.25">
      <c r="I4833" s="268"/>
      <c r="O4833" s="268"/>
    </row>
    <row r="4834" spans="9:15" x14ac:dyDescent="0.25">
      <c r="I4834" s="268"/>
      <c r="O4834" s="268"/>
    </row>
    <row r="4835" spans="9:15" x14ac:dyDescent="0.25">
      <c r="I4835" s="268"/>
      <c r="O4835" s="268"/>
    </row>
    <row r="4836" spans="9:15" x14ac:dyDescent="0.25">
      <c r="I4836" s="268"/>
      <c r="O4836" s="268"/>
    </row>
    <row r="4837" spans="9:15" x14ac:dyDescent="0.25">
      <c r="I4837" s="268"/>
      <c r="O4837" s="268"/>
    </row>
    <row r="4838" spans="9:15" x14ac:dyDescent="0.25">
      <c r="I4838" s="268"/>
      <c r="O4838" s="268"/>
    </row>
    <row r="4839" spans="9:15" x14ac:dyDescent="0.25">
      <c r="I4839" s="268"/>
      <c r="O4839" s="268"/>
    </row>
    <row r="4840" spans="9:15" x14ac:dyDescent="0.25">
      <c r="I4840" s="268"/>
      <c r="O4840" s="268"/>
    </row>
    <row r="4841" spans="9:15" x14ac:dyDescent="0.25">
      <c r="I4841" s="268"/>
      <c r="O4841" s="268"/>
    </row>
    <row r="4842" spans="9:15" x14ac:dyDescent="0.25">
      <c r="I4842" s="268"/>
      <c r="O4842" s="268"/>
    </row>
    <row r="4843" spans="9:15" x14ac:dyDescent="0.25">
      <c r="I4843" s="268"/>
      <c r="O4843" s="268"/>
    </row>
    <row r="4844" spans="9:15" x14ac:dyDescent="0.25">
      <c r="I4844" s="268"/>
      <c r="O4844" s="268"/>
    </row>
    <row r="4845" spans="9:15" x14ac:dyDescent="0.25">
      <c r="I4845" s="268"/>
      <c r="O4845" s="268"/>
    </row>
    <row r="4846" spans="9:15" x14ac:dyDescent="0.25">
      <c r="I4846" s="268"/>
      <c r="O4846" s="268"/>
    </row>
    <row r="4847" spans="9:15" x14ac:dyDescent="0.25">
      <c r="I4847" s="268"/>
      <c r="O4847" s="268"/>
    </row>
    <row r="4848" spans="9:15" x14ac:dyDescent="0.25">
      <c r="I4848" s="268"/>
      <c r="O4848" s="268"/>
    </row>
    <row r="4849" spans="9:15" x14ac:dyDescent="0.25">
      <c r="I4849" s="268"/>
      <c r="O4849" s="268"/>
    </row>
    <row r="4850" spans="9:15" x14ac:dyDescent="0.25">
      <c r="I4850" s="268"/>
      <c r="O4850" s="268"/>
    </row>
    <row r="4851" spans="9:15" x14ac:dyDescent="0.25">
      <c r="I4851" s="268"/>
      <c r="O4851" s="268"/>
    </row>
    <row r="4852" spans="9:15" x14ac:dyDescent="0.25">
      <c r="I4852" s="268"/>
      <c r="O4852" s="268"/>
    </row>
    <row r="4853" spans="9:15" x14ac:dyDescent="0.25">
      <c r="I4853" s="268"/>
      <c r="O4853" s="268"/>
    </row>
    <row r="4854" spans="9:15" x14ac:dyDescent="0.25">
      <c r="I4854" s="268"/>
      <c r="O4854" s="268"/>
    </row>
    <row r="4855" spans="9:15" x14ac:dyDescent="0.25">
      <c r="I4855" s="268"/>
      <c r="O4855" s="268"/>
    </row>
    <row r="4856" spans="9:15" x14ac:dyDescent="0.25">
      <c r="I4856" s="268"/>
      <c r="O4856" s="268"/>
    </row>
    <row r="4857" spans="9:15" x14ac:dyDescent="0.25">
      <c r="I4857" s="268"/>
      <c r="O4857" s="268"/>
    </row>
    <row r="4858" spans="9:15" x14ac:dyDescent="0.25">
      <c r="I4858" s="268"/>
      <c r="O4858" s="268"/>
    </row>
    <row r="4859" spans="9:15" x14ac:dyDescent="0.25">
      <c r="I4859" s="268"/>
      <c r="O4859" s="268"/>
    </row>
    <row r="4860" spans="9:15" x14ac:dyDescent="0.25">
      <c r="I4860" s="268"/>
      <c r="O4860" s="268"/>
    </row>
    <row r="4861" spans="9:15" x14ac:dyDescent="0.25">
      <c r="I4861" s="268"/>
      <c r="O4861" s="268"/>
    </row>
    <row r="4862" spans="9:15" x14ac:dyDescent="0.25">
      <c r="I4862" s="268"/>
      <c r="O4862" s="268"/>
    </row>
    <row r="4863" spans="9:15" x14ac:dyDescent="0.25">
      <c r="I4863" s="268"/>
      <c r="O4863" s="268"/>
    </row>
    <row r="4864" spans="9:15" x14ac:dyDescent="0.25">
      <c r="I4864" s="268"/>
      <c r="O4864" s="268"/>
    </row>
    <row r="4865" spans="9:15" x14ac:dyDescent="0.25">
      <c r="I4865" s="268"/>
      <c r="O4865" s="268"/>
    </row>
    <row r="4866" spans="9:15" x14ac:dyDescent="0.25">
      <c r="I4866" s="268"/>
      <c r="O4866" s="268"/>
    </row>
    <row r="4867" spans="9:15" x14ac:dyDescent="0.25">
      <c r="I4867" s="268"/>
      <c r="O4867" s="268"/>
    </row>
    <row r="4868" spans="9:15" x14ac:dyDescent="0.25">
      <c r="I4868" s="268"/>
      <c r="O4868" s="268"/>
    </row>
    <row r="4869" spans="9:15" x14ac:dyDescent="0.25">
      <c r="I4869" s="268"/>
      <c r="O4869" s="268"/>
    </row>
    <row r="4870" spans="9:15" x14ac:dyDescent="0.25">
      <c r="I4870" s="268"/>
      <c r="O4870" s="268"/>
    </row>
    <row r="4871" spans="9:15" x14ac:dyDescent="0.25">
      <c r="I4871" s="268"/>
      <c r="O4871" s="268"/>
    </row>
    <row r="4872" spans="9:15" x14ac:dyDescent="0.25">
      <c r="I4872" s="268"/>
      <c r="O4872" s="268"/>
    </row>
    <row r="4873" spans="9:15" x14ac:dyDescent="0.25">
      <c r="I4873" s="268"/>
      <c r="O4873" s="268"/>
    </row>
    <row r="4874" spans="9:15" x14ac:dyDescent="0.25">
      <c r="I4874" s="268"/>
      <c r="O4874" s="268"/>
    </row>
    <row r="4875" spans="9:15" x14ac:dyDescent="0.25">
      <c r="I4875" s="268"/>
      <c r="O4875" s="268"/>
    </row>
    <row r="4876" spans="9:15" x14ac:dyDescent="0.25">
      <c r="I4876" s="268"/>
      <c r="O4876" s="268"/>
    </row>
    <row r="4877" spans="9:15" x14ac:dyDescent="0.25">
      <c r="I4877" s="268"/>
      <c r="O4877" s="268"/>
    </row>
    <row r="4878" spans="9:15" x14ac:dyDescent="0.25">
      <c r="I4878" s="268"/>
      <c r="O4878" s="268"/>
    </row>
    <row r="4879" spans="9:15" x14ac:dyDescent="0.25">
      <c r="I4879" s="268"/>
      <c r="O4879" s="268"/>
    </row>
    <row r="4880" spans="9:15" x14ac:dyDescent="0.25">
      <c r="I4880" s="268"/>
      <c r="O4880" s="268"/>
    </row>
    <row r="4881" spans="9:15" x14ac:dyDescent="0.25">
      <c r="I4881" s="268"/>
      <c r="O4881" s="268"/>
    </row>
    <row r="4882" spans="9:15" x14ac:dyDescent="0.25">
      <c r="I4882" s="268"/>
      <c r="O4882" s="268"/>
    </row>
    <row r="4883" spans="9:15" x14ac:dyDescent="0.25">
      <c r="I4883" s="268"/>
      <c r="O4883" s="268"/>
    </row>
    <row r="4884" spans="9:15" x14ac:dyDescent="0.25">
      <c r="I4884" s="268"/>
      <c r="O4884" s="268"/>
    </row>
    <row r="4885" spans="9:15" x14ac:dyDescent="0.25">
      <c r="I4885" s="268"/>
      <c r="O4885" s="268"/>
    </row>
    <row r="4886" spans="9:15" x14ac:dyDescent="0.25">
      <c r="I4886" s="268"/>
      <c r="O4886" s="268"/>
    </row>
    <row r="4887" spans="9:15" x14ac:dyDescent="0.25">
      <c r="I4887" s="268"/>
      <c r="O4887" s="268"/>
    </row>
    <row r="4888" spans="9:15" x14ac:dyDescent="0.25">
      <c r="I4888" s="268"/>
      <c r="O4888" s="268"/>
    </row>
    <row r="4889" spans="9:15" x14ac:dyDescent="0.25">
      <c r="I4889" s="268"/>
      <c r="O4889" s="268"/>
    </row>
    <row r="4890" spans="9:15" x14ac:dyDescent="0.25">
      <c r="I4890" s="268"/>
      <c r="O4890" s="268"/>
    </row>
    <row r="4891" spans="9:15" x14ac:dyDescent="0.25">
      <c r="I4891" s="268"/>
      <c r="O4891" s="268"/>
    </row>
    <row r="4892" spans="9:15" x14ac:dyDescent="0.25">
      <c r="I4892" s="268"/>
      <c r="O4892" s="268"/>
    </row>
    <row r="4893" spans="9:15" x14ac:dyDescent="0.25">
      <c r="I4893" s="268"/>
      <c r="O4893" s="268"/>
    </row>
    <row r="4894" spans="9:15" x14ac:dyDescent="0.25">
      <c r="I4894" s="268"/>
      <c r="O4894" s="268"/>
    </row>
    <row r="4895" spans="9:15" x14ac:dyDescent="0.25">
      <c r="I4895" s="268"/>
      <c r="O4895" s="268"/>
    </row>
    <row r="4896" spans="9:15" x14ac:dyDescent="0.25">
      <c r="I4896" s="268"/>
      <c r="O4896" s="268"/>
    </row>
    <row r="4897" spans="9:15" x14ac:dyDescent="0.25">
      <c r="I4897" s="268"/>
      <c r="O4897" s="268"/>
    </row>
    <row r="4898" spans="9:15" x14ac:dyDescent="0.25">
      <c r="I4898" s="268"/>
      <c r="O4898" s="268"/>
    </row>
    <row r="4899" spans="9:15" x14ac:dyDescent="0.25">
      <c r="I4899" s="268"/>
      <c r="O4899" s="268"/>
    </row>
    <row r="4900" spans="9:15" x14ac:dyDescent="0.25">
      <c r="I4900" s="268"/>
      <c r="O4900" s="268"/>
    </row>
    <row r="4901" spans="9:15" x14ac:dyDescent="0.25">
      <c r="I4901" s="268"/>
      <c r="O4901" s="268"/>
    </row>
    <row r="4902" spans="9:15" x14ac:dyDescent="0.25">
      <c r="I4902" s="268"/>
      <c r="O4902" s="268"/>
    </row>
    <row r="4903" spans="9:15" x14ac:dyDescent="0.25">
      <c r="I4903" s="268"/>
      <c r="O4903" s="268"/>
    </row>
    <row r="4904" spans="9:15" x14ac:dyDescent="0.25">
      <c r="I4904" s="268"/>
      <c r="O4904" s="268"/>
    </row>
    <row r="4905" spans="9:15" x14ac:dyDescent="0.25">
      <c r="I4905" s="268"/>
      <c r="O4905" s="268"/>
    </row>
    <row r="4906" spans="9:15" x14ac:dyDescent="0.25">
      <c r="I4906" s="268"/>
      <c r="O4906" s="268"/>
    </row>
    <row r="4907" spans="9:15" x14ac:dyDescent="0.25">
      <c r="I4907" s="268"/>
      <c r="O4907" s="268"/>
    </row>
    <row r="4908" spans="9:15" x14ac:dyDescent="0.25">
      <c r="I4908" s="268"/>
      <c r="O4908" s="268"/>
    </row>
    <row r="4909" spans="9:15" x14ac:dyDescent="0.25">
      <c r="I4909" s="268"/>
      <c r="O4909" s="268"/>
    </row>
    <row r="4910" spans="9:15" x14ac:dyDescent="0.25">
      <c r="I4910" s="268"/>
      <c r="O4910" s="268"/>
    </row>
    <row r="4911" spans="9:15" x14ac:dyDescent="0.25">
      <c r="I4911" s="268"/>
      <c r="O4911" s="268"/>
    </row>
    <row r="4912" spans="9:15" x14ac:dyDescent="0.25">
      <c r="I4912" s="268"/>
      <c r="O4912" s="268"/>
    </row>
    <row r="4913" spans="9:15" x14ac:dyDescent="0.25">
      <c r="I4913" s="268"/>
      <c r="O4913" s="268"/>
    </row>
    <row r="4914" spans="9:15" x14ac:dyDescent="0.25">
      <c r="I4914" s="268"/>
      <c r="O4914" s="268"/>
    </row>
    <row r="4915" spans="9:15" x14ac:dyDescent="0.25">
      <c r="I4915" s="268"/>
      <c r="O4915" s="268"/>
    </row>
    <row r="4916" spans="9:15" x14ac:dyDescent="0.25">
      <c r="I4916" s="268"/>
      <c r="O4916" s="268"/>
    </row>
    <row r="4917" spans="9:15" x14ac:dyDescent="0.25">
      <c r="I4917" s="268"/>
      <c r="O4917" s="268"/>
    </row>
    <row r="4918" spans="9:15" x14ac:dyDescent="0.25">
      <c r="I4918" s="268"/>
      <c r="O4918" s="268"/>
    </row>
    <row r="4919" spans="9:15" x14ac:dyDescent="0.25">
      <c r="I4919" s="268"/>
      <c r="O4919" s="268"/>
    </row>
    <row r="4920" spans="9:15" x14ac:dyDescent="0.25">
      <c r="I4920" s="268"/>
      <c r="O4920" s="268"/>
    </row>
    <row r="4921" spans="9:15" x14ac:dyDescent="0.25">
      <c r="I4921" s="268"/>
      <c r="O4921" s="268"/>
    </row>
    <row r="4922" spans="9:15" x14ac:dyDescent="0.25">
      <c r="I4922" s="268"/>
      <c r="O4922" s="268"/>
    </row>
    <row r="4923" spans="9:15" x14ac:dyDescent="0.25">
      <c r="I4923" s="268"/>
      <c r="O4923" s="268"/>
    </row>
    <row r="4924" spans="9:15" x14ac:dyDescent="0.25">
      <c r="I4924" s="268"/>
      <c r="O4924" s="268"/>
    </row>
    <row r="4925" spans="9:15" x14ac:dyDescent="0.25">
      <c r="I4925" s="268"/>
      <c r="O4925" s="268"/>
    </row>
    <row r="4926" spans="9:15" x14ac:dyDescent="0.25">
      <c r="I4926" s="268"/>
      <c r="O4926" s="268"/>
    </row>
    <row r="4927" spans="9:15" x14ac:dyDescent="0.25">
      <c r="I4927" s="268"/>
      <c r="O4927" s="268"/>
    </row>
    <row r="4928" spans="9:15" x14ac:dyDescent="0.25">
      <c r="I4928" s="268"/>
      <c r="O4928" s="268"/>
    </row>
    <row r="4929" spans="9:15" x14ac:dyDescent="0.25">
      <c r="I4929" s="268"/>
      <c r="O4929" s="268"/>
    </row>
    <row r="4930" spans="9:15" x14ac:dyDescent="0.25">
      <c r="I4930" s="268"/>
      <c r="O4930" s="268"/>
    </row>
    <row r="4931" spans="9:15" x14ac:dyDescent="0.25">
      <c r="I4931" s="268"/>
      <c r="O4931" s="268"/>
    </row>
    <row r="4932" spans="9:15" x14ac:dyDescent="0.25">
      <c r="I4932" s="268"/>
      <c r="O4932" s="268"/>
    </row>
    <row r="4933" spans="9:15" x14ac:dyDescent="0.25">
      <c r="I4933" s="268"/>
      <c r="O4933" s="268"/>
    </row>
    <row r="4934" spans="9:15" x14ac:dyDescent="0.25">
      <c r="I4934" s="268"/>
      <c r="O4934" s="268"/>
    </row>
    <row r="4935" spans="9:15" x14ac:dyDescent="0.25">
      <c r="I4935" s="268"/>
      <c r="O4935" s="268"/>
    </row>
    <row r="4936" spans="9:15" x14ac:dyDescent="0.25">
      <c r="I4936" s="268"/>
      <c r="O4936" s="268"/>
    </row>
    <row r="4937" spans="9:15" x14ac:dyDescent="0.25">
      <c r="I4937" s="268"/>
      <c r="O4937" s="268"/>
    </row>
    <row r="4938" spans="9:15" x14ac:dyDescent="0.25">
      <c r="I4938" s="268"/>
      <c r="O4938" s="268"/>
    </row>
    <row r="4939" spans="9:15" x14ac:dyDescent="0.25">
      <c r="I4939" s="268"/>
      <c r="O4939" s="268"/>
    </row>
    <row r="4940" spans="9:15" x14ac:dyDescent="0.25">
      <c r="I4940" s="268"/>
      <c r="O4940" s="268"/>
    </row>
    <row r="4941" spans="9:15" x14ac:dyDescent="0.25">
      <c r="I4941" s="268"/>
      <c r="O4941" s="268"/>
    </row>
    <row r="4942" spans="9:15" x14ac:dyDescent="0.25">
      <c r="I4942" s="268"/>
      <c r="O4942" s="268"/>
    </row>
    <row r="4943" spans="9:15" x14ac:dyDescent="0.25">
      <c r="I4943" s="268"/>
      <c r="O4943" s="268"/>
    </row>
    <row r="4944" spans="9:15" x14ac:dyDescent="0.25">
      <c r="I4944" s="268"/>
      <c r="O4944" s="268"/>
    </row>
    <row r="4945" spans="9:15" x14ac:dyDescent="0.25">
      <c r="I4945" s="268"/>
      <c r="O4945" s="268"/>
    </row>
    <row r="4946" spans="9:15" x14ac:dyDescent="0.25">
      <c r="I4946" s="268"/>
      <c r="O4946" s="268"/>
    </row>
    <row r="4947" spans="9:15" x14ac:dyDescent="0.25">
      <c r="I4947" s="268"/>
      <c r="O4947" s="268"/>
    </row>
    <row r="4948" spans="9:15" x14ac:dyDescent="0.25">
      <c r="I4948" s="268"/>
      <c r="O4948" s="268"/>
    </row>
    <row r="4949" spans="9:15" x14ac:dyDescent="0.25">
      <c r="I4949" s="268"/>
      <c r="O4949" s="268"/>
    </row>
    <row r="4950" spans="9:15" x14ac:dyDescent="0.25">
      <c r="I4950" s="268"/>
      <c r="O4950" s="268"/>
    </row>
    <row r="4951" spans="9:15" x14ac:dyDescent="0.25">
      <c r="I4951" s="268"/>
      <c r="O4951" s="268"/>
    </row>
    <row r="4952" spans="9:15" x14ac:dyDescent="0.25">
      <c r="I4952" s="268"/>
      <c r="O4952" s="268"/>
    </row>
    <row r="4953" spans="9:15" x14ac:dyDescent="0.25">
      <c r="I4953" s="268"/>
      <c r="O4953" s="268"/>
    </row>
    <row r="4954" spans="9:15" x14ac:dyDescent="0.25">
      <c r="I4954" s="268"/>
      <c r="O4954" s="268"/>
    </row>
    <row r="4955" spans="9:15" x14ac:dyDescent="0.25">
      <c r="I4955" s="268"/>
      <c r="O4955" s="268"/>
    </row>
    <row r="4956" spans="9:15" x14ac:dyDescent="0.25">
      <c r="I4956" s="268"/>
      <c r="O4956" s="268"/>
    </row>
    <row r="4957" spans="9:15" x14ac:dyDescent="0.25">
      <c r="I4957" s="268"/>
      <c r="O4957" s="268"/>
    </row>
    <row r="4958" spans="9:15" x14ac:dyDescent="0.25">
      <c r="I4958" s="268"/>
      <c r="O4958" s="268"/>
    </row>
    <row r="4959" spans="9:15" x14ac:dyDescent="0.25">
      <c r="I4959" s="268"/>
      <c r="O4959" s="268"/>
    </row>
    <row r="4960" spans="9:15" x14ac:dyDescent="0.25">
      <c r="I4960" s="268"/>
      <c r="O4960" s="268"/>
    </row>
    <row r="4961" spans="9:15" x14ac:dyDescent="0.25">
      <c r="I4961" s="268"/>
      <c r="O4961" s="268"/>
    </row>
    <row r="4962" spans="9:15" x14ac:dyDescent="0.25">
      <c r="I4962" s="268"/>
      <c r="O4962" s="268"/>
    </row>
    <row r="4963" spans="9:15" x14ac:dyDescent="0.25">
      <c r="I4963" s="268"/>
      <c r="O4963" s="268"/>
    </row>
    <row r="4964" spans="9:15" x14ac:dyDescent="0.25">
      <c r="I4964" s="268"/>
      <c r="O4964" s="268"/>
    </row>
    <row r="4965" spans="9:15" x14ac:dyDescent="0.25">
      <c r="I4965" s="268"/>
      <c r="O4965" s="268"/>
    </row>
    <row r="4966" spans="9:15" x14ac:dyDescent="0.25">
      <c r="I4966" s="268"/>
      <c r="O4966" s="268"/>
    </row>
    <row r="4967" spans="9:15" x14ac:dyDescent="0.25">
      <c r="I4967" s="268"/>
      <c r="O4967" s="268"/>
    </row>
    <row r="4968" spans="9:15" x14ac:dyDescent="0.25">
      <c r="I4968" s="268"/>
      <c r="O4968" s="268"/>
    </row>
    <row r="4969" spans="9:15" x14ac:dyDescent="0.25">
      <c r="I4969" s="268"/>
      <c r="O4969" s="268"/>
    </row>
    <row r="4970" spans="9:15" x14ac:dyDescent="0.25">
      <c r="I4970" s="268"/>
      <c r="O4970" s="268"/>
    </row>
    <row r="4971" spans="9:15" x14ac:dyDescent="0.25">
      <c r="I4971" s="268"/>
      <c r="O4971" s="268"/>
    </row>
    <row r="4972" spans="9:15" x14ac:dyDescent="0.25">
      <c r="I4972" s="268"/>
      <c r="O4972" s="268"/>
    </row>
    <row r="4973" spans="9:15" x14ac:dyDescent="0.25">
      <c r="I4973" s="268"/>
      <c r="O4973" s="268"/>
    </row>
    <row r="4974" spans="9:15" x14ac:dyDescent="0.25">
      <c r="I4974" s="268"/>
      <c r="O4974" s="268"/>
    </row>
    <row r="4975" spans="9:15" x14ac:dyDescent="0.25">
      <c r="I4975" s="268"/>
      <c r="O4975" s="268"/>
    </row>
    <row r="4976" spans="9:15" x14ac:dyDescent="0.25">
      <c r="I4976" s="268"/>
      <c r="O4976" s="268"/>
    </row>
    <row r="4977" spans="9:15" x14ac:dyDescent="0.25">
      <c r="I4977" s="268"/>
      <c r="O4977" s="268"/>
    </row>
    <row r="4978" spans="9:15" x14ac:dyDescent="0.25">
      <c r="I4978" s="268"/>
      <c r="O4978" s="268"/>
    </row>
    <row r="4979" spans="9:15" x14ac:dyDescent="0.25">
      <c r="I4979" s="268"/>
      <c r="O4979" s="268"/>
    </row>
    <row r="4980" spans="9:15" x14ac:dyDescent="0.25">
      <c r="I4980" s="268"/>
      <c r="O4980" s="268"/>
    </row>
    <row r="4981" spans="9:15" x14ac:dyDescent="0.25">
      <c r="I4981" s="268"/>
      <c r="O4981" s="268"/>
    </row>
    <row r="4982" spans="9:15" x14ac:dyDescent="0.25">
      <c r="I4982" s="268"/>
      <c r="O4982" s="268"/>
    </row>
    <row r="4983" spans="9:15" x14ac:dyDescent="0.25">
      <c r="I4983" s="268"/>
      <c r="O4983" s="268"/>
    </row>
    <row r="4984" spans="9:15" x14ac:dyDescent="0.25">
      <c r="I4984" s="268"/>
      <c r="O4984" s="268"/>
    </row>
    <row r="4985" spans="9:15" x14ac:dyDescent="0.25">
      <c r="I4985" s="268"/>
      <c r="O4985" s="268"/>
    </row>
    <row r="4986" spans="9:15" x14ac:dyDescent="0.25">
      <c r="I4986" s="268"/>
      <c r="O4986" s="268"/>
    </row>
    <row r="4987" spans="9:15" x14ac:dyDescent="0.25">
      <c r="I4987" s="268"/>
      <c r="O4987" s="268"/>
    </row>
    <row r="4988" spans="9:15" x14ac:dyDescent="0.25">
      <c r="I4988" s="268"/>
      <c r="O4988" s="268"/>
    </row>
    <row r="4989" spans="9:15" x14ac:dyDescent="0.25">
      <c r="I4989" s="268"/>
      <c r="O4989" s="268"/>
    </row>
    <row r="4990" spans="9:15" x14ac:dyDescent="0.25">
      <c r="I4990" s="268"/>
      <c r="O4990" s="268"/>
    </row>
    <row r="4991" spans="9:15" x14ac:dyDescent="0.25">
      <c r="I4991" s="268"/>
      <c r="O4991" s="268"/>
    </row>
    <row r="4992" spans="9:15" x14ac:dyDescent="0.25">
      <c r="I4992" s="268"/>
      <c r="O4992" s="268"/>
    </row>
    <row r="4993" spans="9:15" x14ac:dyDescent="0.25">
      <c r="I4993" s="268"/>
      <c r="O4993" s="268"/>
    </row>
    <row r="4994" spans="9:15" x14ac:dyDescent="0.25">
      <c r="I4994" s="268"/>
      <c r="O4994" s="268"/>
    </row>
    <row r="4995" spans="9:15" x14ac:dyDescent="0.25">
      <c r="I4995" s="268"/>
      <c r="O4995" s="268"/>
    </row>
    <row r="4996" spans="9:15" x14ac:dyDescent="0.25">
      <c r="I4996" s="268"/>
      <c r="O4996" s="268"/>
    </row>
    <row r="4997" spans="9:15" x14ac:dyDescent="0.25">
      <c r="I4997" s="268"/>
      <c r="O4997" s="268"/>
    </row>
    <row r="4998" spans="9:15" x14ac:dyDescent="0.25">
      <c r="I4998" s="268"/>
      <c r="O4998" s="268"/>
    </row>
    <row r="4999" spans="9:15" x14ac:dyDescent="0.25">
      <c r="I4999" s="268"/>
      <c r="O4999" s="268"/>
    </row>
    <row r="5000" spans="9:15" x14ac:dyDescent="0.25">
      <c r="I5000" s="268"/>
      <c r="O5000" s="268"/>
    </row>
    <row r="5001" spans="9:15" x14ac:dyDescent="0.25">
      <c r="I5001" s="268"/>
      <c r="O5001" s="268"/>
    </row>
    <row r="5002" spans="9:15" x14ac:dyDescent="0.25">
      <c r="I5002" s="268"/>
      <c r="O5002" s="268"/>
    </row>
    <row r="5003" spans="9:15" x14ac:dyDescent="0.25">
      <c r="I5003" s="268"/>
      <c r="O5003" s="268"/>
    </row>
    <row r="5004" spans="9:15" x14ac:dyDescent="0.25">
      <c r="I5004" s="268"/>
      <c r="O5004" s="268"/>
    </row>
    <row r="5005" spans="9:15" x14ac:dyDescent="0.25">
      <c r="I5005" s="268"/>
      <c r="O5005" s="268"/>
    </row>
    <row r="5006" spans="9:15" x14ac:dyDescent="0.25">
      <c r="I5006" s="268"/>
      <c r="O5006" s="268"/>
    </row>
    <row r="5007" spans="9:15" x14ac:dyDescent="0.25">
      <c r="I5007" s="268"/>
      <c r="O5007" s="268"/>
    </row>
    <row r="5008" spans="9:15" x14ac:dyDescent="0.25">
      <c r="I5008" s="268"/>
      <c r="O5008" s="268"/>
    </row>
    <row r="5009" spans="9:15" x14ac:dyDescent="0.25">
      <c r="I5009" s="268"/>
      <c r="O5009" s="268"/>
    </row>
    <row r="5010" spans="9:15" x14ac:dyDescent="0.25">
      <c r="I5010" s="268"/>
      <c r="O5010" s="268"/>
    </row>
    <row r="5011" spans="9:15" x14ac:dyDescent="0.25">
      <c r="I5011" s="268"/>
      <c r="O5011" s="268"/>
    </row>
    <row r="5012" spans="9:15" x14ac:dyDescent="0.25">
      <c r="I5012" s="268"/>
      <c r="O5012" s="268"/>
    </row>
    <row r="5013" spans="9:15" x14ac:dyDescent="0.25">
      <c r="I5013" s="268"/>
      <c r="O5013" s="268"/>
    </row>
    <row r="5014" spans="9:15" x14ac:dyDescent="0.25">
      <c r="I5014" s="268"/>
      <c r="O5014" s="268"/>
    </row>
    <row r="5015" spans="9:15" x14ac:dyDescent="0.25">
      <c r="I5015" s="268"/>
      <c r="O5015" s="268"/>
    </row>
    <row r="5016" spans="9:15" x14ac:dyDescent="0.25">
      <c r="I5016" s="268"/>
      <c r="O5016" s="268"/>
    </row>
    <row r="5017" spans="9:15" x14ac:dyDescent="0.25">
      <c r="I5017" s="268"/>
      <c r="O5017" s="268"/>
    </row>
    <row r="5018" spans="9:15" x14ac:dyDescent="0.25">
      <c r="I5018" s="268"/>
      <c r="O5018" s="268"/>
    </row>
    <row r="5019" spans="9:15" x14ac:dyDescent="0.25">
      <c r="I5019" s="268"/>
      <c r="O5019" s="268"/>
    </row>
    <row r="5020" spans="9:15" x14ac:dyDescent="0.25">
      <c r="I5020" s="268"/>
      <c r="O5020" s="268"/>
    </row>
    <row r="5021" spans="9:15" x14ac:dyDescent="0.25">
      <c r="I5021" s="268"/>
      <c r="O5021" s="268"/>
    </row>
    <row r="5022" spans="9:15" x14ac:dyDescent="0.25">
      <c r="I5022" s="268"/>
      <c r="O5022" s="268"/>
    </row>
    <row r="5023" spans="9:15" x14ac:dyDescent="0.25">
      <c r="I5023" s="268"/>
      <c r="O5023" s="268"/>
    </row>
    <row r="5024" spans="9:15" x14ac:dyDescent="0.25">
      <c r="I5024" s="268"/>
      <c r="O5024" s="268"/>
    </row>
    <row r="5025" spans="9:15" x14ac:dyDescent="0.25">
      <c r="I5025" s="268"/>
      <c r="O5025" s="268"/>
    </row>
    <row r="5026" spans="9:15" x14ac:dyDescent="0.25">
      <c r="I5026" s="268"/>
      <c r="O5026" s="268"/>
    </row>
    <row r="5027" spans="9:15" x14ac:dyDescent="0.25">
      <c r="I5027" s="268"/>
      <c r="O5027" s="268"/>
    </row>
    <row r="5028" spans="9:15" x14ac:dyDescent="0.25">
      <c r="I5028" s="268"/>
      <c r="O5028" s="268"/>
    </row>
    <row r="5029" spans="9:15" x14ac:dyDescent="0.25">
      <c r="I5029" s="268"/>
      <c r="O5029" s="268"/>
    </row>
    <row r="5030" spans="9:15" x14ac:dyDescent="0.25">
      <c r="I5030" s="268"/>
      <c r="O5030" s="268"/>
    </row>
    <row r="5031" spans="9:15" x14ac:dyDescent="0.25">
      <c r="I5031" s="268"/>
      <c r="O5031" s="268"/>
    </row>
    <row r="5032" spans="9:15" x14ac:dyDescent="0.25">
      <c r="I5032" s="268"/>
      <c r="O5032" s="268"/>
    </row>
    <row r="5033" spans="9:15" x14ac:dyDescent="0.25">
      <c r="I5033" s="268"/>
      <c r="O5033" s="268"/>
    </row>
    <row r="5034" spans="9:15" x14ac:dyDescent="0.25">
      <c r="I5034" s="268"/>
      <c r="O5034" s="268"/>
    </row>
    <row r="5035" spans="9:15" x14ac:dyDescent="0.25">
      <c r="I5035" s="268"/>
      <c r="O5035" s="268"/>
    </row>
    <row r="5036" spans="9:15" x14ac:dyDescent="0.25">
      <c r="I5036" s="268"/>
      <c r="O5036" s="268"/>
    </row>
    <row r="5037" spans="9:15" x14ac:dyDescent="0.25">
      <c r="I5037" s="268"/>
      <c r="O5037" s="268"/>
    </row>
    <row r="5038" spans="9:15" x14ac:dyDescent="0.25">
      <c r="I5038" s="268"/>
      <c r="O5038" s="268"/>
    </row>
    <row r="5039" spans="9:15" x14ac:dyDescent="0.25">
      <c r="I5039" s="268"/>
      <c r="O5039" s="268"/>
    </row>
    <row r="5040" spans="9:15" x14ac:dyDescent="0.25">
      <c r="I5040" s="268"/>
      <c r="O5040" s="268"/>
    </row>
    <row r="5041" spans="9:15" x14ac:dyDescent="0.25">
      <c r="I5041" s="268"/>
      <c r="O5041" s="268"/>
    </row>
    <row r="5042" spans="9:15" x14ac:dyDescent="0.25">
      <c r="I5042" s="268"/>
      <c r="O5042" s="268"/>
    </row>
    <row r="5043" spans="9:15" x14ac:dyDescent="0.25">
      <c r="I5043" s="268"/>
      <c r="O5043" s="268"/>
    </row>
    <row r="5044" spans="9:15" x14ac:dyDescent="0.25">
      <c r="I5044" s="268"/>
      <c r="O5044" s="268"/>
    </row>
    <row r="5045" spans="9:15" x14ac:dyDescent="0.25">
      <c r="I5045" s="268"/>
      <c r="O5045" s="268"/>
    </row>
    <row r="5046" spans="9:15" x14ac:dyDescent="0.25">
      <c r="I5046" s="268"/>
      <c r="O5046" s="268"/>
    </row>
    <row r="5047" spans="9:15" x14ac:dyDescent="0.25">
      <c r="I5047" s="268"/>
      <c r="O5047" s="268"/>
    </row>
    <row r="5048" spans="9:15" x14ac:dyDescent="0.25">
      <c r="I5048" s="268"/>
      <c r="O5048" s="268"/>
    </row>
    <row r="5049" spans="9:15" x14ac:dyDescent="0.25">
      <c r="I5049" s="268"/>
      <c r="O5049" s="268"/>
    </row>
    <row r="5050" spans="9:15" x14ac:dyDescent="0.25">
      <c r="I5050" s="268"/>
      <c r="O5050" s="268"/>
    </row>
    <row r="5051" spans="9:15" x14ac:dyDescent="0.25">
      <c r="I5051" s="268"/>
      <c r="O5051" s="268"/>
    </row>
    <row r="5052" spans="9:15" x14ac:dyDescent="0.25">
      <c r="I5052" s="268"/>
      <c r="O5052" s="268"/>
    </row>
    <row r="5053" spans="9:15" x14ac:dyDescent="0.25">
      <c r="I5053" s="268"/>
      <c r="O5053" s="268"/>
    </row>
    <row r="5054" spans="9:15" x14ac:dyDescent="0.25">
      <c r="I5054" s="268"/>
      <c r="O5054" s="268"/>
    </row>
    <row r="5055" spans="9:15" x14ac:dyDescent="0.25">
      <c r="I5055" s="268"/>
      <c r="O5055" s="268"/>
    </row>
    <row r="5056" spans="9:15" x14ac:dyDescent="0.25">
      <c r="I5056" s="268"/>
      <c r="O5056" s="268"/>
    </row>
    <row r="5057" spans="9:15" x14ac:dyDescent="0.25">
      <c r="I5057" s="268"/>
      <c r="O5057" s="268"/>
    </row>
    <row r="5058" spans="9:15" x14ac:dyDescent="0.25">
      <c r="I5058" s="268"/>
      <c r="O5058" s="268"/>
    </row>
    <row r="5059" spans="9:15" x14ac:dyDescent="0.25">
      <c r="I5059" s="268"/>
      <c r="O5059" s="268"/>
    </row>
    <row r="5060" spans="9:15" x14ac:dyDescent="0.25">
      <c r="I5060" s="268"/>
      <c r="O5060" s="268"/>
    </row>
    <row r="5061" spans="9:15" x14ac:dyDescent="0.25">
      <c r="I5061" s="268"/>
      <c r="O5061" s="268"/>
    </row>
    <row r="5062" spans="9:15" x14ac:dyDescent="0.25">
      <c r="I5062" s="268"/>
      <c r="O5062" s="268"/>
    </row>
    <row r="5063" spans="9:15" x14ac:dyDescent="0.25">
      <c r="I5063" s="268"/>
      <c r="O5063" s="268"/>
    </row>
    <row r="5064" spans="9:15" x14ac:dyDescent="0.25">
      <c r="I5064" s="268"/>
      <c r="O5064" s="268"/>
    </row>
    <row r="5065" spans="9:15" x14ac:dyDescent="0.25">
      <c r="I5065" s="268"/>
      <c r="O5065" s="268"/>
    </row>
    <row r="5066" spans="9:15" x14ac:dyDescent="0.25">
      <c r="I5066" s="268"/>
      <c r="O5066" s="268"/>
    </row>
    <row r="5067" spans="9:15" x14ac:dyDescent="0.25">
      <c r="I5067" s="268"/>
      <c r="O5067" s="268"/>
    </row>
    <row r="5068" spans="9:15" x14ac:dyDescent="0.25">
      <c r="I5068" s="268"/>
      <c r="O5068" s="268"/>
    </row>
    <row r="5069" spans="9:15" x14ac:dyDescent="0.25">
      <c r="I5069" s="268"/>
      <c r="O5069" s="268"/>
    </row>
    <row r="5070" spans="9:15" x14ac:dyDescent="0.25">
      <c r="I5070" s="268"/>
      <c r="O5070" s="268"/>
    </row>
    <row r="5071" spans="9:15" x14ac:dyDescent="0.25">
      <c r="I5071" s="268"/>
      <c r="O5071" s="268"/>
    </row>
    <row r="5072" spans="9:15" x14ac:dyDescent="0.25">
      <c r="I5072" s="268"/>
      <c r="O5072" s="268"/>
    </row>
    <row r="5073" spans="9:15" x14ac:dyDescent="0.25">
      <c r="I5073" s="268"/>
      <c r="O5073" s="268"/>
    </row>
    <row r="5074" spans="9:15" x14ac:dyDescent="0.25">
      <c r="I5074" s="268"/>
      <c r="O5074" s="268"/>
    </row>
    <row r="5075" spans="9:15" x14ac:dyDescent="0.25">
      <c r="I5075" s="268"/>
      <c r="O5075" s="268"/>
    </row>
    <row r="5076" spans="9:15" x14ac:dyDescent="0.25">
      <c r="I5076" s="268"/>
      <c r="O5076" s="268"/>
    </row>
    <row r="5077" spans="9:15" x14ac:dyDescent="0.25">
      <c r="I5077" s="268"/>
      <c r="O5077" s="268"/>
    </row>
    <row r="5078" spans="9:15" x14ac:dyDescent="0.25">
      <c r="I5078" s="268"/>
      <c r="O5078" s="268"/>
    </row>
    <row r="5079" spans="9:15" x14ac:dyDescent="0.25">
      <c r="I5079" s="268"/>
      <c r="O5079" s="268"/>
    </row>
    <row r="5080" spans="9:15" x14ac:dyDescent="0.25">
      <c r="I5080" s="268"/>
      <c r="O5080" s="268"/>
    </row>
    <row r="5081" spans="9:15" x14ac:dyDescent="0.25">
      <c r="I5081" s="268"/>
      <c r="O5081" s="268"/>
    </row>
    <row r="5082" spans="9:15" x14ac:dyDescent="0.25">
      <c r="I5082" s="268"/>
      <c r="O5082" s="268"/>
    </row>
    <row r="5083" spans="9:15" x14ac:dyDescent="0.25">
      <c r="I5083" s="268"/>
      <c r="O5083" s="268"/>
    </row>
    <row r="5084" spans="9:15" x14ac:dyDescent="0.25">
      <c r="I5084" s="268"/>
      <c r="O5084" s="268"/>
    </row>
    <row r="5085" spans="9:15" x14ac:dyDescent="0.25">
      <c r="I5085" s="268"/>
      <c r="O5085" s="268"/>
    </row>
    <row r="5086" spans="9:15" x14ac:dyDescent="0.25">
      <c r="I5086" s="268"/>
      <c r="O5086" s="268"/>
    </row>
    <row r="5087" spans="9:15" x14ac:dyDescent="0.25">
      <c r="I5087" s="268"/>
      <c r="O5087" s="268"/>
    </row>
    <row r="5088" spans="9:15" x14ac:dyDescent="0.25">
      <c r="I5088" s="268"/>
      <c r="O5088" s="268"/>
    </row>
    <row r="5089" spans="9:15" x14ac:dyDescent="0.25">
      <c r="I5089" s="268"/>
      <c r="O5089" s="268"/>
    </row>
    <row r="5090" spans="9:15" x14ac:dyDescent="0.25">
      <c r="I5090" s="268"/>
      <c r="O5090" s="268"/>
    </row>
    <row r="5091" spans="9:15" x14ac:dyDescent="0.25">
      <c r="I5091" s="268"/>
      <c r="O5091" s="268"/>
    </row>
    <row r="5092" spans="9:15" x14ac:dyDescent="0.25">
      <c r="I5092" s="268"/>
      <c r="O5092" s="268"/>
    </row>
    <row r="5093" spans="9:15" x14ac:dyDescent="0.25">
      <c r="I5093" s="268"/>
      <c r="O5093" s="268"/>
    </row>
    <row r="5094" spans="9:15" x14ac:dyDescent="0.25">
      <c r="I5094" s="268"/>
      <c r="O5094" s="268"/>
    </row>
    <row r="5095" spans="9:15" x14ac:dyDescent="0.25">
      <c r="I5095" s="268"/>
      <c r="O5095" s="268"/>
    </row>
    <row r="5096" spans="9:15" x14ac:dyDescent="0.25">
      <c r="I5096" s="268"/>
      <c r="O5096" s="268"/>
    </row>
    <row r="5097" spans="9:15" x14ac:dyDescent="0.25">
      <c r="I5097" s="268"/>
      <c r="O5097" s="268"/>
    </row>
    <row r="5098" spans="9:15" x14ac:dyDescent="0.25">
      <c r="I5098" s="268"/>
      <c r="O5098" s="268"/>
    </row>
    <row r="5099" spans="9:15" x14ac:dyDescent="0.25">
      <c r="I5099" s="268"/>
      <c r="O5099" s="268"/>
    </row>
    <row r="5100" spans="9:15" x14ac:dyDescent="0.25">
      <c r="I5100" s="268"/>
      <c r="O5100" s="268"/>
    </row>
    <row r="5101" spans="9:15" x14ac:dyDescent="0.25">
      <c r="I5101" s="268"/>
      <c r="O5101" s="268"/>
    </row>
    <row r="5102" spans="9:15" x14ac:dyDescent="0.25">
      <c r="I5102" s="268"/>
      <c r="O5102" s="268"/>
    </row>
    <row r="5103" spans="9:15" x14ac:dyDescent="0.25">
      <c r="I5103" s="268"/>
      <c r="O5103" s="268"/>
    </row>
    <row r="5104" spans="9:15" x14ac:dyDescent="0.25">
      <c r="I5104" s="268"/>
      <c r="O5104" s="268"/>
    </row>
    <row r="5105" spans="9:15" x14ac:dyDescent="0.25">
      <c r="I5105" s="268"/>
      <c r="O5105" s="268"/>
    </row>
    <row r="5106" spans="9:15" x14ac:dyDescent="0.25">
      <c r="I5106" s="268"/>
      <c r="O5106" s="268"/>
    </row>
    <row r="5107" spans="9:15" x14ac:dyDescent="0.25">
      <c r="I5107" s="268"/>
      <c r="O5107" s="268"/>
    </row>
    <row r="5108" spans="9:15" x14ac:dyDescent="0.25">
      <c r="I5108" s="268"/>
      <c r="O5108" s="268"/>
    </row>
    <row r="5109" spans="9:15" x14ac:dyDescent="0.25">
      <c r="I5109" s="268"/>
      <c r="O5109" s="268"/>
    </row>
    <row r="5110" spans="9:15" x14ac:dyDescent="0.25">
      <c r="I5110" s="268"/>
      <c r="O5110" s="268"/>
    </row>
    <row r="5111" spans="9:15" x14ac:dyDescent="0.25">
      <c r="I5111" s="268"/>
      <c r="O5111" s="268"/>
    </row>
    <row r="5112" spans="9:15" x14ac:dyDescent="0.25">
      <c r="I5112" s="268"/>
      <c r="O5112" s="268"/>
    </row>
    <row r="5113" spans="9:15" x14ac:dyDescent="0.25">
      <c r="I5113" s="268"/>
      <c r="O5113" s="268"/>
    </row>
    <row r="5114" spans="9:15" x14ac:dyDescent="0.25">
      <c r="I5114" s="268"/>
      <c r="O5114" s="268"/>
    </row>
    <row r="5115" spans="9:15" x14ac:dyDescent="0.25">
      <c r="I5115" s="268"/>
      <c r="O5115" s="268"/>
    </row>
    <row r="5116" spans="9:15" x14ac:dyDescent="0.25">
      <c r="I5116" s="268"/>
      <c r="O5116" s="268"/>
    </row>
    <row r="5117" spans="9:15" x14ac:dyDescent="0.25">
      <c r="I5117" s="268"/>
      <c r="O5117" s="268"/>
    </row>
    <row r="5118" spans="9:15" x14ac:dyDescent="0.25">
      <c r="I5118" s="268"/>
      <c r="O5118" s="268"/>
    </row>
    <row r="5119" spans="9:15" x14ac:dyDescent="0.25">
      <c r="I5119" s="268"/>
      <c r="O5119" s="268"/>
    </row>
    <row r="5120" spans="9:15" x14ac:dyDescent="0.25">
      <c r="I5120" s="268"/>
      <c r="O5120" s="268"/>
    </row>
    <row r="5121" spans="9:15" x14ac:dyDescent="0.25">
      <c r="I5121" s="268"/>
      <c r="O5121" s="268"/>
    </row>
    <row r="5122" spans="9:15" x14ac:dyDescent="0.25">
      <c r="I5122" s="268"/>
      <c r="O5122" s="268"/>
    </row>
    <row r="5123" spans="9:15" x14ac:dyDescent="0.25">
      <c r="I5123" s="268"/>
      <c r="O5123" s="268"/>
    </row>
    <row r="5124" spans="9:15" x14ac:dyDescent="0.25">
      <c r="I5124" s="268"/>
      <c r="O5124" s="268"/>
    </row>
    <row r="5125" spans="9:15" x14ac:dyDescent="0.25">
      <c r="I5125" s="268"/>
      <c r="O5125" s="268"/>
    </row>
    <row r="5126" spans="9:15" x14ac:dyDescent="0.25">
      <c r="I5126" s="268"/>
      <c r="O5126" s="268"/>
    </row>
    <row r="5127" spans="9:15" x14ac:dyDescent="0.25">
      <c r="I5127" s="268"/>
      <c r="O5127" s="268"/>
    </row>
    <row r="5128" spans="9:15" x14ac:dyDescent="0.25">
      <c r="I5128" s="268"/>
      <c r="O5128" s="268"/>
    </row>
    <row r="5129" spans="9:15" x14ac:dyDescent="0.25">
      <c r="I5129" s="268"/>
      <c r="O5129" s="268"/>
    </row>
    <row r="5130" spans="9:15" x14ac:dyDescent="0.25">
      <c r="I5130" s="268"/>
      <c r="O5130" s="268"/>
    </row>
    <row r="5131" spans="9:15" x14ac:dyDescent="0.25">
      <c r="I5131" s="268"/>
      <c r="O5131" s="268"/>
    </row>
    <row r="5132" spans="9:15" x14ac:dyDescent="0.25">
      <c r="I5132" s="268"/>
      <c r="O5132" s="268"/>
    </row>
    <row r="5133" spans="9:15" x14ac:dyDescent="0.25">
      <c r="I5133" s="268"/>
      <c r="O5133" s="268"/>
    </row>
    <row r="5134" spans="9:15" x14ac:dyDescent="0.25">
      <c r="I5134" s="268"/>
      <c r="O5134" s="268"/>
    </row>
    <row r="5135" spans="9:15" x14ac:dyDescent="0.25">
      <c r="I5135" s="268"/>
      <c r="O5135" s="268"/>
    </row>
    <row r="5136" spans="9:15" x14ac:dyDescent="0.25">
      <c r="I5136" s="268"/>
      <c r="O5136" s="268"/>
    </row>
    <row r="5137" spans="9:15" x14ac:dyDescent="0.25">
      <c r="I5137" s="268"/>
      <c r="O5137" s="268"/>
    </row>
    <row r="5138" spans="9:15" x14ac:dyDescent="0.25">
      <c r="I5138" s="268"/>
      <c r="O5138" s="268"/>
    </row>
    <row r="5139" spans="9:15" x14ac:dyDescent="0.25">
      <c r="I5139" s="268"/>
      <c r="O5139" s="268"/>
    </row>
    <row r="5140" spans="9:15" x14ac:dyDescent="0.25">
      <c r="I5140" s="268"/>
      <c r="O5140" s="268"/>
    </row>
    <row r="5141" spans="9:15" x14ac:dyDescent="0.25">
      <c r="I5141" s="268"/>
      <c r="O5141" s="268"/>
    </row>
    <row r="5142" spans="9:15" x14ac:dyDescent="0.25">
      <c r="I5142" s="268"/>
      <c r="O5142" s="268"/>
    </row>
    <row r="5143" spans="9:15" x14ac:dyDescent="0.25">
      <c r="I5143" s="268"/>
      <c r="O5143" s="268"/>
    </row>
    <row r="5144" spans="9:15" x14ac:dyDescent="0.25">
      <c r="I5144" s="268"/>
      <c r="O5144" s="268"/>
    </row>
    <row r="5145" spans="9:15" x14ac:dyDescent="0.25">
      <c r="I5145" s="268"/>
      <c r="O5145" s="268"/>
    </row>
    <row r="5146" spans="9:15" x14ac:dyDescent="0.25">
      <c r="I5146" s="268"/>
      <c r="O5146" s="268"/>
    </row>
    <row r="5147" spans="9:15" x14ac:dyDescent="0.25">
      <c r="I5147" s="268"/>
      <c r="O5147" s="268"/>
    </row>
    <row r="5148" spans="9:15" x14ac:dyDescent="0.25">
      <c r="I5148" s="268"/>
      <c r="O5148" s="268"/>
    </row>
    <row r="5149" spans="9:15" x14ac:dyDescent="0.25">
      <c r="I5149" s="268"/>
      <c r="O5149" s="268"/>
    </row>
    <row r="5150" spans="9:15" x14ac:dyDescent="0.25">
      <c r="I5150" s="268"/>
      <c r="O5150" s="268"/>
    </row>
    <row r="5151" spans="9:15" x14ac:dyDescent="0.25">
      <c r="I5151" s="268"/>
      <c r="O5151" s="268"/>
    </row>
    <row r="5152" spans="9:15" x14ac:dyDescent="0.25">
      <c r="I5152" s="268"/>
      <c r="O5152" s="268"/>
    </row>
    <row r="5153" spans="9:15" x14ac:dyDescent="0.25">
      <c r="I5153" s="268"/>
      <c r="O5153" s="268"/>
    </row>
    <row r="5154" spans="9:15" x14ac:dyDescent="0.25">
      <c r="I5154" s="268"/>
      <c r="O5154" s="268"/>
    </row>
    <row r="5155" spans="9:15" x14ac:dyDescent="0.25">
      <c r="I5155" s="268"/>
      <c r="O5155" s="268"/>
    </row>
    <row r="5156" spans="9:15" x14ac:dyDescent="0.25">
      <c r="I5156" s="268"/>
      <c r="O5156" s="268"/>
    </row>
    <row r="5157" spans="9:15" x14ac:dyDescent="0.25">
      <c r="I5157" s="268"/>
      <c r="O5157" s="268"/>
    </row>
    <row r="5158" spans="9:15" x14ac:dyDescent="0.25">
      <c r="I5158" s="268"/>
      <c r="O5158" s="268"/>
    </row>
    <row r="5159" spans="9:15" x14ac:dyDescent="0.25">
      <c r="I5159" s="268"/>
      <c r="O5159" s="268"/>
    </row>
    <row r="5160" spans="9:15" x14ac:dyDescent="0.25">
      <c r="I5160" s="268"/>
      <c r="O5160" s="268"/>
    </row>
    <row r="5161" spans="9:15" x14ac:dyDescent="0.25">
      <c r="I5161" s="268"/>
      <c r="O5161" s="268"/>
    </row>
    <row r="5162" spans="9:15" x14ac:dyDescent="0.25">
      <c r="I5162" s="268"/>
      <c r="O5162" s="268"/>
    </row>
    <row r="5163" spans="9:15" x14ac:dyDescent="0.25">
      <c r="I5163" s="268"/>
      <c r="O5163" s="268"/>
    </row>
    <row r="5164" spans="9:15" x14ac:dyDescent="0.25">
      <c r="I5164" s="268"/>
      <c r="O5164" s="268"/>
    </row>
    <row r="5165" spans="9:15" x14ac:dyDescent="0.25">
      <c r="I5165" s="268"/>
      <c r="O5165" s="268"/>
    </row>
    <row r="5166" spans="9:15" x14ac:dyDescent="0.25">
      <c r="I5166" s="268"/>
      <c r="O5166" s="268"/>
    </row>
    <row r="5167" spans="9:15" x14ac:dyDescent="0.25">
      <c r="I5167" s="268"/>
      <c r="O5167" s="268"/>
    </row>
    <row r="5168" spans="9:15" x14ac:dyDescent="0.25">
      <c r="I5168" s="268"/>
      <c r="O5168" s="268"/>
    </row>
    <row r="5169" spans="9:15" x14ac:dyDescent="0.25">
      <c r="I5169" s="268"/>
      <c r="O5169" s="268"/>
    </row>
    <row r="5170" spans="9:15" x14ac:dyDescent="0.25">
      <c r="I5170" s="268"/>
      <c r="O5170" s="268"/>
    </row>
    <row r="5171" spans="9:15" x14ac:dyDescent="0.25">
      <c r="I5171" s="268"/>
      <c r="O5171" s="268"/>
    </row>
    <row r="5172" spans="9:15" x14ac:dyDescent="0.25">
      <c r="I5172" s="268"/>
      <c r="O5172" s="268"/>
    </row>
    <row r="5173" spans="9:15" x14ac:dyDescent="0.25">
      <c r="I5173" s="268"/>
      <c r="O5173" s="268"/>
    </row>
    <row r="5174" spans="9:15" x14ac:dyDescent="0.25">
      <c r="I5174" s="268"/>
      <c r="O5174" s="268"/>
    </row>
    <row r="5175" spans="9:15" x14ac:dyDescent="0.25">
      <c r="I5175" s="268"/>
      <c r="O5175" s="268"/>
    </row>
    <row r="5176" spans="9:15" x14ac:dyDescent="0.25">
      <c r="I5176" s="268"/>
      <c r="O5176" s="268"/>
    </row>
    <row r="5177" spans="9:15" x14ac:dyDescent="0.25">
      <c r="I5177" s="268"/>
      <c r="O5177" s="268"/>
    </row>
    <row r="5178" spans="9:15" x14ac:dyDescent="0.25">
      <c r="I5178" s="268"/>
      <c r="O5178" s="268"/>
    </row>
    <row r="5179" spans="9:15" x14ac:dyDescent="0.25">
      <c r="I5179" s="268"/>
      <c r="O5179" s="268"/>
    </row>
    <row r="5180" spans="9:15" x14ac:dyDescent="0.25">
      <c r="I5180" s="268"/>
      <c r="O5180" s="268"/>
    </row>
    <row r="5181" spans="9:15" x14ac:dyDescent="0.25">
      <c r="I5181" s="268"/>
      <c r="O5181" s="268"/>
    </row>
    <row r="5182" spans="9:15" x14ac:dyDescent="0.25">
      <c r="I5182" s="268"/>
      <c r="O5182" s="268"/>
    </row>
    <row r="5183" spans="9:15" x14ac:dyDescent="0.25">
      <c r="I5183" s="268"/>
      <c r="O5183" s="268"/>
    </row>
    <row r="5184" spans="9:15" x14ac:dyDescent="0.25">
      <c r="I5184" s="268"/>
      <c r="O5184" s="268"/>
    </row>
    <row r="5185" spans="9:15" x14ac:dyDescent="0.25">
      <c r="I5185" s="268"/>
      <c r="O5185" s="268"/>
    </row>
    <row r="5186" spans="9:15" x14ac:dyDescent="0.25">
      <c r="I5186" s="268"/>
      <c r="O5186" s="268"/>
    </row>
    <row r="5187" spans="9:15" x14ac:dyDescent="0.25">
      <c r="I5187" s="268"/>
      <c r="O5187" s="268"/>
    </row>
    <row r="5188" spans="9:15" x14ac:dyDescent="0.25">
      <c r="I5188" s="268"/>
      <c r="O5188" s="268"/>
    </row>
    <row r="5189" spans="9:15" x14ac:dyDescent="0.25">
      <c r="I5189" s="268"/>
      <c r="O5189" s="268"/>
    </row>
    <row r="5190" spans="9:15" x14ac:dyDescent="0.25">
      <c r="I5190" s="268"/>
      <c r="O5190" s="268"/>
    </row>
    <row r="5191" spans="9:15" x14ac:dyDescent="0.25">
      <c r="I5191" s="268"/>
      <c r="O5191" s="268"/>
    </row>
    <row r="5192" spans="9:15" x14ac:dyDescent="0.25">
      <c r="I5192" s="268"/>
      <c r="O5192" s="268"/>
    </row>
    <row r="5193" spans="9:15" x14ac:dyDescent="0.25">
      <c r="I5193" s="268"/>
      <c r="O5193" s="268"/>
    </row>
    <row r="5194" spans="9:15" x14ac:dyDescent="0.25">
      <c r="I5194" s="268"/>
      <c r="O5194" s="268"/>
    </row>
    <row r="5195" spans="9:15" x14ac:dyDescent="0.25">
      <c r="I5195" s="268"/>
      <c r="O5195" s="268"/>
    </row>
    <row r="5196" spans="9:15" x14ac:dyDescent="0.25">
      <c r="I5196" s="268"/>
      <c r="O5196" s="268"/>
    </row>
    <row r="5197" spans="9:15" x14ac:dyDescent="0.25">
      <c r="I5197" s="268"/>
      <c r="O5197" s="268"/>
    </row>
    <row r="5198" spans="9:15" x14ac:dyDescent="0.25">
      <c r="I5198" s="268"/>
      <c r="O5198" s="268"/>
    </row>
    <row r="5199" spans="9:15" x14ac:dyDescent="0.25">
      <c r="I5199" s="268"/>
      <c r="O5199" s="268"/>
    </row>
    <row r="5200" spans="9:15" x14ac:dyDescent="0.25">
      <c r="I5200" s="268"/>
      <c r="O5200" s="268"/>
    </row>
    <row r="5201" spans="9:15" x14ac:dyDescent="0.25">
      <c r="I5201" s="268"/>
      <c r="O5201" s="268"/>
    </row>
    <row r="5202" spans="9:15" x14ac:dyDescent="0.25">
      <c r="I5202" s="268"/>
      <c r="O5202" s="268"/>
    </row>
    <row r="5203" spans="9:15" x14ac:dyDescent="0.25">
      <c r="I5203" s="268"/>
      <c r="O5203" s="268"/>
    </row>
    <row r="5204" spans="9:15" x14ac:dyDescent="0.25">
      <c r="I5204" s="268"/>
      <c r="O5204" s="268"/>
    </row>
    <row r="5205" spans="9:15" x14ac:dyDescent="0.25">
      <c r="I5205" s="268"/>
      <c r="O5205" s="268"/>
    </row>
    <row r="5206" spans="9:15" x14ac:dyDescent="0.25">
      <c r="I5206" s="268"/>
      <c r="O5206" s="268"/>
    </row>
    <row r="5207" spans="9:15" x14ac:dyDescent="0.25">
      <c r="I5207" s="268"/>
      <c r="O5207" s="268"/>
    </row>
    <row r="5208" spans="9:15" x14ac:dyDescent="0.25">
      <c r="I5208" s="268"/>
      <c r="O5208" s="268"/>
    </row>
    <row r="5209" spans="9:15" x14ac:dyDescent="0.25">
      <c r="I5209" s="268"/>
      <c r="O5209" s="268"/>
    </row>
    <row r="5210" spans="9:15" x14ac:dyDescent="0.25">
      <c r="I5210" s="268"/>
      <c r="O5210" s="268"/>
    </row>
    <row r="5211" spans="9:15" x14ac:dyDescent="0.25">
      <c r="I5211" s="268"/>
      <c r="O5211" s="268"/>
    </row>
    <row r="5212" spans="9:15" x14ac:dyDescent="0.25">
      <c r="I5212" s="268"/>
      <c r="O5212" s="268"/>
    </row>
    <row r="5213" spans="9:15" x14ac:dyDescent="0.25">
      <c r="I5213" s="268"/>
      <c r="O5213" s="268"/>
    </row>
    <row r="5214" spans="9:15" x14ac:dyDescent="0.25">
      <c r="I5214" s="268"/>
      <c r="O5214" s="268"/>
    </row>
    <row r="5215" spans="9:15" x14ac:dyDescent="0.25">
      <c r="I5215" s="268"/>
      <c r="O5215" s="268"/>
    </row>
    <row r="5216" spans="9:15" x14ac:dyDescent="0.25">
      <c r="I5216" s="268"/>
      <c r="O5216" s="268"/>
    </row>
    <row r="5217" spans="9:15" x14ac:dyDescent="0.25">
      <c r="I5217" s="268"/>
      <c r="O5217" s="268"/>
    </row>
    <row r="5218" spans="9:15" x14ac:dyDescent="0.25">
      <c r="I5218" s="268"/>
      <c r="O5218" s="268"/>
    </row>
    <row r="5219" spans="9:15" x14ac:dyDescent="0.25">
      <c r="I5219" s="268"/>
      <c r="O5219" s="268"/>
    </row>
    <row r="5220" spans="9:15" x14ac:dyDescent="0.25">
      <c r="I5220" s="268"/>
      <c r="O5220" s="268"/>
    </row>
    <row r="5221" spans="9:15" x14ac:dyDescent="0.25">
      <c r="I5221" s="268"/>
      <c r="O5221" s="268"/>
    </row>
    <row r="5222" spans="9:15" x14ac:dyDescent="0.25">
      <c r="I5222" s="268"/>
      <c r="O5222" s="268"/>
    </row>
    <row r="5223" spans="9:15" x14ac:dyDescent="0.25">
      <c r="I5223" s="268"/>
      <c r="O5223" s="268"/>
    </row>
    <row r="5224" spans="9:15" x14ac:dyDescent="0.25">
      <c r="I5224" s="268"/>
      <c r="O5224" s="268"/>
    </row>
    <row r="5225" spans="9:15" x14ac:dyDescent="0.25">
      <c r="I5225" s="268"/>
      <c r="O5225" s="268"/>
    </row>
    <row r="5226" spans="9:15" x14ac:dyDescent="0.25">
      <c r="I5226" s="268"/>
      <c r="O5226" s="268"/>
    </row>
    <row r="5227" spans="9:15" x14ac:dyDescent="0.25">
      <c r="I5227" s="268"/>
      <c r="O5227" s="268"/>
    </row>
    <row r="5228" spans="9:15" x14ac:dyDescent="0.25">
      <c r="I5228" s="268"/>
      <c r="O5228" s="268"/>
    </row>
    <row r="5229" spans="9:15" x14ac:dyDescent="0.25">
      <c r="I5229" s="268"/>
      <c r="O5229" s="268"/>
    </row>
    <row r="5230" spans="9:15" x14ac:dyDescent="0.25">
      <c r="I5230" s="268"/>
      <c r="O5230" s="268"/>
    </row>
    <row r="5231" spans="9:15" x14ac:dyDescent="0.25">
      <c r="I5231" s="268"/>
      <c r="O5231" s="268"/>
    </row>
    <row r="5232" spans="9:15" x14ac:dyDescent="0.25">
      <c r="I5232" s="268"/>
      <c r="O5232" s="268"/>
    </row>
    <row r="5233" spans="9:15" x14ac:dyDescent="0.25">
      <c r="I5233" s="268"/>
      <c r="O5233" s="268"/>
    </row>
    <row r="5234" spans="9:15" x14ac:dyDescent="0.25">
      <c r="I5234" s="268"/>
      <c r="O5234" s="268"/>
    </row>
    <row r="5235" spans="9:15" x14ac:dyDescent="0.25">
      <c r="I5235" s="268"/>
      <c r="O5235" s="268"/>
    </row>
    <row r="5236" spans="9:15" x14ac:dyDescent="0.25">
      <c r="I5236" s="268"/>
      <c r="O5236" s="268"/>
    </row>
    <row r="5237" spans="9:15" x14ac:dyDescent="0.25">
      <c r="I5237" s="268"/>
      <c r="O5237" s="268"/>
    </row>
    <row r="5238" spans="9:15" x14ac:dyDescent="0.25">
      <c r="I5238" s="268"/>
      <c r="O5238" s="268"/>
    </row>
    <row r="5239" spans="9:15" x14ac:dyDescent="0.25">
      <c r="I5239" s="268"/>
      <c r="O5239" s="268"/>
    </row>
    <row r="5240" spans="9:15" x14ac:dyDescent="0.25">
      <c r="I5240" s="268"/>
      <c r="O5240" s="268"/>
    </row>
    <row r="5241" spans="9:15" x14ac:dyDescent="0.25">
      <c r="I5241" s="268"/>
      <c r="O5241" s="268"/>
    </row>
    <row r="5242" spans="9:15" x14ac:dyDescent="0.25">
      <c r="I5242" s="268"/>
      <c r="O5242" s="268"/>
    </row>
    <row r="5243" spans="9:15" x14ac:dyDescent="0.25">
      <c r="I5243" s="268"/>
      <c r="O5243" s="268"/>
    </row>
    <row r="5244" spans="9:15" x14ac:dyDescent="0.25">
      <c r="I5244" s="268"/>
      <c r="O5244" s="268"/>
    </row>
    <row r="5245" spans="9:15" x14ac:dyDescent="0.25">
      <c r="I5245" s="268"/>
      <c r="O5245" s="268"/>
    </row>
    <row r="5246" spans="9:15" x14ac:dyDescent="0.25">
      <c r="I5246" s="268"/>
      <c r="O5246" s="268"/>
    </row>
    <row r="5247" spans="9:15" x14ac:dyDescent="0.25">
      <c r="I5247" s="268"/>
      <c r="O5247" s="268"/>
    </row>
    <row r="5248" spans="9:15" x14ac:dyDescent="0.25">
      <c r="I5248" s="268"/>
      <c r="O5248" s="268"/>
    </row>
    <row r="5249" spans="9:15" x14ac:dyDescent="0.25">
      <c r="I5249" s="268"/>
      <c r="O5249" s="268"/>
    </row>
    <row r="5250" spans="9:15" x14ac:dyDescent="0.25">
      <c r="I5250" s="268"/>
      <c r="O5250" s="268"/>
    </row>
    <row r="5251" spans="9:15" x14ac:dyDescent="0.25">
      <c r="I5251" s="268"/>
      <c r="O5251" s="268"/>
    </row>
    <row r="5252" spans="9:15" x14ac:dyDescent="0.25">
      <c r="I5252" s="268"/>
      <c r="O5252" s="268"/>
    </row>
    <row r="5253" spans="9:15" x14ac:dyDescent="0.25">
      <c r="I5253" s="268"/>
      <c r="O5253" s="268"/>
    </row>
    <row r="5254" spans="9:15" x14ac:dyDescent="0.25">
      <c r="I5254" s="268"/>
      <c r="O5254" s="268"/>
    </row>
    <row r="5255" spans="9:15" x14ac:dyDescent="0.25">
      <c r="I5255" s="268"/>
      <c r="O5255" s="268"/>
    </row>
    <row r="5256" spans="9:15" x14ac:dyDescent="0.25">
      <c r="I5256" s="268"/>
      <c r="O5256" s="268"/>
    </row>
    <row r="5257" spans="9:15" x14ac:dyDescent="0.25">
      <c r="I5257" s="268"/>
      <c r="O5257" s="268"/>
    </row>
    <row r="5258" spans="9:15" x14ac:dyDescent="0.25">
      <c r="I5258" s="268"/>
      <c r="O5258" s="268"/>
    </row>
    <row r="5259" spans="9:15" x14ac:dyDescent="0.25">
      <c r="I5259" s="268"/>
      <c r="O5259" s="268"/>
    </row>
    <row r="5260" spans="9:15" x14ac:dyDescent="0.25">
      <c r="I5260" s="268"/>
      <c r="O5260" s="268"/>
    </row>
    <row r="5261" spans="9:15" x14ac:dyDescent="0.25">
      <c r="I5261" s="268"/>
      <c r="O5261" s="268"/>
    </row>
    <row r="5262" spans="9:15" x14ac:dyDescent="0.25">
      <c r="I5262" s="268"/>
      <c r="O5262" s="268"/>
    </row>
    <row r="5263" spans="9:15" x14ac:dyDescent="0.25">
      <c r="I5263" s="268"/>
      <c r="O5263" s="268"/>
    </row>
    <row r="5264" spans="9:15" x14ac:dyDescent="0.25">
      <c r="I5264" s="268"/>
      <c r="O5264" s="268"/>
    </row>
    <row r="5265" spans="9:15" x14ac:dyDescent="0.25">
      <c r="I5265" s="268"/>
      <c r="O5265" s="268"/>
    </row>
    <row r="5266" spans="9:15" x14ac:dyDescent="0.25">
      <c r="I5266" s="268"/>
      <c r="O5266" s="268"/>
    </row>
    <row r="5267" spans="9:15" x14ac:dyDescent="0.25">
      <c r="I5267" s="268"/>
      <c r="O5267" s="268"/>
    </row>
    <row r="5268" spans="9:15" x14ac:dyDescent="0.25">
      <c r="I5268" s="268"/>
      <c r="O5268" s="268"/>
    </row>
    <row r="5269" spans="9:15" x14ac:dyDescent="0.25">
      <c r="I5269" s="268"/>
      <c r="O5269" s="268"/>
    </row>
    <row r="5270" spans="9:15" x14ac:dyDescent="0.25">
      <c r="I5270" s="268"/>
      <c r="O5270" s="268"/>
    </row>
    <row r="5271" spans="9:15" x14ac:dyDescent="0.25">
      <c r="I5271" s="268"/>
      <c r="O5271" s="268"/>
    </row>
    <row r="5272" spans="9:15" x14ac:dyDescent="0.25">
      <c r="I5272" s="268"/>
      <c r="O5272" s="268"/>
    </row>
    <row r="5273" spans="9:15" x14ac:dyDescent="0.25">
      <c r="I5273" s="268"/>
      <c r="O5273" s="268"/>
    </row>
    <row r="5274" spans="9:15" x14ac:dyDescent="0.25">
      <c r="I5274" s="268"/>
      <c r="O5274" s="268"/>
    </row>
    <row r="5275" spans="9:15" x14ac:dyDescent="0.25">
      <c r="I5275" s="268"/>
      <c r="O5275" s="268"/>
    </row>
    <row r="5276" spans="9:15" x14ac:dyDescent="0.25">
      <c r="I5276" s="268"/>
      <c r="O5276" s="268"/>
    </row>
    <row r="5277" spans="9:15" x14ac:dyDescent="0.25">
      <c r="I5277" s="268"/>
      <c r="O5277" s="268"/>
    </row>
    <row r="5278" spans="9:15" x14ac:dyDescent="0.25">
      <c r="I5278" s="268"/>
      <c r="O5278" s="268"/>
    </row>
    <row r="5279" spans="9:15" x14ac:dyDescent="0.25">
      <c r="I5279" s="268"/>
      <c r="O5279" s="268"/>
    </row>
    <row r="5280" spans="9:15" x14ac:dyDescent="0.25">
      <c r="I5280" s="268"/>
      <c r="O5280" s="268"/>
    </row>
    <row r="5281" spans="9:15" x14ac:dyDescent="0.25">
      <c r="I5281" s="268"/>
      <c r="O5281" s="268"/>
    </row>
    <row r="5282" spans="9:15" x14ac:dyDescent="0.25">
      <c r="I5282" s="268"/>
      <c r="O5282" s="268"/>
    </row>
    <row r="5283" spans="9:15" x14ac:dyDescent="0.25">
      <c r="I5283" s="268"/>
      <c r="O5283" s="268"/>
    </row>
    <row r="5284" spans="9:15" x14ac:dyDescent="0.25">
      <c r="I5284" s="268"/>
      <c r="O5284" s="268"/>
    </row>
    <row r="5285" spans="9:15" x14ac:dyDescent="0.25">
      <c r="I5285" s="268"/>
      <c r="O5285" s="268"/>
    </row>
    <row r="5286" spans="9:15" x14ac:dyDescent="0.25">
      <c r="I5286" s="268"/>
      <c r="O5286" s="268"/>
    </row>
    <row r="5287" spans="9:15" x14ac:dyDescent="0.25">
      <c r="I5287" s="268"/>
      <c r="O5287" s="268"/>
    </row>
    <row r="5288" spans="9:15" x14ac:dyDescent="0.25">
      <c r="I5288" s="268"/>
      <c r="O5288" s="268"/>
    </row>
    <row r="5289" spans="9:15" x14ac:dyDescent="0.25">
      <c r="I5289" s="268"/>
      <c r="O5289" s="268"/>
    </row>
    <row r="5290" spans="9:15" x14ac:dyDescent="0.25">
      <c r="I5290" s="268"/>
      <c r="O5290" s="268"/>
    </row>
    <row r="5291" spans="9:15" x14ac:dyDescent="0.25">
      <c r="I5291" s="268"/>
      <c r="O5291" s="268"/>
    </row>
    <row r="5292" spans="9:15" x14ac:dyDescent="0.25">
      <c r="I5292" s="268"/>
      <c r="O5292" s="268"/>
    </row>
    <row r="5293" spans="9:15" x14ac:dyDescent="0.25">
      <c r="I5293" s="268"/>
      <c r="O5293" s="268"/>
    </row>
    <row r="5294" spans="9:15" x14ac:dyDescent="0.25">
      <c r="I5294" s="268"/>
      <c r="O5294" s="268"/>
    </row>
    <row r="5295" spans="9:15" x14ac:dyDescent="0.25">
      <c r="I5295" s="268"/>
      <c r="O5295" s="268"/>
    </row>
    <row r="5296" spans="9:15" x14ac:dyDescent="0.25">
      <c r="I5296" s="268"/>
      <c r="O5296" s="268"/>
    </row>
    <row r="5297" spans="9:15" x14ac:dyDescent="0.25">
      <c r="I5297" s="268"/>
      <c r="O5297" s="268"/>
    </row>
    <row r="5298" spans="9:15" x14ac:dyDescent="0.25">
      <c r="I5298" s="268"/>
      <c r="O5298" s="268"/>
    </row>
    <row r="5299" spans="9:15" x14ac:dyDescent="0.25">
      <c r="I5299" s="268"/>
      <c r="O5299" s="268"/>
    </row>
    <row r="5300" spans="9:15" x14ac:dyDescent="0.25">
      <c r="I5300" s="268"/>
      <c r="O5300" s="268"/>
    </row>
    <row r="5301" spans="9:15" x14ac:dyDescent="0.25">
      <c r="I5301" s="268"/>
      <c r="O5301" s="268"/>
    </row>
    <row r="5302" spans="9:15" x14ac:dyDescent="0.25">
      <c r="I5302" s="268"/>
      <c r="O5302" s="268"/>
    </row>
    <row r="5303" spans="9:15" x14ac:dyDescent="0.25">
      <c r="I5303" s="268"/>
      <c r="O5303" s="268"/>
    </row>
    <row r="5304" spans="9:15" x14ac:dyDescent="0.25">
      <c r="I5304" s="268"/>
      <c r="O5304" s="268"/>
    </row>
    <row r="5305" spans="9:15" x14ac:dyDescent="0.25">
      <c r="I5305" s="268"/>
      <c r="O5305" s="268"/>
    </row>
    <row r="5306" spans="9:15" x14ac:dyDescent="0.25">
      <c r="I5306" s="268"/>
      <c r="O5306" s="268"/>
    </row>
    <row r="5307" spans="9:15" x14ac:dyDescent="0.25">
      <c r="I5307" s="268"/>
      <c r="O5307" s="268"/>
    </row>
    <row r="5308" spans="9:15" x14ac:dyDescent="0.25">
      <c r="I5308" s="268"/>
      <c r="O5308" s="268"/>
    </row>
    <row r="5309" spans="9:15" x14ac:dyDescent="0.25">
      <c r="I5309" s="268"/>
      <c r="O5309" s="268"/>
    </row>
    <row r="5310" spans="9:15" x14ac:dyDescent="0.25">
      <c r="I5310" s="268"/>
      <c r="O5310" s="268"/>
    </row>
    <row r="5311" spans="9:15" x14ac:dyDescent="0.25">
      <c r="I5311" s="268"/>
      <c r="O5311" s="268"/>
    </row>
    <row r="5312" spans="9:15" x14ac:dyDescent="0.25">
      <c r="I5312" s="268"/>
      <c r="O5312" s="268"/>
    </row>
    <row r="5313" spans="9:15" x14ac:dyDescent="0.25">
      <c r="I5313" s="268"/>
      <c r="O5313" s="268"/>
    </row>
    <row r="5314" spans="9:15" x14ac:dyDescent="0.25">
      <c r="I5314" s="268"/>
      <c r="O5314" s="268"/>
    </row>
    <row r="5315" spans="9:15" x14ac:dyDescent="0.25">
      <c r="I5315" s="268"/>
      <c r="O5315" s="268"/>
    </row>
    <row r="5316" spans="9:15" x14ac:dyDescent="0.25">
      <c r="I5316" s="268"/>
      <c r="O5316" s="268"/>
    </row>
    <row r="5317" spans="9:15" x14ac:dyDescent="0.25">
      <c r="I5317" s="268"/>
      <c r="O5317" s="268"/>
    </row>
    <row r="5318" spans="9:15" x14ac:dyDescent="0.25">
      <c r="I5318" s="268"/>
      <c r="O5318" s="268"/>
    </row>
    <row r="5319" spans="9:15" x14ac:dyDescent="0.25">
      <c r="I5319" s="268"/>
      <c r="O5319" s="268"/>
    </row>
    <row r="5320" spans="9:15" x14ac:dyDescent="0.25">
      <c r="I5320" s="268"/>
      <c r="O5320" s="268"/>
    </row>
    <row r="5321" spans="9:15" x14ac:dyDescent="0.25">
      <c r="I5321" s="268"/>
      <c r="O5321" s="268"/>
    </row>
    <row r="5322" spans="9:15" x14ac:dyDescent="0.25">
      <c r="I5322" s="268"/>
      <c r="O5322" s="268"/>
    </row>
    <row r="5323" spans="9:15" x14ac:dyDescent="0.25">
      <c r="I5323" s="268"/>
      <c r="O5323" s="268"/>
    </row>
    <row r="5324" spans="9:15" x14ac:dyDescent="0.25">
      <c r="I5324" s="268"/>
      <c r="O5324" s="268"/>
    </row>
    <row r="5325" spans="9:15" x14ac:dyDescent="0.25">
      <c r="I5325" s="268"/>
      <c r="O5325" s="268"/>
    </row>
    <row r="5326" spans="9:15" x14ac:dyDescent="0.25">
      <c r="I5326" s="268"/>
      <c r="O5326" s="268"/>
    </row>
    <row r="5327" spans="9:15" x14ac:dyDescent="0.25">
      <c r="I5327" s="268"/>
      <c r="O5327" s="268"/>
    </row>
    <row r="5328" spans="9:15" x14ac:dyDescent="0.25">
      <c r="I5328" s="268"/>
      <c r="O5328" s="268"/>
    </row>
    <row r="5329" spans="9:15" x14ac:dyDescent="0.25">
      <c r="I5329" s="268"/>
      <c r="O5329" s="268"/>
    </row>
    <row r="5330" spans="9:15" x14ac:dyDescent="0.25">
      <c r="I5330" s="268"/>
      <c r="O5330" s="268"/>
    </row>
    <row r="5331" spans="9:15" x14ac:dyDescent="0.25">
      <c r="I5331" s="268"/>
      <c r="O5331" s="268"/>
    </row>
    <row r="5332" spans="9:15" x14ac:dyDescent="0.25">
      <c r="I5332" s="268"/>
      <c r="O5332" s="268"/>
    </row>
    <row r="5333" spans="9:15" x14ac:dyDescent="0.25">
      <c r="I5333" s="268"/>
      <c r="O5333" s="268"/>
    </row>
    <row r="5334" spans="9:15" x14ac:dyDescent="0.25">
      <c r="I5334" s="268"/>
      <c r="O5334" s="268"/>
    </row>
    <row r="5335" spans="9:15" x14ac:dyDescent="0.25">
      <c r="I5335" s="268"/>
      <c r="O5335" s="268"/>
    </row>
    <row r="5336" spans="9:15" x14ac:dyDescent="0.25">
      <c r="I5336" s="268"/>
      <c r="O5336" s="268"/>
    </row>
    <row r="5337" spans="9:15" x14ac:dyDescent="0.25">
      <c r="I5337" s="268"/>
      <c r="O5337" s="268"/>
    </row>
    <row r="5338" spans="9:15" x14ac:dyDescent="0.25">
      <c r="I5338" s="268"/>
      <c r="O5338" s="268"/>
    </row>
    <row r="5339" spans="9:15" x14ac:dyDescent="0.25">
      <c r="I5339" s="268"/>
      <c r="O5339" s="268"/>
    </row>
    <row r="5340" spans="9:15" x14ac:dyDescent="0.25">
      <c r="I5340" s="268"/>
      <c r="O5340" s="268"/>
    </row>
    <row r="5341" spans="9:15" x14ac:dyDescent="0.25">
      <c r="I5341" s="268"/>
      <c r="O5341" s="268"/>
    </row>
    <row r="5342" spans="9:15" x14ac:dyDescent="0.25">
      <c r="I5342" s="268"/>
      <c r="O5342" s="268"/>
    </row>
    <row r="5343" spans="9:15" x14ac:dyDescent="0.25">
      <c r="I5343" s="268"/>
      <c r="O5343" s="268"/>
    </row>
    <row r="5344" spans="9:15" x14ac:dyDescent="0.25">
      <c r="I5344" s="268"/>
      <c r="O5344" s="268"/>
    </row>
    <row r="5345" spans="9:15" x14ac:dyDescent="0.25">
      <c r="I5345" s="268"/>
      <c r="O5345" s="268"/>
    </row>
    <row r="5346" spans="9:15" x14ac:dyDescent="0.25">
      <c r="I5346" s="268"/>
      <c r="O5346" s="268"/>
    </row>
    <row r="5347" spans="9:15" x14ac:dyDescent="0.25">
      <c r="I5347" s="268"/>
      <c r="O5347" s="268"/>
    </row>
    <row r="5348" spans="9:15" x14ac:dyDescent="0.25">
      <c r="I5348" s="268"/>
      <c r="O5348" s="268"/>
    </row>
    <row r="5349" spans="9:15" x14ac:dyDescent="0.25">
      <c r="I5349" s="268"/>
      <c r="O5349" s="268"/>
    </row>
    <row r="5350" spans="9:15" x14ac:dyDescent="0.25">
      <c r="I5350" s="268"/>
      <c r="O5350" s="268"/>
    </row>
    <row r="5351" spans="9:15" x14ac:dyDescent="0.25">
      <c r="I5351" s="268"/>
      <c r="O5351" s="268"/>
    </row>
    <row r="5352" spans="9:15" x14ac:dyDescent="0.25">
      <c r="I5352" s="268"/>
      <c r="O5352" s="268"/>
    </row>
    <row r="5353" spans="9:15" x14ac:dyDescent="0.25">
      <c r="I5353" s="268"/>
      <c r="O5353" s="268"/>
    </row>
    <row r="5354" spans="9:15" x14ac:dyDescent="0.25">
      <c r="I5354" s="268"/>
      <c r="O5354" s="268"/>
    </row>
    <row r="5355" spans="9:15" x14ac:dyDescent="0.25">
      <c r="I5355" s="268"/>
      <c r="O5355" s="268"/>
    </row>
    <row r="5356" spans="9:15" x14ac:dyDescent="0.25">
      <c r="I5356" s="268"/>
      <c r="O5356" s="268"/>
    </row>
    <row r="5357" spans="9:15" x14ac:dyDescent="0.25">
      <c r="I5357" s="268"/>
      <c r="O5357" s="268"/>
    </row>
    <row r="5358" spans="9:15" x14ac:dyDescent="0.25">
      <c r="I5358" s="268"/>
      <c r="O5358" s="268"/>
    </row>
    <row r="5359" spans="9:15" x14ac:dyDescent="0.25">
      <c r="I5359" s="268"/>
      <c r="O5359" s="268"/>
    </row>
    <row r="5360" spans="9:15" x14ac:dyDescent="0.25">
      <c r="I5360" s="268"/>
      <c r="O5360" s="268"/>
    </row>
    <row r="5361" spans="9:15" x14ac:dyDescent="0.25">
      <c r="I5361" s="268"/>
      <c r="O5361" s="268"/>
    </row>
    <row r="5362" spans="9:15" x14ac:dyDescent="0.25">
      <c r="I5362" s="268"/>
      <c r="O5362" s="268"/>
    </row>
    <row r="5363" spans="9:15" x14ac:dyDescent="0.25">
      <c r="I5363" s="268"/>
      <c r="O5363" s="268"/>
    </row>
    <row r="5364" spans="9:15" x14ac:dyDescent="0.25">
      <c r="I5364" s="268"/>
      <c r="O5364" s="268"/>
    </row>
    <row r="5365" spans="9:15" x14ac:dyDescent="0.25">
      <c r="I5365" s="268"/>
      <c r="O5365" s="268"/>
    </row>
    <row r="5366" spans="9:15" x14ac:dyDescent="0.25">
      <c r="I5366" s="268"/>
      <c r="O5366" s="268"/>
    </row>
    <row r="5367" spans="9:15" x14ac:dyDescent="0.25">
      <c r="I5367" s="268"/>
      <c r="O5367" s="268"/>
    </row>
    <row r="5368" spans="9:15" x14ac:dyDescent="0.25">
      <c r="I5368" s="268"/>
      <c r="O5368" s="268"/>
    </row>
    <row r="5369" spans="9:15" x14ac:dyDescent="0.25">
      <c r="I5369" s="268"/>
      <c r="O5369" s="268"/>
    </row>
    <row r="5370" spans="9:15" x14ac:dyDescent="0.25">
      <c r="I5370" s="268"/>
      <c r="O5370" s="268"/>
    </row>
    <row r="5371" spans="9:15" x14ac:dyDescent="0.25">
      <c r="I5371" s="268"/>
      <c r="O5371" s="268"/>
    </row>
    <row r="5372" spans="9:15" x14ac:dyDescent="0.25">
      <c r="I5372" s="268"/>
      <c r="O5372" s="268"/>
    </row>
    <row r="5373" spans="9:15" x14ac:dyDescent="0.25">
      <c r="I5373" s="268"/>
      <c r="O5373" s="268"/>
    </row>
    <row r="5374" spans="9:15" x14ac:dyDescent="0.25">
      <c r="I5374" s="268"/>
      <c r="O5374" s="268"/>
    </row>
    <row r="5375" spans="9:15" x14ac:dyDescent="0.25">
      <c r="I5375" s="268"/>
      <c r="O5375" s="268"/>
    </row>
    <row r="5376" spans="9:15" x14ac:dyDescent="0.25">
      <c r="I5376" s="268"/>
      <c r="O5376" s="268"/>
    </row>
    <row r="5377" spans="9:15" x14ac:dyDescent="0.25">
      <c r="I5377" s="268"/>
      <c r="O5377" s="268"/>
    </row>
    <row r="5378" spans="9:15" x14ac:dyDescent="0.25">
      <c r="I5378" s="268"/>
      <c r="O5378" s="268"/>
    </row>
    <row r="5379" spans="9:15" x14ac:dyDescent="0.25">
      <c r="I5379" s="268"/>
      <c r="O5379" s="268"/>
    </row>
    <row r="5380" spans="9:15" x14ac:dyDescent="0.25">
      <c r="I5380" s="268"/>
      <c r="O5380" s="268"/>
    </row>
    <row r="5381" spans="9:15" x14ac:dyDescent="0.25">
      <c r="I5381" s="268"/>
      <c r="O5381" s="268"/>
    </row>
    <row r="5382" spans="9:15" x14ac:dyDescent="0.25">
      <c r="I5382" s="268"/>
      <c r="O5382" s="268"/>
    </row>
    <row r="5383" spans="9:15" x14ac:dyDescent="0.25">
      <c r="I5383" s="268"/>
      <c r="O5383" s="268"/>
    </row>
    <row r="5384" spans="9:15" x14ac:dyDescent="0.25">
      <c r="I5384" s="268"/>
      <c r="O5384" s="268"/>
    </row>
    <row r="5385" spans="9:15" x14ac:dyDescent="0.25">
      <c r="I5385" s="268"/>
      <c r="O5385" s="268"/>
    </row>
    <row r="5386" spans="9:15" x14ac:dyDescent="0.25">
      <c r="I5386" s="268"/>
      <c r="O5386" s="268"/>
    </row>
    <row r="5387" spans="9:15" x14ac:dyDescent="0.25">
      <c r="I5387" s="268"/>
      <c r="O5387" s="268"/>
    </row>
    <row r="5388" spans="9:15" x14ac:dyDescent="0.25">
      <c r="I5388" s="268"/>
      <c r="O5388" s="268"/>
    </row>
    <row r="5389" spans="9:15" x14ac:dyDescent="0.25">
      <c r="I5389" s="268"/>
      <c r="O5389" s="268"/>
    </row>
    <row r="5390" spans="9:15" x14ac:dyDescent="0.25">
      <c r="I5390" s="268"/>
      <c r="O5390" s="268"/>
    </row>
    <row r="5391" spans="9:15" x14ac:dyDescent="0.25">
      <c r="I5391" s="268"/>
      <c r="O5391" s="268"/>
    </row>
    <row r="5392" spans="9:15" x14ac:dyDescent="0.25">
      <c r="I5392" s="268"/>
      <c r="O5392" s="268"/>
    </row>
    <row r="5393" spans="9:15" x14ac:dyDescent="0.25">
      <c r="I5393" s="268"/>
      <c r="O5393" s="268"/>
    </row>
    <row r="5394" spans="9:15" x14ac:dyDescent="0.25">
      <c r="I5394" s="268"/>
      <c r="O5394" s="268"/>
    </row>
    <row r="5395" spans="9:15" x14ac:dyDescent="0.25">
      <c r="I5395" s="268"/>
      <c r="O5395" s="268"/>
    </row>
    <row r="5396" spans="9:15" x14ac:dyDescent="0.25">
      <c r="I5396" s="268"/>
      <c r="O5396" s="268"/>
    </row>
    <row r="5397" spans="9:15" x14ac:dyDescent="0.25">
      <c r="I5397" s="268"/>
      <c r="O5397" s="268"/>
    </row>
    <row r="5398" spans="9:15" x14ac:dyDescent="0.25">
      <c r="I5398" s="268"/>
      <c r="O5398" s="268"/>
    </row>
    <row r="5399" spans="9:15" x14ac:dyDescent="0.25">
      <c r="I5399" s="268"/>
      <c r="O5399" s="268"/>
    </row>
    <row r="5400" spans="9:15" x14ac:dyDescent="0.25">
      <c r="I5400" s="268"/>
      <c r="O5400" s="268"/>
    </row>
    <row r="5401" spans="9:15" x14ac:dyDescent="0.25">
      <c r="I5401" s="268"/>
      <c r="O5401" s="268"/>
    </row>
    <row r="5402" spans="9:15" x14ac:dyDescent="0.25">
      <c r="I5402" s="268"/>
      <c r="O5402" s="268"/>
    </row>
    <row r="5403" spans="9:15" x14ac:dyDescent="0.25">
      <c r="I5403" s="268"/>
      <c r="O5403" s="268"/>
    </row>
    <row r="5404" spans="9:15" x14ac:dyDescent="0.25">
      <c r="I5404" s="268"/>
      <c r="O5404" s="268"/>
    </row>
    <row r="5405" spans="9:15" x14ac:dyDescent="0.25">
      <c r="I5405" s="268"/>
      <c r="O5405" s="268"/>
    </row>
    <row r="5406" spans="9:15" x14ac:dyDescent="0.25">
      <c r="I5406" s="268"/>
      <c r="O5406" s="268"/>
    </row>
    <row r="5407" spans="9:15" x14ac:dyDescent="0.25">
      <c r="I5407" s="268"/>
      <c r="O5407" s="268"/>
    </row>
    <row r="5408" spans="9:15" x14ac:dyDescent="0.25">
      <c r="I5408" s="268"/>
      <c r="O5408" s="268"/>
    </row>
    <row r="5409" spans="9:15" x14ac:dyDescent="0.25">
      <c r="I5409" s="268"/>
      <c r="O5409" s="268"/>
    </row>
    <row r="5410" spans="9:15" x14ac:dyDescent="0.25">
      <c r="I5410" s="268"/>
      <c r="O5410" s="268"/>
    </row>
    <row r="5411" spans="9:15" x14ac:dyDescent="0.25">
      <c r="I5411" s="268"/>
      <c r="O5411" s="268"/>
    </row>
    <row r="5412" spans="9:15" x14ac:dyDescent="0.25">
      <c r="I5412" s="268"/>
      <c r="O5412" s="268"/>
    </row>
    <row r="5413" spans="9:15" x14ac:dyDescent="0.25">
      <c r="I5413" s="268"/>
      <c r="O5413" s="268"/>
    </row>
    <row r="5414" spans="9:15" x14ac:dyDescent="0.25">
      <c r="I5414" s="268"/>
      <c r="O5414" s="268"/>
    </row>
    <row r="5415" spans="9:15" x14ac:dyDescent="0.25">
      <c r="I5415" s="268"/>
      <c r="O5415" s="268"/>
    </row>
    <row r="5416" spans="9:15" x14ac:dyDescent="0.25">
      <c r="I5416" s="268"/>
      <c r="O5416" s="268"/>
    </row>
    <row r="5417" spans="9:15" x14ac:dyDescent="0.25">
      <c r="I5417" s="268"/>
      <c r="O5417" s="268"/>
    </row>
    <row r="5418" spans="9:15" x14ac:dyDescent="0.25">
      <c r="I5418" s="268"/>
      <c r="O5418" s="268"/>
    </row>
    <row r="5419" spans="9:15" x14ac:dyDescent="0.25">
      <c r="I5419" s="268"/>
      <c r="O5419" s="268"/>
    </row>
    <row r="5420" spans="9:15" x14ac:dyDescent="0.25">
      <c r="I5420" s="268"/>
      <c r="O5420" s="268"/>
    </row>
    <row r="5421" spans="9:15" x14ac:dyDescent="0.25">
      <c r="I5421" s="268"/>
      <c r="O5421" s="268"/>
    </row>
    <row r="5422" spans="9:15" x14ac:dyDescent="0.25">
      <c r="I5422" s="268"/>
      <c r="O5422" s="268"/>
    </row>
    <row r="5423" spans="9:15" x14ac:dyDescent="0.25">
      <c r="I5423" s="268"/>
      <c r="O5423" s="268"/>
    </row>
    <row r="5424" spans="9:15" x14ac:dyDescent="0.25">
      <c r="I5424" s="268"/>
      <c r="O5424" s="268"/>
    </row>
    <row r="5425" spans="9:15" x14ac:dyDescent="0.25">
      <c r="I5425" s="268"/>
      <c r="O5425" s="268"/>
    </row>
    <row r="5426" spans="9:15" x14ac:dyDescent="0.25">
      <c r="I5426" s="268"/>
      <c r="O5426" s="268"/>
    </row>
    <row r="5427" spans="9:15" x14ac:dyDescent="0.25">
      <c r="I5427" s="268"/>
      <c r="O5427" s="268"/>
    </row>
    <row r="5428" spans="9:15" x14ac:dyDescent="0.25">
      <c r="I5428" s="268"/>
      <c r="O5428" s="268"/>
    </row>
    <row r="5429" spans="9:15" x14ac:dyDescent="0.25">
      <c r="I5429" s="268"/>
      <c r="O5429" s="268"/>
    </row>
    <row r="5430" spans="9:15" x14ac:dyDescent="0.25">
      <c r="I5430" s="268"/>
      <c r="O5430" s="268"/>
    </row>
    <row r="5431" spans="9:15" x14ac:dyDescent="0.25">
      <c r="I5431" s="268"/>
      <c r="O5431" s="268"/>
    </row>
    <row r="5432" spans="9:15" x14ac:dyDescent="0.25">
      <c r="I5432" s="268"/>
      <c r="O5432" s="268"/>
    </row>
    <row r="5433" spans="9:15" x14ac:dyDescent="0.25">
      <c r="I5433" s="268"/>
      <c r="O5433" s="268"/>
    </row>
    <row r="5434" spans="9:15" x14ac:dyDescent="0.25">
      <c r="I5434" s="268"/>
      <c r="O5434" s="268"/>
    </row>
    <row r="5435" spans="9:15" x14ac:dyDescent="0.25">
      <c r="I5435" s="268"/>
      <c r="O5435" s="268"/>
    </row>
    <row r="5436" spans="9:15" x14ac:dyDescent="0.25">
      <c r="I5436" s="268"/>
      <c r="O5436" s="268"/>
    </row>
    <row r="5437" spans="9:15" x14ac:dyDescent="0.25">
      <c r="I5437" s="268"/>
      <c r="O5437" s="268"/>
    </row>
    <row r="5438" spans="9:15" x14ac:dyDescent="0.25">
      <c r="I5438" s="268"/>
      <c r="O5438" s="268"/>
    </row>
    <row r="5439" spans="9:15" x14ac:dyDescent="0.25">
      <c r="I5439" s="268"/>
      <c r="O5439" s="268"/>
    </row>
    <row r="5440" spans="9:15" x14ac:dyDescent="0.25">
      <c r="I5440" s="268"/>
      <c r="O5440" s="268"/>
    </row>
    <row r="5441" spans="9:15" x14ac:dyDescent="0.25">
      <c r="I5441" s="268"/>
      <c r="O5441" s="268"/>
    </row>
    <row r="5442" spans="9:15" x14ac:dyDescent="0.25">
      <c r="I5442" s="268"/>
      <c r="O5442" s="268"/>
    </row>
    <row r="5443" spans="9:15" x14ac:dyDescent="0.25">
      <c r="I5443" s="268"/>
      <c r="O5443" s="268"/>
    </row>
    <row r="5444" spans="9:15" x14ac:dyDescent="0.25">
      <c r="I5444" s="268"/>
      <c r="O5444" s="268"/>
    </row>
    <row r="5445" spans="9:15" x14ac:dyDescent="0.25">
      <c r="I5445" s="268"/>
      <c r="O5445" s="268"/>
    </row>
    <row r="5446" spans="9:15" x14ac:dyDescent="0.25">
      <c r="I5446" s="268"/>
      <c r="O5446" s="268"/>
    </row>
    <row r="5447" spans="9:15" x14ac:dyDescent="0.25">
      <c r="I5447" s="268"/>
      <c r="O5447" s="268"/>
    </row>
    <row r="5448" spans="9:15" x14ac:dyDescent="0.25">
      <c r="I5448" s="268"/>
      <c r="O5448" s="268"/>
    </row>
    <row r="5449" spans="9:15" x14ac:dyDescent="0.25">
      <c r="I5449" s="268"/>
      <c r="O5449" s="268"/>
    </row>
    <row r="5450" spans="9:15" x14ac:dyDescent="0.25">
      <c r="I5450" s="268"/>
      <c r="O5450" s="268"/>
    </row>
    <row r="5451" spans="9:15" x14ac:dyDescent="0.25">
      <c r="I5451" s="268"/>
      <c r="O5451" s="268"/>
    </row>
    <row r="5452" spans="9:15" x14ac:dyDescent="0.25">
      <c r="I5452" s="268"/>
      <c r="O5452" s="268"/>
    </row>
    <row r="5453" spans="9:15" x14ac:dyDescent="0.25">
      <c r="I5453" s="268"/>
      <c r="O5453" s="268"/>
    </row>
    <row r="5454" spans="9:15" x14ac:dyDescent="0.25">
      <c r="I5454" s="268"/>
      <c r="O5454" s="268"/>
    </row>
    <row r="5455" spans="9:15" x14ac:dyDescent="0.25">
      <c r="I5455" s="268"/>
      <c r="O5455" s="268"/>
    </row>
    <row r="5456" spans="9:15" x14ac:dyDescent="0.25">
      <c r="I5456" s="268"/>
      <c r="O5456" s="268"/>
    </row>
    <row r="5457" spans="9:15" x14ac:dyDescent="0.25">
      <c r="I5457" s="268"/>
      <c r="O5457" s="268"/>
    </row>
    <row r="5458" spans="9:15" x14ac:dyDescent="0.25">
      <c r="I5458" s="268"/>
      <c r="O5458" s="268"/>
    </row>
    <row r="5459" spans="9:15" x14ac:dyDescent="0.25">
      <c r="I5459" s="268"/>
      <c r="O5459" s="268"/>
    </row>
    <row r="5460" spans="9:15" x14ac:dyDescent="0.25">
      <c r="I5460" s="268"/>
      <c r="O5460" s="268"/>
    </row>
    <row r="5461" spans="9:15" x14ac:dyDescent="0.25">
      <c r="I5461" s="268"/>
      <c r="O5461" s="268"/>
    </row>
    <row r="5462" spans="9:15" x14ac:dyDescent="0.25">
      <c r="I5462" s="268"/>
      <c r="O5462" s="268"/>
    </row>
    <row r="5463" spans="9:15" x14ac:dyDescent="0.25">
      <c r="I5463" s="268"/>
      <c r="O5463" s="268"/>
    </row>
    <row r="5464" spans="9:15" x14ac:dyDescent="0.25">
      <c r="I5464" s="268"/>
      <c r="O5464" s="268"/>
    </row>
    <row r="5465" spans="9:15" x14ac:dyDescent="0.25">
      <c r="I5465" s="268"/>
      <c r="O5465" s="268"/>
    </row>
    <row r="5466" spans="9:15" x14ac:dyDescent="0.25">
      <c r="I5466" s="268"/>
      <c r="O5466" s="268"/>
    </row>
    <row r="5467" spans="9:15" x14ac:dyDescent="0.25">
      <c r="I5467" s="268"/>
      <c r="O5467" s="268"/>
    </row>
    <row r="5468" spans="9:15" x14ac:dyDescent="0.25">
      <c r="I5468" s="268"/>
      <c r="O5468" s="268"/>
    </row>
    <row r="5469" spans="9:15" x14ac:dyDescent="0.25">
      <c r="I5469" s="268"/>
      <c r="O5469" s="268"/>
    </row>
    <row r="5470" spans="9:15" x14ac:dyDescent="0.25">
      <c r="I5470" s="268"/>
      <c r="O5470" s="268"/>
    </row>
    <row r="5471" spans="9:15" x14ac:dyDescent="0.25">
      <c r="I5471" s="268"/>
      <c r="O5471" s="268"/>
    </row>
    <row r="5472" spans="9:15" x14ac:dyDescent="0.25">
      <c r="I5472" s="268"/>
      <c r="O5472" s="268"/>
    </row>
    <row r="5473" spans="9:15" x14ac:dyDescent="0.25">
      <c r="I5473" s="268"/>
      <c r="O5473" s="268"/>
    </row>
    <row r="5474" spans="9:15" x14ac:dyDescent="0.25">
      <c r="I5474" s="268"/>
      <c r="O5474" s="268"/>
    </row>
    <row r="5475" spans="9:15" x14ac:dyDescent="0.25">
      <c r="I5475" s="268"/>
      <c r="O5475" s="268"/>
    </row>
    <row r="5476" spans="9:15" x14ac:dyDescent="0.25">
      <c r="I5476" s="268"/>
      <c r="O5476" s="268"/>
    </row>
    <row r="5477" spans="9:15" x14ac:dyDescent="0.25">
      <c r="I5477" s="268"/>
      <c r="O5477" s="268"/>
    </row>
    <row r="5478" spans="9:15" x14ac:dyDescent="0.25">
      <c r="I5478" s="268"/>
      <c r="O5478" s="268"/>
    </row>
    <row r="5479" spans="9:15" x14ac:dyDescent="0.25">
      <c r="I5479" s="268"/>
      <c r="O5479" s="268"/>
    </row>
    <row r="5480" spans="9:15" x14ac:dyDescent="0.25">
      <c r="I5480" s="268"/>
      <c r="O5480" s="268"/>
    </row>
    <row r="5481" spans="9:15" x14ac:dyDescent="0.25">
      <c r="I5481" s="268"/>
      <c r="O5481" s="268"/>
    </row>
    <row r="5482" spans="9:15" x14ac:dyDescent="0.25">
      <c r="I5482" s="268"/>
      <c r="O5482" s="268"/>
    </row>
    <row r="5483" spans="9:15" x14ac:dyDescent="0.25">
      <c r="I5483" s="268"/>
      <c r="O5483" s="268"/>
    </row>
    <row r="5484" spans="9:15" x14ac:dyDescent="0.25">
      <c r="I5484" s="268"/>
      <c r="O5484" s="268"/>
    </row>
    <row r="5485" spans="9:15" x14ac:dyDescent="0.25">
      <c r="I5485" s="268"/>
      <c r="O5485" s="268"/>
    </row>
    <row r="5486" spans="9:15" x14ac:dyDescent="0.25">
      <c r="I5486" s="268"/>
      <c r="O5486" s="268"/>
    </row>
    <row r="5487" spans="9:15" x14ac:dyDescent="0.25">
      <c r="I5487" s="268"/>
      <c r="O5487" s="268"/>
    </row>
    <row r="5488" spans="9:15" x14ac:dyDescent="0.25">
      <c r="I5488" s="268"/>
      <c r="O5488" s="268"/>
    </row>
    <row r="5489" spans="9:15" x14ac:dyDescent="0.25">
      <c r="I5489" s="268"/>
      <c r="O5489" s="268"/>
    </row>
    <row r="5490" spans="9:15" x14ac:dyDescent="0.25">
      <c r="I5490" s="268"/>
      <c r="O5490" s="268"/>
    </row>
    <row r="5491" spans="9:15" x14ac:dyDescent="0.25">
      <c r="I5491" s="268"/>
      <c r="O5491" s="268"/>
    </row>
    <row r="5492" spans="9:15" x14ac:dyDescent="0.25">
      <c r="I5492" s="268"/>
      <c r="O5492" s="268"/>
    </row>
    <row r="5493" spans="9:15" x14ac:dyDescent="0.25">
      <c r="I5493" s="268"/>
      <c r="O5493" s="268"/>
    </row>
    <row r="5494" spans="9:15" x14ac:dyDescent="0.25">
      <c r="I5494" s="268"/>
      <c r="O5494" s="268"/>
    </row>
    <row r="5495" spans="9:15" x14ac:dyDescent="0.25">
      <c r="I5495" s="268"/>
      <c r="O5495" s="268"/>
    </row>
    <row r="5496" spans="9:15" x14ac:dyDescent="0.25">
      <c r="I5496" s="268"/>
      <c r="O5496" s="268"/>
    </row>
    <row r="5497" spans="9:15" x14ac:dyDescent="0.25">
      <c r="I5497" s="268"/>
      <c r="O5497" s="268"/>
    </row>
    <row r="5498" spans="9:15" x14ac:dyDescent="0.25">
      <c r="I5498" s="268"/>
      <c r="O5498" s="268"/>
    </row>
    <row r="5499" spans="9:15" x14ac:dyDescent="0.25">
      <c r="I5499" s="268"/>
      <c r="O5499" s="268"/>
    </row>
    <row r="5500" spans="9:15" x14ac:dyDescent="0.25">
      <c r="I5500" s="268"/>
      <c r="O5500" s="268"/>
    </row>
    <row r="5501" spans="9:15" x14ac:dyDescent="0.25">
      <c r="I5501" s="268"/>
      <c r="O5501" s="268"/>
    </row>
    <row r="5502" spans="9:15" x14ac:dyDescent="0.25">
      <c r="I5502" s="268"/>
      <c r="O5502" s="268"/>
    </row>
    <row r="5503" spans="9:15" x14ac:dyDescent="0.25">
      <c r="I5503" s="268"/>
      <c r="O5503" s="268"/>
    </row>
    <row r="5504" spans="9:15" x14ac:dyDescent="0.25">
      <c r="I5504" s="268"/>
      <c r="O5504" s="268"/>
    </row>
    <row r="5505" spans="9:15" x14ac:dyDescent="0.25">
      <c r="I5505" s="268"/>
      <c r="O5505" s="268"/>
    </row>
    <row r="5506" spans="9:15" x14ac:dyDescent="0.25">
      <c r="I5506" s="268"/>
      <c r="O5506" s="268"/>
    </row>
    <row r="5507" spans="9:15" x14ac:dyDescent="0.25">
      <c r="I5507" s="268"/>
      <c r="O5507" s="268"/>
    </row>
    <row r="5508" spans="9:15" x14ac:dyDescent="0.25">
      <c r="I5508" s="268"/>
      <c r="O5508" s="268"/>
    </row>
    <row r="5509" spans="9:15" x14ac:dyDescent="0.25">
      <c r="I5509" s="268"/>
      <c r="O5509" s="268"/>
    </row>
    <row r="5510" spans="9:15" x14ac:dyDescent="0.25">
      <c r="I5510" s="268"/>
      <c r="O5510" s="268"/>
    </row>
    <row r="5511" spans="9:15" x14ac:dyDescent="0.25">
      <c r="I5511" s="268"/>
      <c r="O5511" s="268"/>
    </row>
    <row r="5512" spans="9:15" x14ac:dyDescent="0.25">
      <c r="I5512" s="268"/>
      <c r="O5512" s="268"/>
    </row>
    <row r="5513" spans="9:15" x14ac:dyDescent="0.25">
      <c r="I5513" s="268"/>
      <c r="O5513" s="268"/>
    </row>
    <row r="5514" spans="9:15" x14ac:dyDescent="0.25">
      <c r="I5514" s="268"/>
      <c r="O5514" s="268"/>
    </row>
    <row r="5515" spans="9:15" x14ac:dyDescent="0.25">
      <c r="I5515" s="268"/>
      <c r="O5515" s="268"/>
    </row>
    <row r="5516" spans="9:15" x14ac:dyDescent="0.25">
      <c r="I5516" s="268"/>
      <c r="O5516" s="268"/>
    </row>
    <row r="5517" spans="9:15" x14ac:dyDescent="0.25">
      <c r="I5517" s="268"/>
      <c r="O5517" s="268"/>
    </row>
    <row r="5518" spans="9:15" x14ac:dyDescent="0.25">
      <c r="I5518" s="268"/>
      <c r="O5518" s="268"/>
    </row>
    <row r="5519" spans="9:15" x14ac:dyDescent="0.25">
      <c r="I5519" s="268"/>
      <c r="O5519" s="268"/>
    </row>
    <row r="5520" spans="9:15" x14ac:dyDescent="0.25">
      <c r="I5520" s="268"/>
      <c r="O5520" s="268"/>
    </row>
    <row r="5521" spans="9:15" x14ac:dyDescent="0.25">
      <c r="I5521" s="268"/>
      <c r="O5521" s="268"/>
    </row>
    <row r="5522" spans="9:15" x14ac:dyDescent="0.25">
      <c r="I5522" s="268"/>
      <c r="O5522" s="268"/>
    </row>
    <row r="5523" spans="9:15" x14ac:dyDescent="0.25">
      <c r="I5523" s="268"/>
      <c r="O5523" s="268"/>
    </row>
    <row r="5524" spans="9:15" x14ac:dyDescent="0.25">
      <c r="I5524" s="268"/>
      <c r="O5524" s="268"/>
    </row>
    <row r="5525" spans="9:15" x14ac:dyDescent="0.25">
      <c r="I5525" s="268"/>
      <c r="O5525" s="268"/>
    </row>
    <row r="5526" spans="9:15" x14ac:dyDescent="0.25">
      <c r="I5526" s="268"/>
      <c r="O5526" s="268"/>
    </row>
    <row r="5527" spans="9:15" x14ac:dyDescent="0.25">
      <c r="I5527" s="268"/>
      <c r="O5527" s="268"/>
    </row>
    <row r="5528" spans="9:15" x14ac:dyDescent="0.25">
      <c r="I5528" s="268"/>
      <c r="O5528" s="268"/>
    </row>
    <row r="5529" spans="9:15" x14ac:dyDescent="0.25">
      <c r="I5529" s="268"/>
      <c r="O5529" s="268"/>
    </row>
    <row r="5530" spans="9:15" x14ac:dyDescent="0.25">
      <c r="I5530" s="268"/>
      <c r="O5530" s="268"/>
    </row>
    <row r="5531" spans="9:15" x14ac:dyDescent="0.25">
      <c r="I5531" s="268"/>
      <c r="O5531" s="268"/>
    </row>
    <row r="5532" spans="9:15" x14ac:dyDescent="0.25">
      <c r="I5532" s="268"/>
      <c r="O5532" s="268"/>
    </row>
    <row r="5533" spans="9:15" x14ac:dyDescent="0.25">
      <c r="I5533" s="268"/>
      <c r="O5533" s="268"/>
    </row>
    <row r="5534" spans="9:15" x14ac:dyDescent="0.25">
      <c r="I5534" s="268"/>
      <c r="O5534" s="268"/>
    </row>
    <row r="5535" spans="9:15" x14ac:dyDescent="0.25">
      <c r="I5535" s="268"/>
      <c r="O5535" s="268"/>
    </row>
    <row r="5536" spans="9:15" x14ac:dyDescent="0.25">
      <c r="I5536" s="268"/>
      <c r="O5536" s="268"/>
    </row>
    <row r="5537" spans="9:15" x14ac:dyDescent="0.25">
      <c r="I5537" s="268"/>
      <c r="O5537" s="268"/>
    </row>
    <row r="5538" spans="9:15" x14ac:dyDescent="0.25">
      <c r="I5538" s="268"/>
      <c r="O5538" s="268"/>
    </row>
    <row r="5539" spans="9:15" x14ac:dyDescent="0.25">
      <c r="I5539" s="268"/>
      <c r="O5539" s="268"/>
    </row>
    <row r="5540" spans="9:15" x14ac:dyDescent="0.25">
      <c r="I5540" s="268"/>
      <c r="O5540" s="268"/>
    </row>
    <row r="5541" spans="9:15" x14ac:dyDescent="0.25">
      <c r="I5541" s="268"/>
      <c r="O5541" s="268"/>
    </row>
    <row r="5542" spans="9:15" x14ac:dyDescent="0.25">
      <c r="I5542" s="268"/>
      <c r="O5542" s="268"/>
    </row>
    <row r="5543" spans="9:15" x14ac:dyDescent="0.25">
      <c r="I5543" s="268"/>
      <c r="O5543" s="268"/>
    </row>
    <row r="5544" spans="9:15" x14ac:dyDescent="0.25">
      <c r="I5544" s="268"/>
      <c r="O5544" s="268"/>
    </row>
    <row r="5545" spans="9:15" x14ac:dyDescent="0.25">
      <c r="I5545" s="268"/>
      <c r="O5545" s="268"/>
    </row>
    <row r="5546" spans="9:15" x14ac:dyDescent="0.25">
      <c r="I5546" s="268"/>
      <c r="O5546" s="268"/>
    </row>
    <row r="5547" spans="9:15" x14ac:dyDescent="0.25">
      <c r="I5547" s="268"/>
      <c r="O5547" s="268"/>
    </row>
    <row r="5548" spans="9:15" x14ac:dyDescent="0.25">
      <c r="I5548" s="268"/>
      <c r="O5548" s="268"/>
    </row>
    <row r="5549" spans="9:15" x14ac:dyDescent="0.25">
      <c r="I5549" s="268"/>
      <c r="O5549" s="268"/>
    </row>
    <row r="5550" spans="9:15" x14ac:dyDescent="0.25">
      <c r="I5550" s="268"/>
      <c r="O5550" s="268"/>
    </row>
    <row r="5551" spans="9:15" x14ac:dyDescent="0.25">
      <c r="I5551" s="268"/>
      <c r="O5551" s="268"/>
    </row>
    <row r="5552" spans="9:15" x14ac:dyDescent="0.25">
      <c r="I5552" s="268"/>
      <c r="O5552" s="268"/>
    </row>
    <row r="5553" spans="9:15" x14ac:dyDescent="0.25">
      <c r="I5553" s="268"/>
      <c r="O5553" s="268"/>
    </row>
    <row r="5554" spans="9:15" x14ac:dyDescent="0.25">
      <c r="I5554" s="268"/>
      <c r="O5554" s="268"/>
    </row>
    <row r="5555" spans="9:15" x14ac:dyDescent="0.25">
      <c r="I5555" s="268"/>
      <c r="O5555" s="268"/>
    </row>
    <row r="5556" spans="9:15" x14ac:dyDescent="0.25">
      <c r="I5556" s="268"/>
      <c r="O5556" s="268"/>
    </row>
    <row r="5557" spans="9:15" x14ac:dyDescent="0.25">
      <c r="I5557" s="268"/>
      <c r="O5557" s="268"/>
    </row>
    <row r="5558" spans="9:15" x14ac:dyDescent="0.25">
      <c r="I5558" s="268"/>
      <c r="O5558" s="268"/>
    </row>
    <row r="5559" spans="9:15" x14ac:dyDescent="0.25">
      <c r="I5559" s="268"/>
      <c r="O5559" s="268"/>
    </row>
    <row r="5560" spans="9:15" x14ac:dyDescent="0.25">
      <c r="I5560" s="268"/>
      <c r="O5560" s="268"/>
    </row>
    <row r="5561" spans="9:15" x14ac:dyDescent="0.25">
      <c r="I5561" s="268"/>
      <c r="O5561" s="268"/>
    </row>
    <row r="5562" spans="9:15" x14ac:dyDescent="0.25">
      <c r="I5562" s="268"/>
      <c r="O5562" s="268"/>
    </row>
    <row r="5563" spans="9:15" x14ac:dyDescent="0.25">
      <c r="I5563" s="268"/>
      <c r="O5563" s="268"/>
    </row>
    <row r="5564" spans="9:15" x14ac:dyDescent="0.25">
      <c r="I5564" s="268"/>
      <c r="O5564" s="268"/>
    </row>
    <row r="5565" spans="9:15" x14ac:dyDescent="0.25">
      <c r="I5565" s="268"/>
      <c r="O5565" s="268"/>
    </row>
    <row r="5566" spans="9:15" x14ac:dyDescent="0.25">
      <c r="I5566" s="268"/>
      <c r="O5566" s="268"/>
    </row>
    <row r="5567" spans="9:15" x14ac:dyDescent="0.25">
      <c r="I5567" s="268"/>
      <c r="O5567" s="268"/>
    </row>
    <row r="5568" spans="9:15" x14ac:dyDescent="0.25">
      <c r="I5568" s="268"/>
      <c r="O5568" s="268"/>
    </row>
    <row r="5569" spans="9:15" x14ac:dyDescent="0.25">
      <c r="I5569" s="268"/>
      <c r="O5569" s="268"/>
    </row>
    <row r="5570" spans="9:15" x14ac:dyDescent="0.25">
      <c r="I5570" s="268"/>
      <c r="O5570" s="268"/>
    </row>
    <row r="5571" spans="9:15" x14ac:dyDescent="0.25">
      <c r="I5571" s="268"/>
      <c r="O5571" s="268"/>
    </row>
    <row r="5572" spans="9:15" x14ac:dyDescent="0.25">
      <c r="I5572" s="268"/>
      <c r="O5572" s="268"/>
    </row>
    <row r="5573" spans="9:15" x14ac:dyDescent="0.25">
      <c r="I5573" s="268"/>
      <c r="O5573" s="268"/>
    </row>
    <row r="5574" spans="9:15" x14ac:dyDescent="0.25">
      <c r="I5574" s="268"/>
      <c r="O5574" s="268"/>
    </row>
    <row r="5575" spans="9:15" x14ac:dyDescent="0.25">
      <c r="I5575" s="268"/>
      <c r="O5575" s="268"/>
    </row>
    <row r="5576" spans="9:15" x14ac:dyDescent="0.25">
      <c r="I5576" s="268"/>
      <c r="O5576" s="268"/>
    </row>
    <row r="5577" spans="9:15" x14ac:dyDescent="0.25">
      <c r="I5577" s="268"/>
      <c r="O5577" s="268"/>
    </row>
    <row r="5578" spans="9:15" x14ac:dyDescent="0.25">
      <c r="I5578" s="268"/>
      <c r="O5578" s="268"/>
    </row>
    <row r="5579" spans="9:15" x14ac:dyDescent="0.25">
      <c r="I5579" s="268"/>
      <c r="O5579" s="268"/>
    </row>
    <row r="5580" spans="9:15" x14ac:dyDescent="0.25">
      <c r="I5580" s="268"/>
      <c r="O5580" s="268"/>
    </row>
    <row r="5581" spans="9:15" x14ac:dyDescent="0.25">
      <c r="I5581" s="268"/>
      <c r="O5581" s="268"/>
    </row>
    <row r="5582" spans="9:15" x14ac:dyDescent="0.25">
      <c r="I5582" s="268"/>
      <c r="O5582" s="268"/>
    </row>
    <row r="5583" spans="9:15" x14ac:dyDescent="0.25">
      <c r="I5583" s="268"/>
      <c r="O5583" s="268"/>
    </row>
    <row r="5584" spans="9:15" x14ac:dyDescent="0.25">
      <c r="I5584" s="268"/>
      <c r="O5584" s="268"/>
    </row>
    <row r="5585" spans="9:15" x14ac:dyDescent="0.25">
      <c r="I5585" s="268"/>
      <c r="O5585" s="268"/>
    </row>
    <row r="5586" spans="9:15" x14ac:dyDescent="0.25">
      <c r="I5586" s="268"/>
      <c r="O5586" s="268"/>
    </row>
    <row r="5587" spans="9:15" x14ac:dyDescent="0.25">
      <c r="I5587" s="268"/>
      <c r="O5587" s="268"/>
    </row>
    <row r="5588" spans="9:15" x14ac:dyDescent="0.25">
      <c r="I5588" s="268"/>
      <c r="O5588" s="268"/>
    </row>
    <row r="5589" spans="9:15" x14ac:dyDescent="0.25">
      <c r="I5589" s="268"/>
      <c r="O5589" s="268"/>
    </row>
    <row r="5590" spans="9:15" x14ac:dyDescent="0.25">
      <c r="I5590" s="268"/>
      <c r="O5590" s="268"/>
    </row>
    <row r="5591" spans="9:15" x14ac:dyDescent="0.25">
      <c r="I5591" s="268"/>
      <c r="O5591" s="268"/>
    </row>
    <row r="5592" spans="9:15" x14ac:dyDescent="0.25">
      <c r="I5592" s="268"/>
      <c r="O5592" s="268"/>
    </row>
    <row r="5593" spans="9:15" x14ac:dyDescent="0.25">
      <c r="I5593" s="268"/>
      <c r="O5593" s="268"/>
    </row>
    <row r="5594" spans="9:15" x14ac:dyDescent="0.25">
      <c r="I5594" s="268"/>
      <c r="O5594" s="268"/>
    </row>
    <row r="5595" spans="9:15" x14ac:dyDescent="0.25">
      <c r="I5595" s="268"/>
      <c r="O5595" s="268"/>
    </row>
    <row r="5596" spans="9:15" x14ac:dyDescent="0.25">
      <c r="I5596" s="268"/>
      <c r="O5596" s="268"/>
    </row>
    <row r="5597" spans="9:15" x14ac:dyDescent="0.25">
      <c r="I5597" s="268"/>
      <c r="O5597" s="268"/>
    </row>
    <row r="5598" spans="9:15" x14ac:dyDescent="0.25">
      <c r="I5598" s="268"/>
      <c r="O5598" s="268"/>
    </row>
    <row r="5599" spans="9:15" x14ac:dyDescent="0.25">
      <c r="I5599" s="268"/>
      <c r="O5599" s="268"/>
    </row>
    <row r="5600" spans="9:15" x14ac:dyDescent="0.25">
      <c r="I5600" s="268"/>
      <c r="O5600" s="268"/>
    </row>
    <row r="5601" spans="9:15" x14ac:dyDescent="0.25">
      <c r="I5601" s="268"/>
      <c r="O5601" s="268"/>
    </row>
    <row r="5602" spans="9:15" x14ac:dyDescent="0.25">
      <c r="I5602" s="268"/>
      <c r="O5602" s="268"/>
    </row>
    <row r="5603" spans="9:15" x14ac:dyDescent="0.25">
      <c r="I5603" s="268"/>
      <c r="O5603" s="268"/>
    </row>
    <row r="5604" spans="9:15" x14ac:dyDescent="0.25">
      <c r="I5604" s="268"/>
      <c r="O5604" s="268"/>
    </row>
    <row r="5605" spans="9:15" x14ac:dyDescent="0.25">
      <c r="I5605" s="268"/>
      <c r="O5605" s="268"/>
    </row>
    <row r="5606" spans="9:15" x14ac:dyDescent="0.25">
      <c r="I5606" s="268"/>
      <c r="O5606" s="268"/>
    </row>
    <row r="5607" spans="9:15" x14ac:dyDescent="0.25">
      <c r="I5607" s="268"/>
      <c r="O5607" s="268"/>
    </row>
    <row r="5608" spans="9:15" x14ac:dyDescent="0.25">
      <c r="I5608" s="268"/>
      <c r="O5608" s="268"/>
    </row>
    <row r="5609" spans="9:15" x14ac:dyDescent="0.25">
      <c r="I5609" s="268"/>
      <c r="O5609" s="268"/>
    </row>
    <row r="5610" spans="9:15" x14ac:dyDescent="0.25">
      <c r="I5610" s="268"/>
      <c r="O5610" s="268"/>
    </row>
    <row r="5611" spans="9:15" x14ac:dyDescent="0.25">
      <c r="I5611" s="268"/>
      <c r="O5611" s="268"/>
    </row>
    <row r="5612" spans="9:15" x14ac:dyDescent="0.25">
      <c r="I5612" s="268"/>
      <c r="O5612" s="268"/>
    </row>
    <row r="5613" spans="9:15" x14ac:dyDescent="0.25">
      <c r="I5613" s="268"/>
      <c r="O5613" s="268"/>
    </row>
    <row r="5614" spans="9:15" x14ac:dyDescent="0.25">
      <c r="I5614" s="268"/>
      <c r="O5614" s="268"/>
    </row>
    <row r="5615" spans="9:15" x14ac:dyDescent="0.25">
      <c r="I5615" s="268"/>
      <c r="O5615" s="268"/>
    </row>
    <row r="5616" spans="9:15" x14ac:dyDescent="0.25">
      <c r="I5616" s="268"/>
      <c r="O5616" s="268"/>
    </row>
    <row r="5617" spans="9:15" x14ac:dyDescent="0.25">
      <c r="I5617" s="268"/>
      <c r="O5617" s="268"/>
    </row>
    <row r="5618" spans="9:15" x14ac:dyDescent="0.25">
      <c r="I5618" s="268"/>
      <c r="O5618" s="268"/>
    </row>
    <row r="5619" spans="9:15" x14ac:dyDescent="0.25">
      <c r="I5619" s="268"/>
      <c r="O5619" s="268"/>
    </row>
    <row r="5620" spans="9:15" x14ac:dyDescent="0.25">
      <c r="I5620" s="268"/>
      <c r="O5620" s="268"/>
    </row>
    <row r="5621" spans="9:15" x14ac:dyDescent="0.25">
      <c r="I5621" s="268"/>
      <c r="O5621" s="268"/>
    </row>
    <row r="5622" spans="9:15" x14ac:dyDescent="0.25">
      <c r="I5622" s="268"/>
      <c r="O5622" s="268"/>
    </row>
    <row r="5623" spans="9:15" x14ac:dyDescent="0.25">
      <c r="I5623" s="268"/>
      <c r="O5623" s="268"/>
    </row>
    <row r="5624" spans="9:15" x14ac:dyDescent="0.25">
      <c r="I5624" s="268"/>
      <c r="O5624" s="268"/>
    </row>
    <row r="5625" spans="9:15" x14ac:dyDescent="0.25">
      <c r="I5625" s="268"/>
      <c r="O5625" s="268"/>
    </row>
    <row r="5626" spans="9:15" x14ac:dyDescent="0.25">
      <c r="I5626" s="268"/>
      <c r="O5626" s="268"/>
    </row>
    <row r="5627" spans="9:15" x14ac:dyDescent="0.25">
      <c r="I5627" s="268"/>
      <c r="O5627" s="268"/>
    </row>
    <row r="5628" spans="9:15" x14ac:dyDescent="0.25">
      <c r="I5628" s="268"/>
      <c r="O5628" s="268"/>
    </row>
    <row r="5629" spans="9:15" x14ac:dyDescent="0.25">
      <c r="I5629" s="268"/>
      <c r="O5629" s="268"/>
    </row>
    <row r="5630" spans="9:15" x14ac:dyDescent="0.25">
      <c r="I5630" s="268"/>
      <c r="O5630" s="268"/>
    </row>
    <row r="5631" spans="9:15" x14ac:dyDescent="0.25">
      <c r="I5631" s="268"/>
      <c r="O5631" s="268"/>
    </row>
    <row r="5632" spans="9:15" x14ac:dyDescent="0.25">
      <c r="I5632" s="268"/>
      <c r="O5632" s="268"/>
    </row>
    <row r="5633" spans="9:15" x14ac:dyDescent="0.25">
      <c r="I5633" s="268"/>
      <c r="O5633" s="268"/>
    </row>
    <row r="5634" spans="9:15" x14ac:dyDescent="0.25">
      <c r="I5634" s="268"/>
      <c r="O5634" s="268"/>
    </row>
    <row r="5635" spans="9:15" x14ac:dyDescent="0.25">
      <c r="I5635" s="268"/>
      <c r="O5635" s="268"/>
    </row>
    <row r="5636" spans="9:15" x14ac:dyDescent="0.25">
      <c r="I5636" s="268"/>
      <c r="O5636" s="268"/>
    </row>
    <row r="5637" spans="9:15" x14ac:dyDescent="0.25">
      <c r="I5637" s="268"/>
      <c r="O5637" s="268"/>
    </row>
    <row r="5638" spans="9:15" x14ac:dyDescent="0.25">
      <c r="I5638" s="268"/>
      <c r="O5638" s="268"/>
    </row>
    <row r="5639" spans="9:15" x14ac:dyDescent="0.25">
      <c r="I5639" s="268"/>
      <c r="O5639" s="268"/>
    </row>
    <row r="5640" spans="9:15" x14ac:dyDescent="0.25">
      <c r="I5640" s="268"/>
      <c r="O5640" s="268"/>
    </row>
    <row r="5641" spans="9:15" x14ac:dyDescent="0.25">
      <c r="I5641" s="268"/>
      <c r="O5641" s="268"/>
    </row>
    <row r="5642" spans="9:15" x14ac:dyDescent="0.25">
      <c r="I5642" s="268"/>
      <c r="O5642" s="268"/>
    </row>
    <row r="5643" spans="9:15" x14ac:dyDescent="0.25">
      <c r="I5643" s="268"/>
      <c r="O5643" s="268"/>
    </row>
    <row r="5644" spans="9:15" x14ac:dyDescent="0.25">
      <c r="I5644" s="268"/>
      <c r="O5644" s="268"/>
    </row>
    <row r="5645" spans="9:15" x14ac:dyDescent="0.25">
      <c r="I5645" s="268"/>
      <c r="O5645" s="268"/>
    </row>
    <row r="5646" spans="9:15" x14ac:dyDescent="0.25">
      <c r="I5646" s="268"/>
      <c r="O5646" s="268"/>
    </row>
    <row r="5647" spans="9:15" x14ac:dyDescent="0.25">
      <c r="I5647" s="268"/>
      <c r="O5647" s="268"/>
    </row>
    <row r="5648" spans="9:15" x14ac:dyDescent="0.25">
      <c r="I5648" s="268"/>
      <c r="O5648" s="268"/>
    </row>
    <row r="5649" spans="9:15" x14ac:dyDescent="0.25">
      <c r="I5649" s="268"/>
      <c r="O5649" s="268"/>
    </row>
    <row r="5650" spans="9:15" x14ac:dyDescent="0.25">
      <c r="I5650" s="268"/>
      <c r="O5650" s="268"/>
    </row>
    <row r="5651" spans="9:15" x14ac:dyDescent="0.25">
      <c r="I5651" s="268"/>
      <c r="O5651" s="268"/>
    </row>
    <row r="5652" spans="9:15" x14ac:dyDescent="0.25">
      <c r="I5652" s="268"/>
      <c r="O5652" s="268"/>
    </row>
    <row r="5653" spans="9:15" x14ac:dyDescent="0.25">
      <c r="I5653" s="268"/>
      <c r="O5653" s="268"/>
    </row>
    <row r="5654" spans="9:15" x14ac:dyDescent="0.25">
      <c r="I5654" s="268"/>
      <c r="O5654" s="268"/>
    </row>
    <row r="5655" spans="9:15" x14ac:dyDescent="0.25">
      <c r="I5655" s="268"/>
      <c r="O5655" s="268"/>
    </row>
    <row r="5656" spans="9:15" x14ac:dyDescent="0.25">
      <c r="I5656" s="268"/>
      <c r="O5656" s="268"/>
    </row>
    <row r="5657" spans="9:15" x14ac:dyDescent="0.25">
      <c r="I5657" s="268"/>
      <c r="O5657" s="268"/>
    </row>
    <row r="5658" spans="9:15" x14ac:dyDescent="0.25">
      <c r="I5658" s="268"/>
      <c r="O5658" s="268"/>
    </row>
    <row r="5659" spans="9:15" x14ac:dyDescent="0.25">
      <c r="I5659" s="268"/>
      <c r="O5659" s="268"/>
    </row>
    <row r="5660" spans="9:15" x14ac:dyDescent="0.25">
      <c r="I5660" s="268"/>
      <c r="O5660" s="268"/>
    </row>
    <row r="5661" spans="9:15" x14ac:dyDescent="0.25">
      <c r="I5661" s="268"/>
      <c r="O5661" s="268"/>
    </row>
    <row r="5662" spans="9:15" x14ac:dyDescent="0.25">
      <c r="I5662" s="268"/>
      <c r="O5662" s="268"/>
    </row>
    <row r="5663" spans="9:15" x14ac:dyDescent="0.25">
      <c r="I5663" s="268"/>
      <c r="O5663" s="268"/>
    </row>
    <row r="5664" spans="9:15" x14ac:dyDescent="0.25">
      <c r="I5664" s="268"/>
      <c r="O5664" s="268"/>
    </row>
    <row r="5665" spans="9:15" x14ac:dyDescent="0.25">
      <c r="I5665" s="268"/>
      <c r="O5665" s="268"/>
    </row>
    <row r="5666" spans="9:15" x14ac:dyDescent="0.25">
      <c r="I5666" s="268"/>
      <c r="O5666" s="268"/>
    </row>
    <row r="5667" spans="9:15" x14ac:dyDescent="0.25">
      <c r="I5667" s="268"/>
      <c r="O5667" s="268"/>
    </row>
    <row r="5668" spans="9:15" x14ac:dyDescent="0.25">
      <c r="I5668" s="268"/>
      <c r="O5668" s="268"/>
    </row>
    <row r="5669" spans="9:15" x14ac:dyDescent="0.25">
      <c r="I5669" s="268"/>
      <c r="O5669" s="268"/>
    </row>
    <row r="5670" spans="9:15" x14ac:dyDescent="0.25">
      <c r="I5670" s="268"/>
      <c r="O5670" s="268"/>
    </row>
    <row r="5671" spans="9:15" x14ac:dyDescent="0.25">
      <c r="I5671" s="268"/>
      <c r="O5671" s="268"/>
    </row>
    <row r="5672" spans="9:15" x14ac:dyDescent="0.25">
      <c r="I5672" s="268"/>
      <c r="O5672" s="268"/>
    </row>
    <row r="5673" spans="9:15" x14ac:dyDescent="0.25">
      <c r="I5673" s="268"/>
      <c r="O5673" s="268"/>
    </row>
    <row r="5674" spans="9:15" x14ac:dyDescent="0.25">
      <c r="I5674" s="268"/>
      <c r="O5674" s="268"/>
    </row>
    <row r="5675" spans="9:15" x14ac:dyDescent="0.25">
      <c r="I5675" s="268"/>
      <c r="O5675" s="268"/>
    </row>
    <row r="5676" spans="9:15" x14ac:dyDescent="0.25">
      <c r="I5676" s="268"/>
      <c r="O5676" s="268"/>
    </row>
    <row r="5677" spans="9:15" x14ac:dyDescent="0.25">
      <c r="I5677" s="268"/>
      <c r="O5677" s="268"/>
    </row>
    <row r="5678" spans="9:15" x14ac:dyDescent="0.25">
      <c r="I5678" s="268"/>
      <c r="O5678" s="268"/>
    </row>
    <row r="5679" spans="9:15" x14ac:dyDescent="0.25">
      <c r="I5679" s="268"/>
      <c r="O5679" s="268"/>
    </row>
    <row r="5680" spans="9:15" x14ac:dyDescent="0.25">
      <c r="I5680" s="268"/>
      <c r="O5680" s="268"/>
    </row>
    <row r="5681" spans="9:15" x14ac:dyDescent="0.25">
      <c r="I5681" s="268"/>
      <c r="O5681" s="268"/>
    </row>
    <row r="5682" spans="9:15" x14ac:dyDescent="0.25">
      <c r="I5682" s="268"/>
      <c r="O5682" s="268"/>
    </row>
    <row r="5683" spans="9:15" x14ac:dyDescent="0.25">
      <c r="I5683" s="268"/>
      <c r="O5683" s="268"/>
    </row>
    <row r="5684" spans="9:15" x14ac:dyDescent="0.25">
      <c r="I5684" s="268"/>
      <c r="O5684" s="268"/>
    </row>
    <row r="5685" spans="9:15" x14ac:dyDescent="0.25">
      <c r="I5685" s="268"/>
      <c r="O5685" s="268"/>
    </row>
    <row r="5686" spans="9:15" x14ac:dyDescent="0.25">
      <c r="I5686" s="268"/>
      <c r="O5686" s="268"/>
    </row>
    <row r="5687" spans="9:15" x14ac:dyDescent="0.25">
      <c r="I5687" s="268"/>
      <c r="O5687" s="268"/>
    </row>
    <row r="5688" spans="9:15" x14ac:dyDescent="0.25">
      <c r="I5688" s="268"/>
      <c r="O5688" s="268"/>
    </row>
    <row r="5689" spans="9:15" x14ac:dyDescent="0.25">
      <c r="I5689" s="268"/>
      <c r="O5689" s="268"/>
    </row>
    <row r="5690" spans="9:15" x14ac:dyDescent="0.25">
      <c r="I5690" s="268"/>
      <c r="O5690" s="268"/>
    </row>
    <row r="5691" spans="9:15" x14ac:dyDescent="0.25">
      <c r="I5691" s="268"/>
      <c r="O5691" s="268"/>
    </row>
    <row r="5692" spans="9:15" x14ac:dyDescent="0.25">
      <c r="I5692" s="268"/>
      <c r="O5692" s="268"/>
    </row>
    <row r="5693" spans="9:15" x14ac:dyDescent="0.25">
      <c r="I5693" s="268"/>
      <c r="O5693" s="268"/>
    </row>
    <row r="5694" spans="9:15" x14ac:dyDescent="0.25">
      <c r="I5694" s="268"/>
      <c r="O5694" s="268"/>
    </row>
    <row r="5695" spans="9:15" x14ac:dyDescent="0.25">
      <c r="I5695" s="268"/>
      <c r="O5695" s="268"/>
    </row>
    <row r="5696" spans="9:15" x14ac:dyDescent="0.25">
      <c r="I5696" s="268"/>
      <c r="O5696" s="268"/>
    </row>
    <row r="5697" spans="9:15" x14ac:dyDescent="0.25">
      <c r="I5697" s="268"/>
      <c r="O5697" s="268"/>
    </row>
    <row r="5698" spans="9:15" x14ac:dyDescent="0.25">
      <c r="I5698" s="268"/>
      <c r="O5698" s="268"/>
    </row>
    <row r="5699" spans="9:15" x14ac:dyDescent="0.25">
      <c r="I5699" s="268"/>
      <c r="O5699" s="268"/>
    </row>
    <row r="5700" spans="9:15" x14ac:dyDescent="0.25">
      <c r="I5700" s="268"/>
      <c r="O5700" s="268"/>
    </row>
    <row r="5701" spans="9:15" x14ac:dyDescent="0.25">
      <c r="I5701" s="268"/>
      <c r="O5701" s="268"/>
    </row>
    <row r="5702" spans="9:15" x14ac:dyDescent="0.25">
      <c r="I5702" s="268"/>
      <c r="O5702" s="268"/>
    </row>
    <row r="5703" spans="9:15" x14ac:dyDescent="0.25">
      <c r="I5703" s="268"/>
      <c r="O5703" s="268"/>
    </row>
    <row r="5704" spans="9:15" x14ac:dyDescent="0.25">
      <c r="I5704" s="268"/>
      <c r="O5704" s="268"/>
    </row>
    <row r="5705" spans="9:15" x14ac:dyDescent="0.25">
      <c r="I5705" s="268"/>
      <c r="O5705" s="268"/>
    </row>
    <row r="5706" spans="9:15" x14ac:dyDescent="0.25">
      <c r="I5706" s="268"/>
      <c r="O5706" s="268"/>
    </row>
    <row r="5707" spans="9:15" x14ac:dyDescent="0.25">
      <c r="I5707" s="268"/>
      <c r="O5707" s="268"/>
    </row>
    <row r="5708" spans="9:15" x14ac:dyDescent="0.25">
      <c r="I5708" s="268"/>
      <c r="O5708" s="268"/>
    </row>
    <row r="5709" spans="9:15" x14ac:dyDescent="0.25">
      <c r="I5709" s="268"/>
      <c r="O5709" s="268"/>
    </row>
    <row r="5710" spans="9:15" x14ac:dyDescent="0.25">
      <c r="I5710" s="268"/>
      <c r="O5710" s="268"/>
    </row>
    <row r="5711" spans="9:15" x14ac:dyDescent="0.25">
      <c r="I5711" s="268"/>
      <c r="O5711" s="268"/>
    </row>
    <row r="5712" spans="9:15" x14ac:dyDescent="0.25">
      <c r="I5712" s="268"/>
      <c r="O5712" s="268"/>
    </row>
    <row r="5713" spans="9:15" x14ac:dyDescent="0.25">
      <c r="I5713" s="268"/>
      <c r="O5713" s="268"/>
    </row>
    <row r="5714" spans="9:15" x14ac:dyDescent="0.25">
      <c r="I5714" s="268"/>
      <c r="O5714" s="268"/>
    </row>
    <row r="5715" spans="9:15" x14ac:dyDescent="0.25">
      <c r="I5715" s="268"/>
      <c r="O5715" s="268"/>
    </row>
    <row r="5716" spans="9:15" x14ac:dyDescent="0.25">
      <c r="I5716" s="268"/>
      <c r="O5716" s="268"/>
    </row>
    <row r="5717" spans="9:15" x14ac:dyDescent="0.25">
      <c r="I5717" s="268"/>
      <c r="O5717" s="268"/>
    </row>
    <row r="5718" spans="9:15" x14ac:dyDescent="0.25">
      <c r="I5718" s="268"/>
      <c r="O5718" s="268"/>
    </row>
    <row r="5719" spans="9:15" x14ac:dyDescent="0.25">
      <c r="I5719" s="268"/>
      <c r="O5719" s="268"/>
    </row>
    <row r="5720" spans="9:15" x14ac:dyDescent="0.25">
      <c r="I5720" s="268"/>
      <c r="O5720" s="268"/>
    </row>
    <row r="5721" spans="9:15" x14ac:dyDescent="0.25">
      <c r="I5721" s="268"/>
      <c r="O5721" s="268"/>
    </row>
    <row r="5722" spans="9:15" x14ac:dyDescent="0.25">
      <c r="I5722" s="268"/>
      <c r="O5722" s="268"/>
    </row>
    <row r="5723" spans="9:15" x14ac:dyDescent="0.25">
      <c r="I5723" s="268"/>
      <c r="O5723" s="268"/>
    </row>
    <row r="5724" spans="9:15" x14ac:dyDescent="0.25">
      <c r="I5724" s="268"/>
      <c r="O5724" s="268"/>
    </row>
    <row r="5725" spans="9:15" x14ac:dyDescent="0.25">
      <c r="I5725" s="268"/>
      <c r="O5725" s="268"/>
    </row>
    <row r="5726" spans="9:15" x14ac:dyDescent="0.25">
      <c r="I5726" s="268"/>
      <c r="O5726" s="268"/>
    </row>
    <row r="5727" spans="9:15" x14ac:dyDescent="0.25">
      <c r="I5727" s="268"/>
      <c r="O5727" s="268"/>
    </row>
    <row r="5728" spans="9:15" x14ac:dyDescent="0.25">
      <c r="I5728" s="268"/>
      <c r="O5728" s="268"/>
    </row>
    <row r="5729" spans="9:15" x14ac:dyDescent="0.25">
      <c r="I5729" s="268"/>
      <c r="O5729" s="268"/>
    </row>
    <row r="5730" spans="9:15" x14ac:dyDescent="0.25">
      <c r="I5730" s="268"/>
      <c r="O5730" s="268"/>
    </row>
    <row r="5731" spans="9:15" x14ac:dyDescent="0.25">
      <c r="I5731" s="268"/>
      <c r="O5731" s="268"/>
    </row>
    <row r="5732" spans="9:15" x14ac:dyDescent="0.25">
      <c r="I5732" s="268"/>
      <c r="O5732" s="268"/>
    </row>
    <row r="5733" spans="9:15" x14ac:dyDescent="0.25">
      <c r="I5733" s="268"/>
      <c r="O5733" s="268"/>
    </row>
    <row r="5734" spans="9:15" x14ac:dyDescent="0.25">
      <c r="I5734" s="268"/>
      <c r="O5734" s="268"/>
    </row>
    <row r="5735" spans="9:15" x14ac:dyDescent="0.25">
      <c r="I5735" s="268"/>
      <c r="O5735" s="268"/>
    </row>
    <row r="5736" spans="9:15" x14ac:dyDescent="0.25">
      <c r="I5736" s="268"/>
      <c r="O5736" s="268"/>
    </row>
    <row r="5737" spans="9:15" x14ac:dyDescent="0.25">
      <c r="I5737" s="268"/>
      <c r="O5737" s="268"/>
    </row>
    <row r="5738" spans="9:15" x14ac:dyDescent="0.25">
      <c r="I5738" s="268"/>
      <c r="O5738" s="268"/>
    </row>
    <row r="5739" spans="9:15" x14ac:dyDescent="0.25">
      <c r="I5739" s="268"/>
      <c r="O5739" s="268"/>
    </row>
    <row r="5740" spans="9:15" x14ac:dyDescent="0.25">
      <c r="I5740" s="268"/>
      <c r="O5740" s="268"/>
    </row>
    <row r="5741" spans="9:15" x14ac:dyDescent="0.25">
      <c r="I5741" s="268"/>
      <c r="O5741" s="268"/>
    </row>
    <row r="5742" spans="9:15" x14ac:dyDescent="0.25">
      <c r="I5742" s="268"/>
      <c r="O5742" s="268"/>
    </row>
    <row r="5743" spans="9:15" x14ac:dyDescent="0.25">
      <c r="I5743" s="268"/>
      <c r="O5743" s="268"/>
    </row>
    <row r="5744" spans="9:15" x14ac:dyDescent="0.25">
      <c r="I5744" s="268"/>
      <c r="O5744" s="268"/>
    </row>
    <row r="5745" spans="9:15" x14ac:dyDescent="0.25">
      <c r="I5745" s="268"/>
      <c r="O5745" s="268"/>
    </row>
    <row r="5746" spans="9:15" x14ac:dyDescent="0.25">
      <c r="I5746" s="268"/>
      <c r="O5746" s="268"/>
    </row>
    <row r="5747" spans="9:15" x14ac:dyDescent="0.25">
      <c r="I5747" s="268"/>
      <c r="O5747" s="268"/>
    </row>
    <row r="5748" spans="9:15" x14ac:dyDescent="0.25">
      <c r="I5748" s="268"/>
      <c r="O5748" s="268"/>
    </row>
    <row r="5749" spans="9:15" x14ac:dyDescent="0.25">
      <c r="I5749" s="268"/>
      <c r="O5749" s="268"/>
    </row>
    <row r="5750" spans="9:15" x14ac:dyDescent="0.25">
      <c r="I5750" s="268"/>
      <c r="O5750" s="268"/>
    </row>
    <row r="5751" spans="9:15" x14ac:dyDescent="0.25">
      <c r="I5751" s="268"/>
      <c r="O5751" s="268"/>
    </row>
    <row r="5752" spans="9:15" x14ac:dyDescent="0.25">
      <c r="I5752" s="268"/>
      <c r="O5752" s="268"/>
    </row>
    <row r="5753" spans="9:15" x14ac:dyDescent="0.25">
      <c r="I5753" s="268"/>
      <c r="O5753" s="268"/>
    </row>
    <row r="5754" spans="9:15" x14ac:dyDescent="0.25">
      <c r="I5754" s="268"/>
      <c r="O5754" s="268"/>
    </row>
    <row r="5755" spans="9:15" x14ac:dyDescent="0.25">
      <c r="I5755" s="268"/>
      <c r="O5755" s="268"/>
    </row>
    <row r="5756" spans="9:15" x14ac:dyDescent="0.25">
      <c r="I5756" s="268"/>
      <c r="O5756" s="268"/>
    </row>
    <row r="5757" spans="9:15" x14ac:dyDescent="0.25">
      <c r="I5757" s="268"/>
      <c r="O5757" s="268"/>
    </row>
    <row r="5758" spans="9:15" x14ac:dyDescent="0.25">
      <c r="I5758" s="268"/>
      <c r="O5758" s="268"/>
    </row>
    <row r="5759" spans="9:15" x14ac:dyDescent="0.25">
      <c r="I5759" s="268"/>
      <c r="O5759" s="268"/>
    </row>
    <row r="5760" spans="9:15" x14ac:dyDescent="0.25">
      <c r="I5760" s="268"/>
      <c r="O5760" s="268"/>
    </row>
    <row r="5761" spans="9:15" x14ac:dyDescent="0.25">
      <c r="I5761" s="268"/>
      <c r="O5761" s="268"/>
    </row>
    <row r="5762" spans="9:15" x14ac:dyDescent="0.25">
      <c r="I5762" s="268"/>
      <c r="O5762" s="268"/>
    </row>
    <row r="5763" spans="9:15" x14ac:dyDescent="0.25">
      <c r="I5763" s="268"/>
      <c r="O5763" s="268"/>
    </row>
    <row r="5764" spans="9:15" x14ac:dyDescent="0.25">
      <c r="I5764" s="268"/>
      <c r="O5764" s="268"/>
    </row>
    <row r="5765" spans="9:15" x14ac:dyDescent="0.25">
      <c r="I5765" s="268"/>
      <c r="O5765" s="268"/>
    </row>
    <row r="5766" spans="9:15" x14ac:dyDescent="0.25">
      <c r="I5766" s="268"/>
      <c r="O5766" s="268"/>
    </row>
    <row r="5767" spans="9:15" x14ac:dyDescent="0.25">
      <c r="I5767" s="268"/>
      <c r="O5767" s="268"/>
    </row>
    <row r="5768" spans="9:15" x14ac:dyDescent="0.25">
      <c r="I5768" s="268"/>
      <c r="O5768" s="268"/>
    </row>
    <row r="5769" spans="9:15" x14ac:dyDescent="0.25">
      <c r="I5769" s="268"/>
      <c r="O5769" s="268"/>
    </row>
    <row r="5770" spans="9:15" x14ac:dyDescent="0.25">
      <c r="I5770" s="268"/>
      <c r="O5770" s="268"/>
    </row>
    <row r="5771" spans="9:15" x14ac:dyDescent="0.25">
      <c r="I5771" s="268"/>
      <c r="O5771" s="268"/>
    </row>
    <row r="5772" spans="9:15" x14ac:dyDescent="0.25">
      <c r="I5772" s="268"/>
      <c r="O5772" s="268"/>
    </row>
    <row r="5773" spans="9:15" x14ac:dyDescent="0.25">
      <c r="I5773" s="268"/>
      <c r="O5773" s="268"/>
    </row>
    <row r="5774" spans="9:15" x14ac:dyDescent="0.25">
      <c r="I5774" s="268"/>
      <c r="O5774" s="268"/>
    </row>
    <row r="5775" spans="9:15" x14ac:dyDescent="0.25">
      <c r="I5775" s="268"/>
      <c r="O5775" s="268"/>
    </row>
    <row r="5776" spans="9:15" x14ac:dyDescent="0.25">
      <c r="I5776" s="268"/>
      <c r="O5776" s="268"/>
    </row>
    <row r="5777" spans="9:15" x14ac:dyDescent="0.25">
      <c r="I5777" s="268"/>
      <c r="O5777" s="268"/>
    </row>
    <row r="5778" spans="9:15" x14ac:dyDescent="0.25">
      <c r="I5778" s="268"/>
      <c r="O5778" s="268"/>
    </row>
    <row r="5779" spans="9:15" x14ac:dyDescent="0.25">
      <c r="I5779" s="268"/>
      <c r="O5779" s="268"/>
    </row>
    <row r="5780" spans="9:15" x14ac:dyDescent="0.25">
      <c r="I5780" s="268"/>
      <c r="O5780" s="268"/>
    </row>
    <row r="5781" spans="9:15" x14ac:dyDescent="0.25">
      <c r="I5781" s="268"/>
      <c r="O5781" s="268"/>
    </row>
    <row r="5782" spans="9:15" x14ac:dyDescent="0.25">
      <c r="I5782" s="268"/>
      <c r="O5782" s="268"/>
    </row>
    <row r="5783" spans="9:15" x14ac:dyDescent="0.25">
      <c r="I5783" s="268"/>
      <c r="O5783" s="268"/>
    </row>
    <row r="5784" spans="9:15" x14ac:dyDescent="0.25">
      <c r="I5784" s="268"/>
      <c r="O5784" s="268"/>
    </row>
    <row r="5785" spans="9:15" x14ac:dyDescent="0.25">
      <c r="I5785" s="268"/>
      <c r="O5785" s="268"/>
    </row>
    <row r="5786" spans="9:15" x14ac:dyDescent="0.25">
      <c r="I5786" s="268"/>
      <c r="O5786" s="268"/>
    </row>
    <row r="5787" spans="9:15" x14ac:dyDescent="0.25">
      <c r="I5787" s="268"/>
      <c r="O5787" s="268"/>
    </row>
    <row r="5788" spans="9:15" x14ac:dyDescent="0.25">
      <c r="I5788" s="268"/>
      <c r="O5788" s="268"/>
    </row>
    <row r="5789" spans="9:15" x14ac:dyDescent="0.25">
      <c r="I5789" s="268"/>
      <c r="O5789" s="268"/>
    </row>
    <row r="5790" spans="9:15" x14ac:dyDescent="0.25">
      <c r="I5790" s="268"/>
      <c r="O5790" s="268"/>
    </row>
    <row r="5791" spans="9:15" x14ac:dyDescent="0.25">
      <c r="I5791" s="268"/>
      <c r="O5791" s="268"/>
    </row>
    <row r="5792" spans="9:15" x14ac:dyDescent="0.25">
      <c r="I5792" s="268"/>
      <c r="O5792" s="268"/>
    </row>
    <row r="5793" spans="9:15" x14ac:dyDescent="0.25">
      <c r="I5793" s="268"/>
      <c r="O5793" s="268"/>
    </row>
    <row r="5794" spans="9:15" x14ac:dyDescent="0.25">
      <c r="I5794" s="268"/>
      <c r="O5794" s="268"/>
    </row>
    <row r="5795" spans="9:15" x14ac:dyDescent="0.25">
      <c r="I5795" s="268"/>
      <c r="O5795" s="268"/>
    </row>
    <row r="5796" spans="9:15" x14ac:dyDescent="0.25">
      <c r="I5796" s="268"/>
      <c r="O5796" s="268"/>
    </row>
    <row r="5797" spans="9:15" x14ac:dyDescent="0.25">
      <c r="I5797" s="268"/>
      <c r="O5797" s="268"/>
    </row>
    <row r="5798" spans="9:15" x14ac:dyDescent="0.25">
      <c r="I5798" s="268"/>
      <c r="O5798" s="268"/>
    </row>
    <row r="5799" spans="9:15" x14ac:dyDescent="0.25">
      <c r="I5799" s="268"/>
      <c r="O5799" s="268"/>
    </row>
    <row r="5800" spans="9:15" x14ac:dyDescent="0.25">
      <c r="I5800" s="268"/>
      <c r="O5800" s="268"/>
    </row>
    <row r="5801" spans="9:15" x14ac:dyDescent="0.25">
      <c r="I5801" s="268"/>
      <c r="O5801" s="268"/>
    </row>
    <row r="5802" spans="9:15" x14ac:dyDescent="0.25">
      <c r="I5802" s="268"/>
      <c r="O5802" s="268"/>
    </row>
    <row r="5803" spans="9:15" x14ac:dyDescent="0.25">
      <c r="I5803" s="268"/>
      <c r="O5803" s="268"/>
    </row>
    <row r="5804" spans="9:15" x14ac:dyDescent="0.25">
      <c r="I5804" s="268"/>
      <c r="O5804" s="268"/>
    </row>
    <row r="5805" spans="9:15" x14ac:dyDescent="0.25">
      <c r="I5805" s="268"/>
      <c r="O5805" s="268"/>
    </row>
    <row r="5806" spans="9:15" x14ac:dyDescent="0.25">
      <c r="I5806" s="268"/>
      <c r="O5806" s="268"/>
    </row>
    <row r="5807" spans="9:15" x14ac:dyDescent="0.25">
      <c r="I5807" s="268"/>
      <c r="O5807" s="268"/>
    </row>
    <row r="5808" spans="9:15" x14ac:dyDescent="0.25">
      <c r="I5808" s="268"/>
      <c r="O5808" s="268"/>
    </row>
    <row r="5809" spans="9:15" x14ac:dyDescent="0.25">
      <c r="I5809" s="268"/>
      <c r="O5809" s="268"/>
    </row>
    <row r="5810" spans="9:15" x14ac:dyDescent="0.25">
      <c r="I5810" s="268"/>
      <c r="O5810" s="268"/>
    </row>
    <row r="5811" spans="9:15" x14ac:dyDescent="0.25">
      <c r="I5811" s="268"/>
      <c r="O5811" s="268"/>
    </row>
    <row r="5812" spans="9:15" x14ac:dyDescent="0.25">
      <c r="I5812" s="268"/>
      <c r="O5812" s="268"/>
    </row>
    <row r="5813" spans="9:15" x14ac:dyDescent="0.25">
      <c r="I5813" s="268"/>
      <c r="O5813" s="268"/>
    </row>
    <row r="5814" spans="9:15" x14ac:dyDescent="0.25">
      <c r="I5814" s="268"/>
      <c r="O5814" s="268"/>
    </row>
    <row r="5815" spans="9:15" x14ac:dyDescent="0.25">
      <c r="I5815" s="268"/>
      <c r="O5815" s="268"/>
    </row>
    <row r="5816" spans="9:15" x14ac:dyDescent="0.25">
      <c r="I5816" s="268"/>
      <c r="O5816" s="268"/>
    </row>
    <row r="5817" spans="9:15" x14ac:dyDescent="0.25">
      <c r="I5817" s="268"/>
      <c r="O5817" s="268"/>
    </row>
    <row r="5818" spans="9:15" x14ac:dyDescent="0.25">
      <c r="I5818" s="268"/>
      <c r="O5818" s="268"/>
    </row>
    <row r="5819" spans="9:15" x14ac:dyDescent="0.25">
      <c r="I5819" s="268"/>
      <c r="O5819" s="268"/>
    </row>
    <row r="5820" spans="9:15" x14ac:dyDescent="0.25">
      <c r="I5820" s="268"/>
      <c r="O5820" s="268"/>
    </row>
    <row r="5821" spans="9:15" x14ac:dyDescent="0.25">
      <c r="I5821" s="268"/>
      <c r="O5821" s="268"/>
    </row>
    <row r="5822" spans="9:15" x14ac:dyDescent="0.25">
      <c r="I5822" s="268"/>
      <c r="O5822" s="268"/>
    </row>
    <row r="5823" spans="9:15" x14ac:dyDescent="0.25">
      <c r="I5823" s="268"/>
      <c r="O5823" s="268"/>
    </row>
    <row r="5824" spans="9:15" x14ac:dyDescent="0.25">
      <c r="I5824" s="268"/>
      <c r="O5824" s="268"/>
    </row>
    <row r="5825" spans="9:15" x14ac:dyDescent="0.25">
      <c r="I5825" s="268"/>
      <c r="O5825" s="268"/>
    </row>
    <row r="5826" spans="9:15" x14ac:dyDescent="0.25">
      <c r="I5826" s="268"/>
      <c r="O5826" s="268"/>
    </row>
    <row r="5827" spans="9:15" x14ac:dyDescent="0.25">
      <c r="I5827" s="268"/>
      <c r="O5827" s="268"/>
    </row>
    <row r="5828" spans="9:15" x14ac:dyDescent="0.25">
      <c r="I5828" s="268"/>
      <c r="O5828" s="268"/>
    </row>
    <row r="5829" spans="9:15" x14ac:dyDescent="0.25">
      <c r="I5829" s="268"/>
      <c r="O5829" s="268"/>
    </row>
    <row r="5830" spans="9:15" x14ac:dyDescent="0.25">
      <c r="I5830" s="268"/>
      <c r="O5830" s="268"/>
    </row>
    <row r="5831" spans="9:15" x14ac:dyDescent="0.25">
      <c r="I5831" s="268"/>
      <c r="O5831" s="268"/>
    </row>
    <row r="5832" spans="9:15" x14ac:dyDescent="0.25">
      <c r="I5832" s="268"/>
      <c r="O5832" s="268"/>
    </row>
    <row r="5833" spans="9:15" x14ac:dyDescent="0.25">
      <c r="I5833" s="268"/>
      <c r="O5833" s="268"/>
    </row>
    <row r="5834" spans="9:15" x14ac:dyDescent="0.25">
      <c r="I5834" s="268"/>
      <c r="O5834" s="268"/>
    </row>
    <row r="5835" spans="9:15" x14ac:dyDescent="0.25">
      <c r="I5835" s="268"/>
      <c r="O5835" s="268"/>
    </row>
    <row r="5836" spans="9:15" x14ac:dyDescent="0.25">
      <c r="I5836" s="268"/>
      <c r="O5836" s="268"/>
    </row>
    <row r="5837" spans="9:15" x14ac:dyDescent="0.25">
      <c r="I5837" s="268"/>
      <c r="O5837" s="268"/>
    </row>
    <row r="5838" spans="9:15" x14ac:dyDescent="0.25">
      <c r="I5838" s="268"/>
      <c r="O5838" s="268"/>
    </row>
    <row r="5839" spans="9:15" x14ac:dyDescent="0.25">
      <c r="I5839" s="268"/>
      <c r="O5839" s="268"/>
    </row>
    <row r="5840" spans="9:15" x14ac:dyDescent="0.25">
      <c r="I5840" s="268"/>
      <c r="O5840" s="268"/>
    </row>
    <row r="5841" spans="9:15" x14ac:dyDescent="0.25">
      <c r="I5841" s="268"/>
      <c r="O5841" s="268"/>
    </row>
    <row r="5842" spans="9:15" x14ac:dyDescent="0.25">
      <c r="I5842" s="268"/>
      <c r="O5842" s="268"/>
    </row>
    <row r="5843" spans="9:15" x14ac:dyDescent="0.25">
      <c r="I5843" s="268"/>
      <c r="O5843" s="268"/>
    </row>
    <row r="5844" spans="9:15" x14ac:dyDescent="0.25">
      <c r="I5844" s="268"/>
      <c r="O5844" s="268"/>
    </row>
    <row r="5845" spans="9:15" x14ac:dyDescent="0.25">
      <c r="I5845" s="268"/>
      <c r="O5845" s="268"/>
    </row>
    <row r="5846" spans="9:15" x14ac:dyDescent="0.25">
      <c r="I5846" s="268"/>
      <c r="O5846" s="268"/>
    </row>
    <row r="5847" spans="9:15" x14ac:dyDescent="0.25">
      <c r="I5847" s="268"/>
      <c r="O5847" s="268"/>
    </row>
    <row r="5848" spans="9:15" x14ac:dyDescent="0.25">
      <c r="I5848" s="268"/>
      <c r="O5848" s="268"/>
    </row>
    <row r="5849" spans="9:15" x14ac:dyDescent="0.25">
      <c r="I5849" s="268"/>
      <c r="O5849" s="268"/>
    </row>
    <row r="5850" spans="9:15" x14ac:dyDescent="0.25">
      <c r="I5850" s="268"/>
      <c r="O5850" s="268"/>
    </row>
    <row r="5851" spans="9:15" x14ac:dyDescent="0.25">
      <c r="I5851" s="268"/>
      <c r="O5851" s="268"/>
    </row>
    <row r="5852" spans="9:15" x14ac:dyDescent="0.25">
      <c r="I5852" s="268"/>
      <c r="O5852" s="268"/>
    </row>
    <row r="5853" spans="9:15" x14ac:dyDescent="0.25">
      <c r="I5853" s="268"/>
      <c r="O5853" s="268"/>
    </row>
    <row r="5854" spans="9:15" x14ac:dyDescent="0.25">
      <c r="I5854" s="268"/>
      <c r="O5854" s="268"/>
    </row>
    <row r="5855" spans="9:15" x14ac:dyDescent="0.25">
      <c r="I5855" s="268"/>
      <c r="O5855" s="268"/>
    </row>
    <row r="5856" spans="9:15" x14ac:dyDescent="0.25">
      <c r="I5856" s="268"/>
      <c r="O5856" s="268"/>
    </row>
    <row r="5857" spans="9:15" x14ac:dyDescent="0.25">
      <c r="I5857" s="268"/>
      <c r="O5857" s="268"/>
    </row>
    <row r="5858" spans="9:15" x14ac:dyDescent="0.25">
      <c r="I5858" s="268"/>
      <c r="O5858" s="268"/>
    </row>
    <row r="5859" spans="9:15" x14ac:dyDescent="0.25">
      <c r="I5859" s="268"/>
      <c r="O5859" s="268"/>
    </row>
    <row r="5860" spans="9:15" x14ac:dyDescent="0.25">
      <c r="I5860" s="268"/>
      <c r="O5860" s="268"/>
    </row>
    <row r="5861" spans="9:15" x14ac:dyDescent="0.25">
      <c r="I5861" s="268"/>
      <c r="O5861" s="268"/>
    </row>
    <row r="5862" spans="9:15" x14ac:dyDescent="0.25">
      <c r="I5862" s="268"/>
      <c r="O5862" s="268"/>
    </row>
    <row r="5863" spans="9:15" x14ac:dyDescent="0.25">
      <c r="I5863" s="268"/>
      <c r="O5863" s="268"/>
    </row>
    <row r="5864" spans="9:15" x14ac:dyDescent="0.25">
      <c r="I5864" s="268"/>
      <c r="O5864" s="268"/>
    </row>
    <row r="5865" spans="9:15" x14ac:dyDescent="0.25">
      <c r="I5865" s="268"/>
      <c r="O5865" s="268"/>
    </row>
    <row r="5866" spans="9:15" x14ac:dyDescent="0.25">
      <c r="I5866" s="268"/>
      <c r="O5866" s="268"/>
    </row>
    <row r="5867" spans="9:15" x14ac:dyDescent="0.25">
      <c r="I5867" s="268"/>
      <c r="O5867" s="268"/>
    </row>
    <row r="5868" spans="9:15" x14ac:dyDescent="0.25">
      <c r="I5868" s="268"/>
      <c r="O5868" s="268"/>
    </row>
    <row r="5869" spans="9:15" x14ac:dyDescent="0.25">
      <c r="I5869" s="268"/>
      <c r="O5869" s="268"/>
    </row>
    <row r="5870" spans="9:15" x14ac:dyDescent="0.25">
      <c r="I5870" s="268"/>
      <c r="O5870" s="268"/>
    </row>
    <row r="5871" spans="9:15" x14ac:dyDescent="0.25">
      <c r="I5871" s="268"/>
      <c r="O5871" s="268"/>
    </row>
    <row r="5872" spans="9:15" x14ac:dyDescent="0.25">
      <c r="I5872" s="268"/>
      <c r="O5872" s="268"/>
    </row>
    <row r="5873" spans="9:15" x14ac:dyDescent="0.25">
      <c r="I5873" s="268"/>
      <c r="O5873" s="268"/>
    </row>
    <row r="5874" spans="9:15" x14ac:dyDescent="0.25">
      <c r="I5874" s="268"/>
      <c r="O5874" s="268"/>
    </row>
    <row r="5875" spans="9:15" x14ac:dyDescent="0.25">
      <c r="I5875" s="268"/>
      <c r="O5875" s="268"/>
    </row>
    <row r="5876" spans="9:15" x14ac:dyDescent="0.25">
      <c r="I5876" s="268"/>
      <c r="O5876" s="268"/>
    </row>
    <row r="5877" spans="9:15" x14ac:dyDescent="0.25">
      <c r="I5877" s="268"/>
      <c r="O5877" s="268"/>
    </row>
    <row r="5878" spans="9:15" x14ac:dyDescent="0.25">
      <c r="I5878" s="268"/>
      <c r="O5878" s="268"/>
    </row>
    <row r="5879" spans="9:15" x14ac:dyDescent="0.25">
      <c r="I5879" s="268"/>
      <c r="O5879" s="268"/>
    </row>
    <row r="5880" spans="9:15" x14ac:dyDescent="0.25">
      <c r="I5880" s="268"/>
      <c r="O5880" s="268"/>
    </row>
    <row r="5881" spans="9:15" x14ac:dyDescent="0.25">
      <c r="I5881" s="268"/>
      <c r="O5881" s="268"/>
    </row>
    <row r="5882" spans="9:15" x14ac:dyDescent="0.25">
      <c r="I5882" s="268"/>
      <c r="O5882" s="268"/>
    </row>
    <row r="5883" spans="9:15" x14ac:dyDescent="0.25">
      <c r="I5883" s="268"/>
      <c r="O5883" s="268"/>
    </row>
    <row r="5884" spans="9:15" x14ac:dyDescent="0.25">
      <c r="I5884" s="268"/>
      <c r="O5884" s="268"/>
    </row>
    <row r="5885" spans="9:15" x14ac:dyDescent="0.25">
      <c r="I5885" s="268"/>
      <c r="O5885" s="268"/>
    </row>
    <row r="5886" spans="9:15" x14ac:dyDescent="0.25">
      <c r="I5886" s="268"/>
      <c r="O5886" s="268"/>
    </row>
    <row r="5887" spans="9:15" x14ac:dyDescent="0.25">
      <c r="I5887" s="268"/>
      <c r="O5887" s="268"/>
    </row>
    <row r="5888" spans="9:15" x14ac:dyDescent="0.25">
      <c r="I5888" s="268"/>
      <c r="O5888" s="268"/>
    </row>
    <row r="5889" spans="9:15" x14ac:dyDescent="0.25">
      <c r="I5889" s="268"/>
      <c r="O5889" s="268"/>
    </row>
    <row r="5890" spans="9:15" x14ac:dyDescent="0.25">
      <c r="I5890" s="268"/>
      <c r="O5890" s="268"/>
    </row>
    <row r="5891" spans="9:15" x14ac:dyDescent="0.25">
      <c r="I5891" s="268"/>
      <c r="O5891" s="268"/>
    </row>
    <row r="5892" spans="9:15" x14ac:dyDescent="0.25">
      <c r="I5892" s="268"/>
      <c r="O5892" s="268"/>
    </row>
    <row r="5893" spans="9:15" x14ac:dyDescent="0.25">
      <c r="I5893" s="268"/>
      <c r="O5893" s="268"/>
    </row>
    <row r="5894" spans="9:15" x14ac:dyDescent="0.25">
      <c r="I5894" s="268"/>
      <c r="O5894" s="268"/>
    </row>
    <row r="5895" spans="9:15" x14ac:dyDescent="0.25">
      <c r="I5895" s="268"/>
      <c r="O5895" s="268"/>
    </row>
    <row r="5896" spans="9:15" x14ac:dyDescent="0.25">
      <c r="I5896" s="268"/>
      <c r="O5896" s="268"/>
    </row>
    <row r="5897" spans="9:15" x14ac:dyDescent="0.25">
      <c r="I5897" s="268"/>
      <c r="O5897" s="268"/>
    </row>
    <row r="5898" spans="9:15" x14ac:dyDescent="0.25">
      <c r="I5898" s="268"/>
      <c r="O5898" s="268"/>
    </row>
    <row r="5899" spans="9:15" x14ac:dyDescent="0.25">
      <c r="I5899" s="268"/>
      <c r="O5899" s="268"/>
    </row>
    <row r="5900" spans="9:15" x14ac:dyDescent="0.25">
      <c r="I5900" s="268"/>
      <c r="O5900" s="268"/>
    </row>
    <row r="5901" spans="9:15" x14ac:dyDescent="0.25">
      <c r="I5901" s="268"/>
      <c r="O5901" s="268"/>
    </row>
    <row r="5902" spans="9:15" x14ac:dyDescent="0.25">
      <c r="I5902" s="268"/>
      <c r="O5902" s="268"/>
    </row>
    <row r="5903" spans="9:15" x14ac:dyDescent="0.25">
      <c r="I5903" s="268"/>
      <c r="O5903" s="268"/>
    </row>
    <row r="5904" spans="9:15" x14ac:dyDescent="0.25">
      <c r="I5904" s="268"/>
      <c r="O5904" s="268"/>
    </row>
    <row r="5905" spans="9:15" x14ac:dyDescent="0.25">
      <c r="I5905" s="268"/>
      <c r="O5905" s="268"/>
    </row>
    <row r="5906" spans="9:15" x14ac:dyDescent="0.25">
      <c r="I5906" s="268"/>
      <c r="O5906" s="268"/>
    </row>
    <row r="5907" spans="9:15" x14ac:dyDescent="0.25">
      <c r="I5907" s="268"/>
      <c r="O5907" s="268"/>
    </row>
    <row r="5908" spans="9:15" x14ac:dyDescent="0.25">
      <c r="I5908" s="268"/>
      <c r="O5908" s="268"/>
    </row>
    <row r="5909" spans="9:15" x14ac:dyDescent="0.25">
      <c r="I5909" s="268"/>
      <c r="O5909" s="268"/>
    </row>
    <row r="5910" spans="9:15" x14ac:dyDescent="0.25">
      <c r="I5910" s="268"/>
      <c r="O5910" s="268"/>
    </row>
    <row r="5911" spans="9:15" x14ac:dyDescent="0.25">
      <c r="I5911" s="268"/>
      <c r="O5911" s="268"/>
    </row>
    <row r="5912" spans="9:15" x14ac:dyDescent="0.25">
      <c r="I5912" s="268"/>
      <c r="O5912" s="268"/>
    </row>
    <row r="5913" spans="9:15" x14ac:dyDescent="0.25">
      <c r="I5913" s="268"/>
      <c r="O5913" s="268"/>
    </row>
    <row r="5914" spans="9:15" x14ac:dyDescent="0.25">
      <c r="I5914" s="268"/>
      <c r="O5914" s="268"/>
    </row>
    <row r="5915" spans="9:15" x14ac:dyDescent="0.25">
      <c r="I5915" s="268"/>
      <c r="O5915" s="268"/>
    </row>
    <row r="5916" spans="9:15" x14ac:dyDescent="0.25">
      <c r="I5916" s="268"/>
      <c r="O5916" s="268"/>
    </row>
    <row r="5917" spans="9:15" x14ac:dyDescent="0.25">
      <c r="I5917" s="268"/>
      <c r="O5917" s="268"/>
    </row>
    <row r="5918" spans="9:15" x14ac:dyDescent="0.25">
      <c r="I5918" s="268"/>
      <c r="O5918" s="268"/>
    </row>
    <row r="5919" spans="9:15" x14ac:dyDescent="0.25">
      <c r="I5919" s="268"/>
      <c r="O5919" s="268"/>
    </row>
    <row r="5920" spans="9:15" x14ac:dyDescent="0.25">
      <c r="I5920" s="268"/>
      <c r="O5920" s="268"/>
    </row>
    <row r="5921" spans="9:15" x14ac:dyDescent="0.25">
      <c r="I5921" s="268"/>
      <c r="O5921" s="268"/>
    </row>
    <row r="5922" spans="9:15" x14ac:dyDescent="0.25">
      <c r="I5922" s="268"/>
      <c r="O5922" s="268"/>
    </row>
    <row r="5923" spans="9:15" x14ac:dyDescent="0.25">
      <c r="I5923" s="268"/>
      <c r="O5923" s="268"/>
    </row>
    <row r="5924" spans="9:15" x14ac:dyDescent="0.25">
      <c r="I5924" s="268"/>
      <c r="O5924" s="268"/>
    </row>
    <row r="5925" spans="9:15" x14ac:dyDescent="0.25">
      <c r="I5925" s="268"/>
      <c r="O5925" s="268"/>
    </row>
    <row r="5926" spans="9:15" x14ac:dyDescent="0.25">
      <c r="I5926" s="268"/>
      <c r="O5926" s="268"/>
    </row>
    <row r="5927" spans="9:15" x14ac:dyDescent="0.25">
      <c r="I5927" s="268"/>
      <c r="O5927" s="268"/>
    </row>
    <row r="5928" spans="9:15" x14ac:dyDescent="0.25">
      <c r="I5928" s="268"/>
      <c r="O5928" s="268"/>
    </row>
    <row r="5929" spans="9:15" x14ac:dyDescent="0.25">
      <c r="I5929" s="268"/>
      <c r="O5929" s="268"/>
    </row>
    <row r="5930" spans="9:15" x14ac:dyDescent="0.25">
      <c r="I5930" s="268"/>
      <c r="O5930" s="268"/>
    </row>
    <row r="5931" spans="9:15" x14ac:dyDescent="0.25">
      <c r="I5931" s="268"/>
      <c r="O5931" s="268"/>
    </row>
    <row r="5932" spans="9:15" x14ac:dyDescent="0.25">
      <c r="I5932" s="268"/>
      <c r="O5932" s="268"/>
    </row>
    <row r="5933" spans="9:15" x14ac:dyDescent="0.25">
      <c r="I5933" s="268"/>
      <c r="O5933" s="268"/>
    </row>
    <row r="5934" spans="9:15" x14ac:dyDescent="0.25">
      <c r="I5934" s="268"/>
      <c r="O5934" s="268"/>
    </row>
    <row r="5935" spans="9:15" x14ac:dyDescent="0.25">
      <c r="I5935" s="268"/>
      <c r="O5935" s="268"/>
    </row>
    <row r="5936" spans="9:15" x14ac:dyDescent="0.25">
      <c r="I5936" s="268"/>
      <c r="O5936" s="268"/>
    </row>
    <row r="5937" spans="9:15" x14ac:dyDescent="0.25">
      <c r="I5937" s="268"/>
      <c r="O5937" s="268"/>
    </row>
    <row r="5938" spans="9:15" x14ac:dyDescent="0.25">
      <c r="I5938" s="268"/>
      <c r="O5938" s="268"/>
    </row>
    <row r="5939" spans="9:15" x14ac:dyDescent="0.25">
      <c r="I5939" s="268"/>
      <c r="O5939" s="268"/>
    </row>
    <row r="5940" spans="9:15" x14ac:dyDescent="0.25">
      <c r="I5940" s="268"/>
      <c r="O5940" s="268"/>
    </row>
    <row r="5941" spans="9:15" x14ac:dyDescent="0.25">
      <c r="I5941" s="268"/>
      <c r="O5941" s="268"/>
    </row>
    <row r="5942" spans="9:15" x14ac:dyDescent="0.25">
      <c r="I5942" s="268"/>
      <c r="O5942" s="268"/>
    </row>
    <row r="5943" spans="9:15" x14ac:dyDescent="0.25">
      <c r="I5943" s="268"/>
      <c r="O5943" s="268"/>
    </row>
    <row r="5944" spans="9:15" x14ac:dyDescent="0.25">
      <c r="I5944" s="268"/>
      <c r="O5944" s="268"/>
    </row>
    <row r="5945" spans="9:15" x14ac:dyDescent="0.25">
      <c r="I5945" s="268"/>
      <c r="O5945" s="268"/>
    </row>
    <row r="5946" spans="9:15" x14ac:dyDescent="0.25">
      <c r="I5946" s="268"/>
      <c r="O5946" s="268"/>
    </row>
    <row r="5947" spans="9:15" x14ac:dyDescent="0.25">
      <c r="I5947" s="268"/>
      <c r="O5947" s="268"/>
    </row>
    <row r="5948" spans="9:15" x14ac:dyDescent="0.25">
      <c r="I5948" s="268"/>
      <c r="O5948" s="268"/>
    </row>
    <row r="5949" spans="9:15" x14ac:dyDescent="0.25">
      <c r="I5949" s="268"/>
      <c r="O5949" s="268"/>
    </row>
    <row r="5950" spans="9:15" x14ac:dyDescent="0.25">
      <c r="I5950" s="268"/>
      <c r="O5950" s="268"/>
    </row>
    <row r="5951" spans="9:15" x14ac:dyDescent="0.25">
      <c r="I5951" s="268"/>
      <c r="O5951" s="268"/>
    </row>
    <row r="5952" spans="9:15" x14ac:dyDescent="0.25">
      <c r="I5952" s="268"/>
      <c r="O5952" s="268"/>
    </row>
    <row r="5953" spans="9:15" x14ac:dyDescent="0.25">
      <c r="I5953" s="268"/>
      <c r="O5953" s="268"/>
    </row>
    <row r="5954" spans="9:15" x14ac:dyDescent="0.25">
      <c r="I5954" s="268"/>
      <c r="O5954" s="268"/>
    </row>
    <row r="5955" spans="9:15" x14ac:dyDescent="0.25">
      <c r="I5955" s="268"/>
      <c r="O5955" s="268"/>
    </row>
    <row r="5956" spans="9:15" x14ac:dyDescent="0.25">
      <c r="I5956" s="268"/>
      <c r="O5956" s="268"/>
    </row>
    <row r="5957" spans="9:15" x14ac:dyDescent="0.25">
      <c r="I5957" s="268"/>
      <c r="O5957" s="268"/>
    </row>
    <row r="5958" spans="9:15" x14ac:dyDescent="0.25">
      <c r="I5958" s="268"/>
      <c r="O5958" s="268"/>
    </row>
    <row r="5959" spans="9:15" x14ac:dyDescent="0.25">
      <c r="I5959" s="268"/>
      <c r="O5959" s="268"/>
    </row>
    <row r="5960" spans="9:15" x14ac:dyDescent="0.25">
      <c r="I5960" s="268"/>
      <c r="O5960" s="268"/>
    </row>
    <row r="5961" spans="9:15" x14ac:dyDescent="0.25">
      <c r="I5961" s="268"/>
      <c r="O5961" s="268"/>
    </row>
    <row r="5962" spans="9:15" x14ac:dyDescent="0.25">
      <c r="I5962" s="268"/>
      <c r="O5962" s="268"/>
    </row>
    <row r="5963" spans="9:15" x14ac:dyDescent="0.25">
      <c r="I5963" s="268"/>
      <c r="O5963" s="268"/>
    </row>
    <row r="5964" spans="9:15" x14ac:dyDescent="0.25">
      <c r="I5964" s="268"/>
      <c r="O5964" s="268"/>
    </row>
    <row r="5965" spans="9:15" x14ac:dyDescent="0.25">
      <c r="I5965" s="268"/>
      <c r="O5965" s="268"/>
    </row>
    <row r="5966" spans="9:15" x14ac:dyDescent="0.25">
      <c r="I5966" s="268"/>
      <c r="O5966" s="268"/>
    </row>
    <row r="5967" spans="9:15" x14ac:dyDescent="0.25">
      <c r="I5967" s="268"/>
      <c r="O5967" s="268"/>
    </row>
    <row r="5968" spans="9:15" x14ac:dyDescent="0.25">
      <c r="I5968" s="268"/>
      <c r="O5968" s="268"/>
    </row>
    <row r="5969" spans="9:15" x14ac:dyDescent="0.25">
      <c r="I5969" s="268"/>
      <c r="O5969" s="268"/>
    </row>
    <row r="5970" spans="9:15" x14ac:dyDescent="0.25">
      <c r="I5970" s="268"/>
      <c r="O5970" s="268"/>
    </row>
    <row r="5971" spans="9:15" x14ac:dyDescent="0.25">
      <c r="I5971" s="268"/>
      <c r="O5971" s="268"/>
    </row>
    <row r="5972" spans="9:15" x14ac:dyDescent="0.25">
      <c r="I5972" s="268"/>
      <c r="O5972" s="268"/>
    </row>
    <row r="5973" spans="9:15" x14ac:dyDescent="0.25">
      <c r="I5973" s="268"/>
      <c r="O5973" s="268"/>
    </row>
    <row r="5974" spans="9:15" x14ac:dyDescent="0.25">
      <c r="I5974" s="268"/>
      <c r="O5974" s="268"/>
    </row>
    <row r="5975" spans="9:15" x14ac:dyDescent="0.25">
      <c r="I5975" s="268"/>
      <c r="O5975" s="268"/>
    </row>
    <row r="5976" spans="9:15" x14ac:dyDescent="0.25">
      <c r="I5976" s="268"/>
      <c r="O5976" s="268"/>
    </row>
    <row r="5977" spans="9:15" x14ac:dyDescent="0.25">
      <c r="I5977" s="268"/>
      <c r="O5977" s="268"/>
    </row>
    <row r="5978" spans="9:15" x14ac:dyDescent="0.25">
      <c r="I5978" s="268"/>
      <c r="O5978" s="268"/>
    </row>
    <row r="5979" spans="9:15" x14ac:dyDescent="0.25">
      <c r="I5979" s="268"/>
      <c r="O5979" s="268"/>
    </row>
    <row r="5980" spans="9:15" x14ac:dyDescent="0.25">
      <c r="I5980" s="268"/>
      <c r="O5980" s="268"/>
    </row>
    <row r="5981" spans="9:15" x14ac:dyDescent="0.25">
      <c r="I5981" s="268"/>
      <c r="O5981" s="268"/>
    </row>
    <row r="5982" spans="9:15" x14ac:dyDescent="0.25">
      <c r="I5982" s="268"/>
      <c r="O5982" s="268"/>
    </row>
    <row r="5983" spans="9:15" x14ac:dyDescent="0.25">
      <c r="I5983" s="268"/>
      <c r="O5983" s="268"/>
    </row>
    <row r="5984" spans="9:15" x14ac:dyDescent="0.25">
      <c r="I5984" s="268"/>
      <c r="O5984" s="268"/>
    </row>
    <row r="5985" spans="9:15" x14ac:dyDescent="0.25">
      <c r="I5985" s="268"/>
      <c r="O5985" s="268"/>
    </row>
    <row r="5986" spans="9:15" x14ac:dyDescent="0.25">
      <c r="I5986" s="268"/>
      <c r="O5986" s="268"/>
    </row>
    <row r="5987" spans="9:15" x14ac:dyDescent="0.25">
      <c r="I5987" s="268"/>
      <c r="O5987" s="268"/>
    </row>
    <row r="5988" spans="9:15" x14ac:dyDescent="0.25">
      <c r="I5988" s="268"/>
      <c r="O5988" s="268"/>
    </row>
    <row r="5989" spans="9:15" x14ac:dyDescent="0.25">
      <c r="I5989" s="268"/>
      <c r="O5989" s="268"/>
    </row>
    <row r="5990" spans="9:15" x14ac:dyDescent="0.25">
      <c r="I5990" s="268"/>
      <c r="O5990" s="268"/>
    </row>
    <row r="5991" spans="9:15" x14ac:dyDescent="0.25">
      <c r="I5991" s="268"/>
      <c r="O5991" s="268"/>
    </row>
    <row r="5992" spans="9:15" x14ac:dyDescent="0.25">
      <c r="I5992" s="268"/>
      <c r="O5992" s="268"/>
    </row>
    <row r="5993" spans="9:15" x14ac:dyDescent="0.25">
      <c r="I5993" s="268"/>
      <c r="O5993" s="268"/>
    </row>
    <row r="5994" spans="9:15" x14ac:dyDescent="0.25">
      <c r="I5994" s="268"/>
      <c r="O5994" s="268"/>
    </row>
    <row r="5995" spans="9:15" x14ac:dyDescent="0.25">
      <c r="I5995" s="268"/>
      <c r="O5995" s="268"/>
    </row>
    <row r="5996" spans="9:15" x14ac:dyDescent="0.25">
      <c r="I5996" s="268"/>
      <c r="O5996" s="268"/>
    </row>
    <row r="5997" spans="9:15" x14ac:dyDescent="0.25">
      <c r="I5997" s="268"/>
      <c r="O5997" s="268"/>
    </row>
    <row r="5998" spans="9:15" x14ac:dyDescent="0.25">
      <c r="I5998" s="268"/>
      <c r="O5998" s="268"/>
    </row>
    <row r="5999" spans="9:15" x14ac:dyDescent="0.25">
      <c r="I5999" s="268"/>
      <c r="O5999" s="268"/>
    </row>
    <row r="6000" spans="9:15" x14ac:dyDescent="0.25">
      <c r="I6000" s="268"/>
      <c r="O6000" s="268"/>
    </row>
    <row r="6001" spans="9:15" x14ac:dyDescent="0.25">
      <c r="I6001" s="268"/>
      <c r="O6001" s="268"/>
    </row>
    <row r="6002" spans="9:15" x14ac:dyDescent="0.25">
      <c r="I6002" s="268"/>
      <c r="O6002" s="268"/>
    </row>
    <row r="6003" spans="9:15" x14ac:dyDescent="0.25">
      <c r="I6003" s="268"/>
      <c r="O6003" s="268"/>
    </row>
    <row r="6004" spans="9:15" x14ac:dyDescent="0.25">
      <c r="I6004" s="268"/>
      <c r="O6004" s="268"/>
    </row>
    <row r="6005" spans="9:15" x14ac:dyDescent="0.25">
      <c r="I6005" s="268"/>
      <c r="O6005" s="268"/>
    </row>
    <row r="6006" spans="9:15" x14ac:dyDescent="0.25">
      <c r="I6006" s="268"/>
      <c r="O6006" s="268"/>
    </row>
    <row r="6007" spans="9:15" x14ac:dyDescent="0.25">
      <c r="I6007" s="268"/>
      <c r="O6007" s="268"/>
    </row>
    <row r="6008" spans="9:15" x14ac:dyDescent="0.25">
      <c r="I6008" s="268"/>
      <c r="O6008" s="268"/>
    </row>
    <row r="6009" spans="9:15" x14ac:dyDescent="0.25">
      <c r="I6009" s="268"/>
      <c r="O6009" s="268"/>
    </row>
    <row r="6010" spans="9:15" x14ac:dyDescent="0.25">
      <c r="I6010" s="268"/>
      <c r="O6010" s="268"/>
    </row>
    <row r="6011" spans="9:15" x14ac:dyDescent="0.25">
      <c r="I6011" s="268"/>
      <c r="O6011" s="268"/>
    </row>
    <row r="6012" spans="9:15" x14ac:dyDescent="0.25">
      <c r="I6012" s="268"/>
      <c r="O6012" s="268"/>
    </row>
    <row r="6013" spans="9:15" x14ac:dyDescent="0.25">
      <c r="I6013" s="268"/>
      <c r="O6013" s="268"/>
    </row>
    <row r="6014" spans="9:15" x14ac:dyDescent="0.25">
      <c r="I6014" s="268"/>
      <c r="O6014" s="268"/>
    </row>
    <row r="6015" spans="9:15" x14ac:dyDescent="0.25">
      <c r="I6015" s="268"/>
      <c r="O6015" s="268"/>
    </row>
    <row r="6016" spans="9:15" x14ac:dyDescent="0.25">
      <c r="I6016" s="268"/>
      <c r="O6016" s="268"/>
    </row>
    <row r="6017" spans="9:15" x14ac:dyDescent="0.25">
      <c r="I6017" s="268"/>
      <c r="O6017" s="268"/>
    </row>
    <row r="6018" spans="9:15" x14ac:dyDescent="0.25">
      <c r="I6018" s="268"/>
      <c r="O6018" s="268"/>
    </row>
    <row r="6019" spans="9:15" x14ac:dyDescent="0.25">
      <c r="I6019" s="268"/>
      <c r="O6019" s="268"/>
    </row>
    <row r="6020" spans="9:15" x14ac:dyDescent="0.25">
      <c r="I6020" s="268"/>
      <c r="O6020" s="268"/>
    </row>
    <row r="6021" spans="9:15" x14ac:dyDescent="0.25">
      <c r="I6021" s="268"/>
      <c r="O6021" s="268"/>
    </row>
    <row r="6022" spans="9:15" x14ac:dyDescent="0.25">
      <c r="I6022" s="268"/>
      <c r="O6022" s="268"/>
    </row>
    <row r="6023" spans="9:15" x14ac:dyDescent="0.25">
      <c r="I6023" s="268"/>
      <c r="O6023" s="268"/>
    </row>
    <row r="6024" spans="9:15" x14ac:dyDescent="0.25">
      <c r="I6024" s="268"/>
      <c r="O6024" s="268"/>
    </row>
    <row r="6025" spans="9:15" x14ac:dyDescent="0.25">
      <c r="I6025" s="268"/>
      <c r="O6025" s="268"/>
    </row>
    <row r="6026" spans="9:15" x14ac:dyDescent="0.25">
      <c r="I6026" s="268"/>
      <c r="O6026" s="268"/>
    </row>
    <row r="6027" spans="9:15" x14ac:dyDescent="0.25">
      <c r="I6027" s="268"/>
      <c r="O6027" s="268"/>
    </row>
    <row r="6028" spans="9:15" x14ac:dyDescent="0.25">
      <c r="I6028" s="268"/>
      <c r="O6028" s="268"/>
    </row>
    <row r="6029" spans="9:15" x14ac:dyDescent="0.25">
      <c r="I6029" s="268"/>
      <c r="O6029" s="268"/>
    </row>
    <row r="6030" spans="9:15" x14ac:dyDescent="0.25">
      <c r="I6030" s="268"/>
      <c r="O6030" s="268"/>
    </row>
    <row r="6031" spans="9:15" x14ac:dyDescent="0.25">
      <c r="I6031" s="268"/>
      <c r="O6031" s="268"/>
    </row>
    <row r="6032" spans="9:15" x14ac:dyDescent="0.25">
      <c r="I6032" s="268"/>
      <c r="O6032" s="268"/>
    </row>
    <row r="6033" spans="9:15" x14ac:dyDescent="0.25">
      <c r="I6033" s="268"/>
      <c r="O6033" s="268"/>
    </row>
    <row r="6034" spans="9:15" x14ac:dyDescent="0.25">
      <c r="I6034" s="268"/>
      <c r="O6034" s="268"/>
    </row>
    <row r="6035" spans="9:15" x14ac:dyDescent="0.25">
      <c r="I6035" s="268"/>
      <c r="O6035" s="268"/>
    </row>
    <row r="6036" spans="9:15" x14ac:dyDescent="0.25">
      <c r="I6036" s="268"/>
      <c r="O6036" s="268"/>
    </row>
    <row r="6037" spans="9:15" x14ac:dyDescent="0.25">
      <c r="I6037" s="268"/>
      <c r="O6037" s="268"/>
    </row>
    <row r="6038" spans="9:15" x14ac:dyDescent="0.25">
      <c r="I6038" s="268"/>
      <c r="O6038" s="268"/>
    </row>
    <row r="6039" spans="9:15" x14ac:dyDescent="0.25">
      <c r="I6039" s="268"/>
      <c r="O6039" s="268"/>
    </row>
    <row r="6040" spans="9:15" x14ac:dyDescent="0.25">
      <c r="I6040" s="268"/>
      <c r="O6040" s="268"/>
    </row>
    <row r="6041" spans="9:15" x14ac:dyDescent="0.25">
      <c r="I6041" s="268"/>
      <c r="O6041" s="268"/>
    </row>
    <row r="6042" spans="9:15" x14ac:dyDescent="0.25">
      <c r="I6042" s="268"/>
      <c r="O6042" s="268"/>
    </row>
    <row r="6043" spans="9:15" x14ac:dyDescent="0.25">
      <c r="I6043" s="268"/>
      <c r="O6043" s="268"/>
    </row>
    <row r="6044" spans="9:15" x14ac:dyDescent="0.25">
      <c r="I6044" s="268"/>
      <c r="O6044" s="268"/>
    </row>
    <row r="6045" spans="9:15" x14ac:dyDescent="0.25">
      <c r="I6045" s="268"/>
      <c r="O6045" s="268"/>
    </row>
    <row r="6046" spans="9:15" x14ac:dyDescent="0.25">
      <c r="I6046" s="268"/>
      <c r="O6046" s="268"/>
    </row>
    <row r="6047" spans="9:15" x14ac:dyDescent="0.25">
      <c r="I6047" s="268"/>
      <c r="O6047" s="268"/>
    </row>
    <row r="6048" spans="9:15" x14ac:dyDescent="0.25">
      <c r="I6048" s="268"/>
      <c r="O6048" s="268"/>
    </row>
    <row r="6049" spans="9:15" x14ac:dyDescent="0.25">
      <c r="I6049" s="268"/>
      <c r="O6049" s="268"/>
    </row>
    <row r="6050" spans="9:15" x14ac:dyDescent="0.25">
      <c r="I6050" s="268"/>
      <c r="O6050" s="268"/>
    </row>
    <row r="6051" spans="9:15" x14ac:dyDescent="0.25">
      <c r="I6051" s="268"/>
      <c r="O6051" s="268"/>
    </row>
    <row r="6052" spans="9:15" x14ac:dyDescent="0.25">
      <c r="I6052" s="268"/>
      <c r="O6052" s="268"/>
    </row>
    <row r="6053" spans="9:15" x14ac:dyDescent="0.25">
      <c r="I6053" s="268"/>
      <c r="O6053" s="268"/>
    </row>
    <row r="6054" spans="9:15" x14ac:dyDescent="0.25">
      <c r="I6054" s="268"/>
      <c r="O6054" s="268"/>
    </row>
    <row r="6055" spans="9:15" x14ac:dyDescent="0.25">
      <c r="I6055" s="268"/>
      <c r="O6055" s="268"/>
    </row>
    <row r="6056" spans="9:15" x14ac:dyDescent="0.25">
      <c r="I6056" s="268"/>
      <c r="O6056" s="268"/>
    </row>
    <row r="6057" spans="9:15" x14ac:dyDescent="0.25">
      <c r="I6057" s="268"/>
      <c r="O6057" s="268"/>
    </row>
    <row r="6058" spans="9:15" x14ac:dyDescent="0.25">
      <c r="I6058" s="268"/>
      <c r="O6058" s="268"/>
    </row>
    <row r="6059" spans="9:15" x14ac:dyDescent="0.25">
      <c r="I6059" s="268"/>
      <c r="O6059" s="268"/>
    </row>
    <row r="6060" spans="9:15" x14ac:dyDescent="0.25">
      <c r="I6060" s="268"/>
      <c r="O6060" s="268"/>
    </row>
    <row r="6061" spans="9:15" x14ac:dyDescent="0.25">
      <c r="I6061" s="268"/>
      <c r="O6061" s="268"/>
    </row>
    <row r="6062" spans="9:15" x14ac:dyDescent="0.25">
      <c r="I6062" s="268"/>
      <c r="O6062" s="268"/>
    </row>
    <row r="6063" spans="9:15" x14ac:dyDescent="0.25">
      <c r="I6063" s="268"/>
      <c r="O6063" s="268"/>
    </row>
    <row r="6064" spans="9:15" x14ac:dyDescent="0.25">
      <c r="I6064" s="268"/>
      <c r="O6064" s="268"/>
    </row>
    <row r="6065" spans="9:15" x14ac:dyDescent="0.25">
      <c r="I6065" s="268"/>
      <c r="O6065" s="268"/>
    </row>
    <row r="6066" spans="9:15" x14ac:dyDescent="0.25">
      <c r="I6066" s="268"/>
      <c r="O6066" s="268"/>
    </row>
    <row r="6067" spans="9:15" x14ac:dyDescent="0.25">
      <c r="I6067" s="268"/>
      <c r="O6067" s="268"/>
    </row>
    <row r="6068" spans="9:15" x14ac:dyDescent="0.25">
      <c r="I6068" s="268"/>
      <c r="O6068" s="268"/>
    </row>
    <row r="6069" spans="9:15" x14ac:dyDescent="0.25">
      <c r="I6069" s="268"/>
      <c r="O6069" s="268"/>
    </row>
    <row r="6070" spans="9:15" x14ac:dyDescent="0.25">
      <c r="I6070" s="268"/>
      <c r="O6070" s="268"/>
    </row>
    <row r="6071" spans="9:15" x14ac:dyDescent="0.25">
      <c r="I6071" s="268"/>
      <c r="O6071" s="268"/>
    </row>
    <row r="6072" spans="9:15" x14ac:dyDescent="0.25">
      <c r="I6072" s="268"/>
      <c r="O6072" s="268"/>
    </row>
    <row r="6073" spans="9:15" x14ac:dyDescent="0.25">
      <c r="I6073" s="268"/>
      <c r="O6073" s="268"/>
    </row>
    <row r="6074" spans="9:15" x14ac:dyDescent="0.25">
      <c r="I6074" s="268"/>
      <c r="O6074" s="268"/>
    </row>
    <row r="6075" spans="9:15" x14ac:dyDescent="0.25">
      <c r="I6075" s="268"/>
      <c r="O6075" s="268"/>
    </row>
    <row r="6076" spans="9:15" x14ac:dyDescent="0.25">
      <c r="I6076" s="268"/>
      <c r="O6076" s="268"/>
    </row>
    <row r="6077" spans="9:15" x14ac:dyDescent="0.25">
      <c r="I6077" s="268"/>
      <c r="O6077" s="268"/>
    </row>
    <row r="6078" spans="9:15" x14ac:dyDescent="0.25">
      <c r="I6078" s="268"/>
      <c r="O6078" s="268"/>
    </row>
    <row r="6079" spans="9:15" x14ac:dyDescent="0.25">
      <c r="I6079" s="268"/>
      <c r="O6079" s="268"/>
    </row>
    <row r="6080" spans="9:15" x14ac:dyDescent="0.25">
      <c r="I6080" s="268"/>
      <c r="O6080" s="268"/>
    </row>
    <row r="6081" spans="9:15" x14ac:dyDescent="0.25">
      <c r="I6081" s="268"/>
      <c r="O6081" s="268"/>
    </row>
    <row r="6082" spans="9:15" x14ac:dyDescent="0.25">
      <c r="I6082" s="268"/>
      <c r="O6082" s="268"/>
    </row>
    <row r="6083" spans="9:15" x14ac:dyDescent="0.25">
      <c r="I6083" s="268"/>
      <c r="O6083" s="268"/>
    </row>
    <row r="6084" spans="9:15" x14ac:dyDescent="0.25">
      <c r="I6084" s="268"/>
      <c r="O6084" s="268"/>
    </row>
    <row r="6085" spans="9:15" x14ac:dyDescent="0.25">
      <c r="I6085" s="268"/>
      <c r="O6085" s="268"/>
    </row>
    <row r="6086" spans="9:15" x14ac:dyDescent="0.25">
      <c r="I6086" s="268"/>
      <c r="O6086" s="268"/>
    </row>
    <row r="6087" spans="9:15" x14ac:dyDescent="0.25">
      <c r="I6087" s="268"/>
      <c r="O6087" s="268"/>
    </row>
    <row r="6088" spans="9:15" x14ac:dyDescent="0.25">
      <c r="I6088" s="268"/>
      <c r="O6088" s="268"/>
    </row>
    <row r="6089" spans="9:15" x14ac:dyDescent="0.25">
      <c r="I6089" s="268"/>
      <c r="O6089" s="268"/>
    </row>
    <row r="6090" spans="9:15" x14ac:dyDescent="0.25">
      <c r="I6090" s="268"/>
      <c r="O6090" s="268"/>
    </row>
    <row r="6091" spans="9:15" x14ac:dyDescent="0.25">
      <c r="I6091" s="268"/>
      <c r="O6091" s="268"/>
    </row>
    <row r="6092" spans="9:15" x14ac:dyDescent="0.25">
      <c r="I6092" s="268"/>
      <c r="O6092" s="268"/>
    </row>
    <row r="6093" spans="9:15" x14ac:dyDescent="0.25">
      <c r="I6093" s="268"/>
      <c r="O6093" s="268"/>
    </row>
    <row r="6094" spans="9:15" x14ac:dyDescent="0.25">
      <c r="I6094" s="268"/>
      <c r="O6094" s="268"/>
    </row>
    <row r="6095" spans="9:15" x14ac:dyDescent="0.25">
      <c r="I6095" s="268"/>
      <c r="O6095" s="268"/>
    </row>
    <row r="6096" spans="9:15" x14ac:dyDescent="0.25">
      <c r="I6096" s="268"/>
      <c r="O6096" s="268"/>
    </row>
    <row r="6097" spans="9:15" x14ac:dyDescent="0.25">
      <c r="I6097" s="268"/>
      <c r="O6097" s="268"/>
    </row>
    <row r="6098" spans="9:15" x14ac:dyDescent="0.25">
      <c r="I6098" s="268"/>
      <c r="O6098" s="268"/>
    </row>
    <row r="6099" spans="9:15" x14ac:dyDescent="0.25">
      <c r="I6099" s="268"/>
      <c r="O6099" s="268"/>
    </row>
    <row r="6100" spans="9:15" x14ac:dyDescent="0.25">
      <c r="I6100" s="268"/>
      <c r="O6100" s="268"/>
    </row>
    <row r="6101" spans="9:15" x14ac:dyDescent="0.25">
      <c r="I6101" s="268"/>
      <c r="O6101" s="268"/>
    </row>
    <row r="6102" spans="9:15" x14ac:dyDescent="0.25">
      <c r="I6102" s="268"/>
      <c r="O6102" s="268"/>
    </row>
    <row r="6103" spans="9:15" x14ac:dyDescent="0.25">
      <c r="I6103" s="268"/>
      <c r="O6103" s="268"/>
    </row>
    <row r="6104" spans="9:15" x14ac:dyDescent="0.25">
      <c r="I6104" s="268"/>
      <c r="O6104" s="268"/>
    </row>
    <row r="6105" spans="9:15" x14ac:dyDescent="0.25">
      <c r="I6105" s="268"/>
      <c r="O6105" s="268"/>
    </row>
    <row r="6106" spans="9:15" x14ac:dyDescent="0.25">
      <c r="I6106" s="268"/>
      <c r="O6106" s="268"/>
    </row>
    <row r="6107" spans="9:15" x14ac:dyDescent="0.25">
      <c r="I6107" s="268"/>
      <c r="O6107" s="268"/>
    </row>
    <row r="6108" spans="9:15" x14ac:dyDescent="0.25">
      <c r="I6108" s="268"/>
      <c r="O6108" s="268"/>
    </row>
    <row r="6109" spans="9:15" x14ac:dyDescent="0.25">
      <c r="I6109" s="268"/>
      <c r="O6109" s="268"/>
    </row>
    <row r="6110" spans="9:15" x14ac:dyDescent="0.25">
      <c r="I6110" s="268"/>
      <c r="O6110" s="268"/>
    </row>
    <row r="6111" spans="9:15" x14ac:dyDescent="0.25">
      <c r="I6111" s="268"/>
      <c r="O6111" s="268"/>
    </row>
    <row r="6112" spans="9:15" x14ac:dyDescent="0.25">
      <c r="I6112" s="268"/>
      <c r="O6112" s="268"/>
    </row>
    <row r="6113" spans="9:15" x14ac:dyDescent="0.25">
      <c r="I6113" s="268"/>
      <c r="O6113" s="268"/>
    </row>
    <row r="6114" spans="9:15" x14ac:dyDescent="0.25">
      <c r="I6114" s="268"/>
      <c r="O6114" s="268"/>
    </row>
    <row r="6115" spans="9:15" x14ac:dyDescent="0.25">
      <c r="I6115" s="268"/>
      <c r="O6115" s="268"/>
    </row>
    <row r="6116" spans="9:15" x14ac:dyDescent="0.25">
      <c r="I6116" s="268"/>
      <c r="O6116" s="268"/>
    </row>
    <row r="6117" spans="9:15" x14ac:dyDescent="0.25">
      <c r="I6117" s="268"/>
      <c r="O6117" s="268"/>
    </row>
    <row r="6118" spans="9:15" x14ac:dyDescent="0.25">
      <c r="I6118" s="268"/>
      <c r="O6118" s="268"/>
    </row>
    <row r="6119" spans="9:15" x14ac:dyDescent="0.25">
      <c r="I6119" s="268"/>
      <c r="O6119" s="268"/>
    </row>
    <row r="6120" spans="9:15" x14ac:dyDescent="0.25">
      <c r="I6120" s="268"/>
      <c r="O6120" s="268"/>
    </row>
    <row r="6121" spans="9:15" x14ac:dyDescent="0.25">
      <c r="I6121" s="268"/>
      <c r="O6121" s="268"/>
    </row>
    <row r="6122" spans="9:15" x14ac:dyDescent="0.25">
      <c r="I6122" s="268"/>
      <c r="O6122" s="268"/>
    </row>
    <row r="6123" spans="9:15" x14ac:dyDescent="0.25">
      <c r="I6123" s="268"/>
      <c r="O6123" s="268"/>
    </row>
    <row r="6124" spans="9:15" x14ac:dyDescent="0.25">
      <c r="I6124" s="268"/>
      <c r="O6124" s="268"/>
    </row>
    <row r="6125" spans="9:15" x14ac:dyDescent="0.25">
      <c r="I6125" s="268"/>
      <c r="O6125" s="268"/>
    </row>
    <row r="6126" spans="9:15" x14ac:dyDescent="0.25">
      <c r="I6126" s="268"/>
      <c r="O6126" s="268"/>
    </row>
    <row r="6127" spans="9:15" x14ac:dyDescent="0.25">
      <c r="I6127" s="268"/>
      <c r="O6127" s="268"/>
    </row>
    <row r="6128" spans="9:15" x14ac:dyDescent="0.25">
      <c r="I6128" s="268"/>
      <c r="O6128" s="268"/>
    </row>
    <row r="6129" spans="9:15" x14ac:dyDescent="0.25">
      <c r="I6129" s="268"/>
      <c r="O6129" s="268"/>
    </row>
    <row r="6130" spans="9:15" x14ac:dyDescent="0.25">
      <c r="I6130" s="268"/>
      <c r="O6130" s="268"/>
    </row>
    <row r="6131" spans="9:15" x14ac:dyDescent="0.25">
      <c r="I6131" s="268"/>
      <c r="O6131" s="268"/>
    </row>
    <row r="6132" spans="9:15" x14ac:dyDescent="0.25">
      <c r="I6132" s="268"/>
      <c r="O6132" s="268"/>
    </row>
    <row r="6133" spans="9:15" x14ac:dyDescent="0.25">
      <c r="I6133" s="268"/>
      <c r="O6133" s="268"/>
    </row>
    <row r="6134" spans="9:15" x14ac:dyDescent="0.25">
      <c r="I6134" s="268"/>
      <c r="O6134" s="268"/>
    </row>
    <row r="6135" spans="9:15" x14ac:dyDescent="0.25">
      <c r="I6135" s="268"/>
      <c r="O6135" s="268"/>
    </row>
    <row r="6136" spans="9:15" x14ac:dyDescent="0.25">
      <c r="I6136" s="268"/>
      <c r="O6136" s="268"/>
    </row>
    <row r="6137" spans="9:15" x14ac:dyDescent="0.25">
      <c r="I6137" s="268"/>
      <c r="O6137" s="268"/>
    </row>
    <row r="6138" spans="9:15" x14ac:dyDescent="0.25">
      <c r="I6138" s="268"/>
      <c r="O6138" s="268"/>
    </row>
    <row r="6139" spans="9:15" x14ac:dyDescent="0.25">
      <c r="I6139" s="268"/>
      <c r="O6139" s="268"/>
    </row>
    <row r="6140" spans="9:15" x14ac:dyDescent="0.25">
      <c r="I6140" s="268"/>
      <c r="O6140" s="268"/>
    </row>
    <row r="6141" spans="9:15" x14ac:dyDescent="0.25">
      <c r="I6141" s="268"/>
      <c r="O6141" s="268"/>
    </row>
    <row r="6142" spans="9:15" x14ac:dyDescent="0.25">
      <c r="I6142" s="268"/>
      <c r="O6142" s="268"/>
    </row>
    <row r="6143" spans="9:15" x14ac:dyDescent="0.25">
      <c r="I6143" s="268"/>
      <c r="O6143" s="268"/>
    </row>
    <row r="6144" spans="9:15" x14ac:dyDescent="0.25">
      <c r="I6144" s="268"/>
      <c r="O6144" s="268"/>
    </row>
    <row r="6145" spans="9:15" x14ac:dyDescent="0.25">
      <c r="I6145" s="268"/>
      <c r="O6145" s="268"/>
    </row>
    <row r="6146" spans="9:15" x14ac:dyDescent="0.25">
      <c r="I6146" s="268"/>
      <c r="O6146" s="268"/>
    </row>
    <row r="6147" spans="9:15" x14ac:dyDescent="0.25">
      <c r="I6147" s="268"/>
      <c r="O6147" s="268"/>
    </row>
    <row r="6148" spans="9:15" x14ac:dyDescent="0.25">
      <c r="I6148" s="268"/>
      <c r="O6148" s="268"/>
    </row>
    <row r="6149" spans="9:15" x14ac:dyDescent="0.25">
      <c r="I6149" s="268"/>
      <c r="O6149" s="268"/>
    </row>
    <row r="6150" spans="9:15" x14ac:dyDescent="0.25">
      <c r="I6150" s="268"/>
      <c r="O6150" s="268"/>
    </row>
    <row r="6151" spans="9:15" x14ac:dyDescent="0.25">
      <c r="I6151" s="268"/>
      <c r="O6151" s="268"/>
    </row>
    <row r="6152" spans="9:15" x14ac:dyDescent="0.25">
      <c r="I6152" s="268"/>
      <c r="O6152" s="268"/>
    </row>
    <row r="6153" spans="9:15" x14ac:dyDescent="0.25">
      <c r="I6153" s="268"/>
      <c r="O6153" s="268"/>
    </row>
    <row r="6154" spans="9:15" x14ac:dyDescent="0.25">
      <c r="I6154" s="268"/>
      <c r="O6154" s="268"/>
    </row>
    <row r="6155" spans="9:15" x14ac:dyDescent="0.25">
      <c r="I6155" s="268"/>
      <c r="O6155" s="268"/>
    </row>
    <row r="6156" spans="9:15" x14ac:dyDescent="0.25">
      <c r="I6156" s="268"/>
      <c r="O6156" s="268"/>
    </row>
    <row r="6157" spans="9:15" x14ac:dyDescent="0.25">
      <c r="I6157" s="268"/>
      <c r="O6157" s="268"/>
    </row>
    <row r="6158" spans="9:15" x14ac:dyDescent="0.25">
      <c r="I6158" s="268"/>
      <c r="O6158" s="268"/>
    </row>
    <row r="6159" spans="9:15" x14ac:dyDescent="0.25">
      <c r="I6159" s="268"/>
      <c r="O6159" s="268"/>
    </row>
    <row r="6160" spans="9:15" x14ac:dyDescent="0.25">
      <c r="I6160" s="268"/>
      <c r="O6160" s="268"/>
    </row>
    <row r="6161" spans="9:15" x14ac:dyDescent="0.25">
      <c r="I6161" s="268"/>
      <c r="O6161" s="268"/>
    </row>
    <row r="6162" spans="9:15" x14ac:dyDescent="0.25">
      <c r="I6162" s="268"/>
      <c r="O6162" s="268"/>
    </row>
    <row r="6163" spans="9:15" x14ac:dyDescent="0.25">
      <c r="I6163" s="268"/>
      <c r="O6163" s="268"/>
    </row>
    <row r="6164" spans="9:15" x14ac:dyDescent="0.25">
      <c r="I6164" s="268"/>
      <c r="O6164" s="268"/>
    </row>
    <row r="6165" spans="9:15" x14ac:dyDescent="0.25">
      <c r="I6165" s="268"/>
      <c r="O6165" s="268"/>
    </row>
    <row r="6166" spans="9:15" x14ac:dyDescent="0.25">
      <c r="I6166" s="268"/>
      <c r="O6166" s="268"/>
    </row>
    <row r="6167" spans="9:15" x14ac:dyDescent="0.25">
      <c r="I6167" s="268"/>
      <c r="O6167" s="268"/>
    </row>
    <row r="6168" spans="9:15" x14ac:dyDescent="0.25">
      <c r="I6168" s="268"/>
      <c r="O6168" s="268"/>
    </row>
    <row r="6169" spans="9:15" x14ac:dyDescent="0.25">
      <c r="I6169" s="268"/>
      <c r="O6169" s="268"/>
    </row>
    <row r="6170" spans="9:15" x14ac:dyDescent="0.25">
      <c r="I6170" s="268"/>
      <c r="O6170" s="268"/>
    </row>
    <row r="6171" spans="9:15" x14ac:dyDescent="0.25">
      <c r="I6171" s="268"/>
      <c r="O6171" s="268"/>
    </row>
    <row r="6172" spans="9:15" x14ac:dyDescent="0.25">
      <c r="I6172" s="268"/>
      <c r="O6172" s="268"/>
    </row>
    <row r="6173" spans="9:15" x14ac:dyDescent="0.25">
      <c r="I6173" s="268"/>
      <c r="O6173" s="268"/>
    </row>
    <row r="6174" spans="9:15" x14ac:dyDescent="0.25">
      <c r="I6174" s="268"/>
      <c r="O6174" s="268"/>
    </row>
    <row r="6175" spans="9:15" x14ac:dyDescent="0.25">
      <c r="I6175" s="268"/>
      <c r="O6175" s="268"/>
    </row>
    <row r="6176" spans="9:15" x14ac:dyDescent="0.25">
      <c r="I6176" s="268"/>
      <c r="O6176" s="268"/>
    </row>
    <row r="6177" spans="9:15" x14ac:dyDescent="0.25">
      <c r="I6177" s="268"/>
      <c r="O6177" s="268"/>
    </row>
    <row r="6178" spans="9:15" x14ac:dyDescent="0.25">
      <c r="I6178" s="268"/>
      <c r="O6178" s="268"/>
    </row>
    <row r="6179" spans="9:15" x14ac:dyDescent="0.25">
      <c r="I6179" s="268"/>
      <c r="O6179" s="268"/>
    </row>
    <row r="6180" spans="9:15" x14ac:dyDescent="0.25">
      <c r="I6180" s="268"/>
      <c r="O6180" s="268"/>
    </row>
    <row r="6181" spans="9:15" x14ac:dyDescent="0.25">
      <c r="I6181" s="268"/>
      <c r="O6181" s="268"/>
    </row>
    <row r="6182" spans="9:15" x14ac:dyDescent="0.25">
      <c r="I6182" s="268"/>
      <c r="O6182" s="268"/>
    </row>
    <row r="6183" spans="9:15" x14ac:dyDescent="0.25">
      <c r="I6183" s="268"/>
      <c r="O6183" s="268"/>
    </row>
    <row r="6184" spans="9:15" x14ac:dyDescent="0.25">
      <c r="I6184" s="268"/>
      <c r="O6184" s="268"/>
    </row>
    <row r="6185" spans="9:15" x14ac:dyDescent="0.25">
      <c r="I6185" s="268"/>
      <c r="O6185" s="268"/>
    </row>
    <row r="6186" spans="9:15" x14ac:dyDescent="0.25">
      <c r="I6186" s="268"/>
      <c r="O6186" s="268"/>
    </row>
    <row r="6187" spans="9:15" x14ac:dyDescent="0.25">
      <c r="I6187" s="268"/>
      <c r="O6187" s="268"/>
    </row>
    <row r="6188" spans="9:15" x14ac:dyDescent="0.25">
      <c r="I6188" s="268"/>
      <c r="O6188" s="268"/>
    </row>
    <row r="6189" spans="9:15" x14ac:dyDescent="0.25">
      <c r="I6189" s="268"/>
      <c r="O6189" s="268"/>
    </row>
    <row r="6190" spans="9:15" x14ac:dyDescent="0.25">
      <c r="I6190" s="268"/>
      <c r="O6190" s="268"/>
    </row>
    <row r="6191" spans="9:15" x14ac:dyDescent="0.25">
      <c r="I6191" s="268"/>
      <c r="O6191" s="268"/>
    </row>
    <row r="6192" spans="9:15" x14ac:dyDescent="0.25">
      <c r="I6192" s="268"/>
      <c r="O6192" s="268"/>
    </row>
    <row r="6193" spans="9:15" x14ac:dyDescent="0.25">
      <c r="I6193" s="268"/>
      <c r="O6193" s="268"/>
    </row>
    <row r="6194" spans="9:15" x14ac:dyDescent="0.25">
      <c r="I6194" s="268"/>
      <c r="O6194" s="268"/>
    </row>
    <row r="6195" spans="9:15" x14ac:dyDescent="0.25">
      <c r="I6195" s="268"/>
      <c r="O6195" s="268"/>
    </row>
    <row r="6196" spans="9:15" x14ac:dyDescent="0.25">
      <c r="I6196" s="268"/>
      <c r="O6196" s="268"/>
    </row>
    <row r="6197" spans="9:15" x14ac:dyDescent="0.25">
      <c r="I6197" s="268"/>
      <c r="O6197" s="268"/>
    </row>
    <row r="6198" spans="9:15" x14ac:dyDescent="0.25">
      <c r="I6198" s="268"/>
      <c r="O6198" s="268"/>
    </row>
    <row r="6199" spans="9:15" x14ac:dyDescent="0.25">
      <c r="I6199" s="268"/>
      <c r="O6199" s="268"/>
    </row>
    <row r="6200" spans="9:15" x14ac:dyDescent="0.25">
      <c r="I6200" s="268"/>
      <c r="O6200" s="268"/>
    </row>
    <row r="6201" spans="9:15" x14ac:dyDescent="0.25">
      <c r="I6201" s="268"/>
      <c r="O6201" s="268"/>
    </row>
    <row r="6202" spans="9:15" x14ac:dyDescent="0.25">
      <c r="I6202" s="268"/>
      <c r="O6202" s="268"/>
    </row>
    <row r="6203" spans="9:15" x14ac:dyDescent="0.25">
      <c r="I6203" s="268"/>
      <c r="O6203" s="268"/>
    </row>
    <row r="6204" spans="9:15" x14ac:dyDescent="0.25">
      <c r="I6204" s="268"/>
      <c r="O6204" s="268"/>
    </row>
    <row r="6205" spans="9:15" x14ac:dyDescent="0.25">
      <c r="I6205" s="268"/>
      <c r="O6205" s="268"/>
    </row>
    <row r="6206" spans="9:15" x14ac:dyDescent="0.25">
      <c r="I6206" s="268"/>
      <c r="O6206" s="268"/>
    </row>
    <row r="6207" spans="9:15" x14ac:dyDescent="0.25">
      <c r="I6207" s="268"/>
      <c r="O6207" s="268"/>
    </row>
    <row r="6208" spans="9:15" x14ac:dyDescent="0.25">
      <c r="I6208" s="268"/>
      <c r="O6208" s="268"/>
    </row>
    <row r="6209" spans="9:15" x14ac:dyDescent="0.25">
      <c r="I6209" s="268"/>
      <c r="O6209" s="268"/>
    </row>
    <row r="6210" spans="9:15" x14ac:dyDescent="0.25">
      <c r="I6210" s="268"/>
      <c r="O6210" s="268"/>
    </row>
    <row r="6211" spans="9:15" x14ac:dyDescent="0.25">
      <c r="I6211" s="268"/>
      <c r="O6211" s="268"/>
    </row>
    <row r="6212" spans="9:15" x14ac:dyDescent="0.25">
      <c r="I6212" s="268"/>
      <c r="O6212" s="268"/>
    </row>
    <row r="6213" spans="9:15" x14ac:dyDescent="0.25">
      <c r="I6213" s="268"/>
      <c r="O6213" s="268"/>
    </row>
    <row r="6214" spans="9:15" x14ac:dyDescent="0.25">
      <c r="I6214" s="268"/>
      <c r="O6214" s="268"/>
    </row>
    <row r="6215" spans="9:15" x14ac:dyDescent="0.25">
      <c r="I6215" s="268"/>
      <c r="O6215" s="268"/>
    </row>
    <row r="6216" spans="9:15" x14ac:dyDescent="0.25">
      <c r="I6216" s="268"/>
      <c r="O6216" s="268"/>
    </row>
    <row r="6217" spans="9:15" x14ac:dyDescent="0.25">
      <c r="I6217" s="268"/>
      <c r="O6217" s="268"/>
    </row>
    <row r="6218" spans="9:15" x14ac:dyDescent="0.25">
      <c r="I6218" s="268"/>
      <c r="O6218" s="268"/>
    </row>
    <row r="6219" spans="9:15" x14ac:dyDescent="0.25">
      <c r="I6219" s="268"/>
      <c r="O6219" s="268"/>
    </row>
    <row r="6220" spans="9:15" x14ac:dyDescent="0.25">
      <c r="I6220" s="268"/>
      <c r="O6220" s="268"/>
    </row>
    <row r="6221" spans="9:15" x14ac:dyDescent="0.25">
      <c r="I6221" s="268"/>
      <c r="O6221" s="268"/>
    </row>
    <row r="6222" spans="9:15" x14ac:dyDescent="0.25">
      <c r="I6222" s="268"/>
      <c r="O6222" s="268"/>
    </row>
    <row r="6223" spans="9:15" x14ac:dyDescent="0.25">
      <c r="I6223" s="268"/>
      <c r="O6223" s="268"/>
    </row>
    <row r="6224" spans="9:15" x14ac:dyDescent="0.25">
      <c r="I6224" s="268"/>
      <c r="O6224" s="268"/>
    </row>
    <row r="6225" spans="9:15" x14ac:dyDescent="0.25">
      <c r="I6225" s="268"/>
      <c r="O6225" s="268"/>
    </row>
    <row r="6226" spans="9:15" x14ac:dyDescent="0.25">
      <c r="I6226" s="268"/>
      <c r="O6226" s="268"/>
    </row>
    <row r="6227" spans="9:15" x14ac:dyDescent="0.25">
      <c r="I6227" s="268"/>
      <c r="O6227" s="268"/>
    </row>
    <row r="6228" spans="9:15" x14ac:dyDescent="0.25">
      <c r="I6228" s="268"/>
      <c r="O6228" s="268"/>
    </row>
    <row r="6229" spans="9:15" x14ac:dyDescent="0.25">
      <c r="I6229" s="268"/>
      <c r="O6229" s="268"/>
    </row>
    <row r="6230" spans="9:15" x14ac:dyDescent="0.25">
      <c r="I6230" s="268"/>
      <c r="O6230" s="268"/>
    </row>
    <row r="6231" spans="9:15" x14ac:dyDescent="0.25">
      <c r="I6231" s="268"/>
      <c r="O6231" s="268"/>
    </row>
    <row r="6232" spans="9:15" x14ac:dyDescent="0.25">
      <c r="I6232" s="268"/>
      <c r="O6232" s="268"/>
    </row>
    <row r="6233" spans="9:15" x14ac:dyDescent="0.25">
      <c r="I6233" s="268"/>
      <c r="O6233" s="268"/>
    </row>
    <row r="6234" spans="9:15" x14ac:dyDescent="0.25">
      <c r="I6234" s="268"/>
      <c r="O6234" s="268"/>
    </row>
    <row r="6235" spans="9:15" x14ac:dyDescent="0.25">
      <c r="I6235" s="268"/>
      <c r="O6235" s="268"/>
    </row>
    <row r="6236" spans="9:15" x14ac:dyDescent="0.25">
      <c r="I6236" s="268"/>
      <c r="O6236" s="268"/>
    </row>
    <row r="6237" spans="9:15" x14ac:dyDescent="0.25">
      <c r="I6237" s="268"/>
      <c r="O6237" s="268"/>
    </row>
    <row r="6238" spans="9:15" x14ac:dyDescent="0.25">
      <c r="I6238" s="268"/>
      <c r="O6238" s="268"/>
    </row>
    <row r="6239" spans="9:15" x14ac:dyDescent="0.25">
      <c r="I6239" s="268"/>
      <c r="O6239" s="268"/>
    </row>
    <row r="6240" spans="9:15" x14ac:dyDescent="0.25">
      <c r="I6240" s="268"/>
      <c r="O6240" s="268"/>
    </row>
    <row r="6241" spans="9:15" x14ac:dyDescent="0.25">
      <c r="I6241" s="268"/>
      <c r="O6241" s="268"/>
    </row>
    <row r="6242" spans="9:15" x14ac:dyDescent="0.25">
      <c r="I6242" s="268"/>
      <c r="O6242" s="268"/>
    </row>
    <row r="6243" spans="9:15" x14ac:dyDescent="0.25">
      <c r="I6243" s="268"/>
      <c r="O6243" s="268"/>
    </row>
    <row r="6244" spans="9:15" x14ac:dyDescent="0.25">
      <c r="I6244" s="268"/>
      <c r="O6244" s="268"/>
    </row>
    <row r="6245" spans="9:15" x14ac:dyDescent="0.25">
      <c r="I6245" s="268"/>
      <c r="O6245" s="268"/>
    </row>
    <row r="6246" spans="9:15" x14ac:dyDescent="0.25">
      <c r="I6246" s="268"/>
      <c r="O6246" s="268"/>
    </row>
    <row r="6247" spans="9:15" x14ac:dyDescent="0.25">
      <c r="I6247" s="268"/>
      <c r="O6247" s="268"/>
    </row>
    <row r="6248" spans="9:15" x14ac:dyDescent="0.25">
      <c r="I6248" s="268"/>
      <c r="O6248" s="268"/>
    </row>
    <row r="6249" spans="9:15" x14ac:dyDescent="0.25">
      <c r="I6249" s="268"/>
      <c r="O6249" s="268"/>
    </row>
    <row r="6250" spans="9:15" x14ac:dyDescent="0.25">
      <c r="I6250" s="268"/>
      <c r="O6250" s="268"/>
    </row>
    <row r="6251" spans="9:15" x14ac:dyDescent="0.25">
      <c r="I6251" s="268"/>
      <c r="O6251" s="268"/>
    </row>
    <row r="6252" spans="9:15" x14ac:dyDescent="0.25">
      <c r="I6252" s="268"/>
      <c r="O6252" s="268"/>
    </row>
    <row r="6253" spans="9:15" x14ac:dyDescent="0.25">
      <c r="I6253" s="268"/>
      <c r="O6253" s="268"/>
    </row>
    <row r="6254" spans="9:15" x14ac:dyDescent="0.25">
      <c r="I6254" s="268"/>
      <c r="O6254" s="268"/>
    </row>
    <row r="6255" spans="9:15" x14ac:dyDescent="0.25">
      <c r="I6255" s="268"/>
      <c r="O6255" s="268"/>
    </row>
    <row r="6256" spans="9:15" x14ac:dyDescent="0.25">
      <c r="I6256" s="268"/>
      <c r="O6256" s="268"/>
    </row>
    <row r="6257" spans="9:15" x14ac:dyDescent="0.25">
      <c r="I6257" s="268"/>
      <c r="O6257" s="268"/>
    </row>
    <row r="6258" spans="9:15" x14ac:dyDescent="0.25">
      <c r="I6258" s="268"/>
      <c r="O6258" s="268"/>
    </row>
    <row r="6259" spans="9:15" x14ac:dyDescent="0.25">
      <c r="I6259" s="268"/>
      <c r="O6259" s="268"/>
    </row>
    <row r="6260" spans="9:15" x14ac:dyDescent="0.25">
      <c r="I6260" s="268"/>
      <c r="O6260" s="268"/>
    </row>
    <row r="6261" spans="9:15" x14ac:dyDescent="0.25">
      <c r="I6261" s="268"/>
      <c r="O6261" s="268"/>
    </row>
    <row r="6262" spans="9:15" x14ac:dyDescent="0.25">
      <c r="I6262" s="268"/>
      <c r="O6262" s="268"/>
    </row>
    <row r="6263" spans="9:15" x14ac:dyDescent="0.25">
      <c r="I6263" s="268"/>
      <c r="O6263" s="268"/>
    </row>
    <row r="6264" spans="9:15" x14ac:dyDescent="0.25">
      <c r="I6264" s="268"/>
      <c r="O6264" s="268"/>
    </row>
    <row r="6265" spans="9:15" x14ac:dyDescent="0.25">
      <c r="I6265" s="268"/>
      <c r="O6265" s="268"/>
    </row>
    <row r="6266" spans="9:15" x14ac:dyDescent="0.25">
      <c r="I6266" s="268"/>
      <c r="O6266" s="268"/>
    </row>
    <row r="6267" spans="9:15" x14ac:dyDescent="0.25">
      <c r="I6267" s="268"/>
      <c r="O6267" s="268"/>
    </row>
    <row r="6268" spans="9:15" x14ac:dyDescent="0.25">
      <c r="I6268" s="268"/>
      <c r="O6268" s="268"/>
    </row>
    <row r="6269" spans="9:15" x14ac:dyDescent="0.25">
      <c r="I6269" s="268"/>
      <c r="O6269" s="268"/>
    </row>
    <row r="6270" spans="9:15" x14ac:dyDescent="0.25">
      <c r="I6270" s="268"/>
      <c r="O6270" s="268"/>
    </row>
    <row r="6271" spans="9:15" x14ac:dyDescent="0.25">
      <c r="I6271" s="268"/>
      <c r="O6271" s="268"/>
    </row>
    <row r="6272" spans="9:15" x14ac:dyDescent="0.25">
      <c r="I6272" s="268"/>
      <c r="O6272" s="268"/>
    </row>
    <row r="6273" spans="9:15" x14ac:dyDescent="0.25">
      <c r="I6273" s="268"/>
      <c r="O6273" s="268"/>
    </row>
    <row r="6274" spans="9:15" x14ac:dyDescent="0.25">
      <c r="I6274" s="268"/>
      <c r="O6274" s="268"/>
    </row>
    <row r="6275" spans="9:15" x14ac:dyDescent="0.25">
      <c r="I6275" s="268"/>
      <c r="O6275" s="268"/>
    </row>
    <row r="6276" spans="9:15" x14ac:dyDescent="0.25">
      <c r="I6276" s="268"/>
      <c r="O6276" s="268"/>
    </row>
    <row r="6277" spans="9:15" x14ac:dyDescent="0.25">
      <c r="I6277" s="268"/>
      <c r="O6277" s="268"/>
    </row>
    <row r="6278" spans="9:15" x14ac:dyDescent="0.25">
      <c r="I6278" s="268"/>
      <c r="O6278" s="268"/>
    </row>
    <row r="6279" spans="9:15" x14ac:dyDescent="0.25">
      <c r="I6279" s="268"/>
      <c r="O6279" s="268"/>
    </row>
    <row r="6280" spans="9:15" x14ac:dyDescent="0.25">
      <c r="I6280" s="268"/>
      <c r="O6280" s="268"/>
    </row>
    <row r="6281" spans="9:15" x14ac:dyDescent="0.25">
      <c r="I6281" s="268"/>
      <c r="O6281" s="268"/>
    </row>
    <row r="6282" spans="9:15" x14ac:dyDescent="0.25">
      <c r="I6282" s="268"/>
      <c r="O6282" s="268"/>
    </row>
    <row r="6283" spans="9:15" x14ac:dyDescent="0.25">
      <c r="I6283" s="268"/>
      <c r="O6283" s="268"/>
    </row>
    <row r="6284" spans="9:15" x14ac:dyDescent="0.25">
      <c r="I6284" s="268"/>
      <c r="O6284" s="268"/>
    </row>
    <row r="6285" spans="9:15" x14ac:dyDescent="0.25">
      <c r="I6285" s="268"/>
      <c r="O6285" s="268"/>
    </row>
    <row r="6286" spans="9:15" x14ac:dyDescent="0.25">
      <c r="I6286" s="268"/>
      <c r="O6286" s="268"/>
    </row>
    <row r="6287" spans="9:15" x14ac:dyDescent="0.25">
      <c r="I6287" s="268"/>
      <c r="O6287" s="268"/>
    </row>
    <row r="6288" spans="9:15" x14ac:dyDescent="0.25">
      <c r="I6288" s="268"/>
      <c r="O6288" s="268"/>
    </row>
    <row r="6289" spans="9:15" x14ac:dyDescent="0.25">
      <c r="I6289" s="268"/>
      <c r="O6289" s="268"/>
    </row>
    <row r="6290" spans="9:15" x14ac:dyDescent="0.25">
      <c r="I6290" s="268"/>
      <c r="O6290" s="268"/>
    </row>
    <row r="6291" spans="9:15" x14ac:dyDescent="0.25">
      <c r="I6291" s="268"/>
      <c r="O6291" s="268"/>
    </row>
    <row r="6292" spans="9:15" x14ac:dyDescent="0.25">
      <c r="I6292" s="268"/>
      <c r="O6292" s="268"/>
    </row>
    <row r="6293" spans="9:15" x14ac:dyDescent="0.25">
      <c r="I6293" s="268"/>
      <c r="O6293" s="268"/>
    </row>
    <row r="6294" spans="9:15" x14ac:dyDescent="0.25">
      <c r="I6294" s="268"/>
      <c r="O6294" s="268"/>
    </row>
    <row r="6295" spans="9:15" x14ac:dyDescent="0.25">
      <c r="I6295" s="268"/>
      <c r="O6295" s="268"/>
    </row>
    <row r="6296" spans="9:15" x14ac:dyDescent="0.25">
      <c r="I6296" s="268"/>
      <c r="O6296" s="268"/>
    </row>
    <row r="6297" spans="9:15" x14ac:dyDescent="0.25">
      <c r="I6297" s="268"/>
      <c r="O6297" s="268"/>
    </row>
    <row r="6298" spans="9:15" x14ac:dyDescent="0.25">
      <c r="I6298" s="268"/>
      <c r="O6298" s="268"/>
    </row>
    <row r="6299" spans="9:15" x14ac:dyDescent="0.25">
      <c r="I6299" s="268"/>
      <c r="O6299" s="268"/>
    </row>
    <row r="6300" spans="9:15" x14ac:dyDescent="0.25">
      <c r="I6300" s="268"/>
      <c r="O6300" s="268"/>
    </row>
    <row r="6301" spans="9:15" x14ac:dyDescent="0.25">
      <c r="I6301" s="268"/>
      <c r="O6301" s="268"/>
    </row>
    <row r="6302" spans="9:15" x14ac:dyDescent="0.25">
      <c r="I6302" s="268"/>
      <c r="O6302" s="268"/>
    </row>
    <row r="6303" spans="9:15" x14ac:dyDescent="0.25">
      <c r="I6303" s="268"/>
      <c r="O6303" s="268"/>
    </row>
    <row r="6304" spans="9:15" x14ac:dyDescent="0.25">
      <c r="I6304" s="268"/>
      <c r="O6304" s="268"/>
    </row>
    <row r="6305" spans="9:15" x14ac:dyDescent="0.25">
      <c r="I6305" s="268"/>
      <c r="O6305" s="268"/>
    </row>
    <row r="6306" spans="9:15" x14ac:dyDescent="0.25">
      <c r="I6306" s="268"/>
      <c r="O6306" s="268"/>
    </row>
    <row r="6307" spans="9:15" x14ac:dyDescent="0.25">
      <c r="I6307" s="268"/>
      <c r="O6307" s="268"/>
    </row>
    <row r="6308" spans="9:15" x14ac:dyDescent="0.25">
      <c r="I6308" s="268"/>
      <c r="O6308" s="268"/>
    </row>
    <row r="6309" spans="9:15" x14ac:dyDescent="0.25">
      <c r="I6309" s="268"/>
      <c r="O6309" s="268"/>
    </row>
    <row r="6310" spans="9:15" x14ac:dyDescent="0.25">
      <c r="I6310" s="268"/>
      <c r="O6310" s="268"/>
    </row>
    <row r="6311" spans="9:15" x14ac:dyDescent="0.25">
      <c r="I6311" s="268"/>
      <c r="O6311" s="268"/>
    </row>
    <row r="6312" spans="9:15" x14ac:dyDescent="0.25">
      <c r="I6312" s="268"/>
      <c r="O6312" s="268"/>
    </row>
    <row r="6313" spans="9:15" x14ac:dyDescent="0.25">
      <c r="I6313" s="268"/>
      <c r="O6313" s="268"/>
    </row>
    <row r="6314" spans="9:15" x14ac:dyDescent="0.25">
      <c r="I6314" s="268"/>
      <c r="O6314" s="268"/>
    </row>
    <row r="6315" spans="9:15" x14ac:dyDescent="0.25">
      <c r="I6315" s="268"/>
      <c r="O6315" s="268"/>
    </row>
    <row r="6316" spans="9:15" x14ac:dyDescent="0.25">
      <c r="I6316" s="268"/>
      <c r="O6316" s="268"/>
    </row>
    <row r="6317" spans="9:15" x14ac:dyDescent="0.25">
      <c r="I6317" s="268"/>
      <c r="O6317" s="268"/>
    </row>
    <row r="6318" spans="9:15" x14ac:dyDescent="0.25">
      <c r="I6318" s="268"/>
      <c r="O6318" s="268"/>
    </row>
    <row r="6319" spans="9:15" x14ac:dyDescent="0.25">
      <c r="I6319" s="268"/>
      <c r="O6319" s="268"/>
    </row>
    <row r="6320" spans="9:15" x14ac:dyDescent="0.25">
      <c r="I6320" s="268"/>
      <c r="O6320" s="268"/>
    </row>
    <row r="6321" spans="9:15" x14ac:dyDescent="0.25">
      <c r="I6321" s="268"/>
      <c r="O6321" s="268"/>
    </row>
    <row r="6322" spans="9:15" x14ac:dyDescent="0.25">
      <c r="I6322" s="268"/>
      <c r="O6322" s="268"/>
    </row>
    <row r="6323" spans="9:15" x14ac:dyDescent="0.25">
      <c r="I6323" s="268"/>
      <c r="O6323" s="268"/>
    </row>
    <row r="6324" spans="9:15" x14ac:dyDescent="0.25">
      <c r="I6324" s="268"/>
      <c r="O6324" s="268"/>
    </row>
    <row r="6325" spans="9:15" x14ac:dyDescent="0.25">
      <c r="I6325" s="268"/>
      <c r="O6325" s="268"/>
    </row>
    <row r="6326" spans="9:15" x14ac:dyDescent="0.25">
      <c r="I6326" s="268"/>
      <c r="O6326" s="268"/>
    </row>
    <row r="6327" spans="9:15" x14ac:dyDescent="0.25">
      <c r="I6327" s="268"/>
      <c r="O6327" s="268"/>
    </row>
    <row r="6328" spans="9:15" x14ac:dyDescent="0.25">
      <c r="I6328" s="268"/>
      <c r="O6328" s="268"/>
    </row>
    <row r="6329" spans="9:15" x14ac:dyDescent="0.25">
      <c r="I6329" s="268"/>
      <c r="O6329" s="268"/>
    </row>
    <row r="6330" spans="9:15" x14ac:dyDescent="0.25">
      <c r="I6330" s="268"/>
      <c r="O6330" s="268"/>
    </row>
    <row r="6331" spans="9:15" x14ac:dyDescent="0.25">
      <c r="I6331" s="268"/>
      <c r="O6331" s="268"/>
    </row>
    <row r="6332" spans="9:15" x14ac:dyDescent="0.25">
      <c r="I6332" s="268"/>
      <c r="O6332" s="268"/>
    </row>
    <row r="6333" spans="9:15" x14ac:dyDescent="0.25">
      <c r="I6333" s="268"/>
      <c r="O6333" s="268"/>
    </row>
    <row r="6334" spans="9:15" x14ac:dyDescent="0.25">
      <c r="I6334" s="268"/>
      <c r="O6334" s="268"/>
    </row>
    <row r="6335" spans="9:15" x14ac:dyDescent="0.25">
      <c r="I6335" s="268"/>
      <c r="O6335" s="268"/>
    </row>
    <row r="6336" spans="9:15" x14ac:dyDescent="0.25">
      <c r="I6336" s="268"/>
      <c r="O6336" s="268"/>
    </row>
    <row r="6337" spans="9:15" x14ac:dyDescent="0.25">
      <c r="I6337" s="268"/>
      <c r="O6337" s="268"/>
    </row>
    <row r="6338" spans="9:15" x14ac:dyDescent="0.25">
      <c r="I6338" s="268"/>
      <c r="O6338" s="268"/>
    </row>
    <row r="6339" spans="9:15" x14ac:dyDescent="0.25">
      <c r="I6339" s="268"/>
      <c r="O6339" s="268"/>
    </row>
    <row r="6340" spans="9:15" x14ac:dyDescent="0.25">
      <c r="I6340" s="268"/>
      <c r="O6340" s="268"/>
    </row>
    <row r="6341" spans="9:15" x14ac:dyDescent="0.25">
      <c r="I6341" s="268"/>
      <c r="O6341" s="268"/>
    </row>
    <row r="6342" spans="9:15" x14ac:dyDescent="0.25">
      <c r="I6342" s="268"/>
      <c r="O6342" s="268"/>
    </row>
    <row r="6343" spans="9:15" x14ac:dyDescent="0.25">
      <c r="I6343" s="268"/>
      <c r="O6343" s="268"/>
    </row>
    <row r="6344" spans="9:15" x14ac:dyDescent="0.25">
      <c r="I6344" s="268"/>
      <c r="O6344" s="268"/>
    </row>
    <row r="6345" spans="9:15" x14ac:dyDescent="0.25">
      <c r="I6345" s="268"/>
      <c r="O6345" s="268"/>
    </row>
    <row r="6346" spans="9:15" x14ac:dyDescent="0.25">
      <c r="I6346" s="268"/>
      <c r="O6346" s="268"/>
    </row>
    <row r="6347" spans="9:15" x14ac:dyDescent="0.25">
      <c r="I6347" s="268"/>
      <c r="O6347" s="268"/>
    </row>
    <row r="6348" spans="9:15" x14ac:dyDescent="0.25">
      <c r="I6348" s="268"/>
      <c r="O6348" s="268"/>
    </row>
    <row r="6349" spans="9:15" x14ac:dyDescent="0.25">
      <c r="I6349" s="268"/>
      <c r="O6349" s="268"/>
    </row>
    <row r="6350" spans="9:15" x14ac:dyDescent="0.25">
      <c r="I6350" s="268"/>
      <c r="O6350" s="268"/>
    </row>
    <row r="6351" spans="9:15" x14ac:dyDescent="0.25">
      <c r="I6351" s="268"/>
      <c r="O6351" s="268"/>
    </row>
    <row r="6352" spans="9:15" x14ac:dyDescent="0.25">
      <c r="I6352" s="268"/>
      <c r="O6352" s="268"/>
    </row>
    <row r="6353" spans="9:15" x14ac:dyDescent="0.25">
      <c r="I6353" s="268"/>
      <c r="O6353" s="268"/>
    </row>
    <row r="6354" spans="9:15" x14ac:dyDescent="0.25">
      <c r="I6354" s="268"/>
      <c r="O6354" s="268"/>
    </row>
    <row r="6355" spans="9:15" x14ac:dyDescent="0.25">
      <c r="I6355" s="268"/>
      <c r="O6355" s="268"/>
    </row>
    <row r="6356" spans="9:15" x14ac:dyDescent="0.25">
      <c r="I6356" s="268"/>
      <c r="O6356" s="268"/>
    </row>
    <row r="6357" spans="9:15" x14ac:dyDescent="0.25">
      <c r="I6357" s="268"/>
      <c r="O6357" s="268"/>
    </row>
    <row r="6358" spans="9:15" x14ac:dyDescent="0.25">
      <c r="I6358" s="268"/>
      <c r="O6358" s="268"/>
    </row>
    <row r="6359" spans="9:15" x14ac:dyDescent="0.25">
      <c r="I6359" s="268"/>
      <c r="O6359" s="268"/>
    </row>
    <row r="6360" spans="9:15" x14ac:dyDescent="0.25">
      <c r="I6360" s="268"/>
      <c r="O6360" s="268"/>
    </row>
    <row r="6361" spans="9:15" x14ac:dyDescent="0.25">
      <c r="I6361" s="268"/>
      <c r="O6361" s="268"/>
    </row>
    <row r="6362" spans="9:15" x14ac:dyDescent="0.25">
      <c r="I6362" s="268"/>
      <c r="O6362" s="268"/>
    </row>
    <row r="6363" spans="9:15" x14ac:dyDescent="0.25">
      <c r="I6363" s="268"/>
      <c r="O6363" s="268"/>
    </row>
    <row r="6364" spans="9:15" x14ac:dyDescent="0.25">
      <c r="I6364" s="268"/>
      <c r="O6364" s="268"/>
    </row>
    <row r="6365" spans="9:15" x14ac:dyDescent="0.25">
      <c r="I6365" s="268"/>
      <c r="O6365" s="268"/>
    </row>
    <row r="6366" spans="9:15" x14ac:dyDescent="0.25">
      <c r="I6366" s="268"/>
      <c r="O6366" s="268"/>
    </row>
    <row r="6367" spans="9:15" x14ac:dyDescent="0.25">
      <c r="I6367" s="268"/>
      <c r="O6367" s="268"/>
    </row>
    <row r="6368" spans="9:15" x14ac:dyDescent="0.25">
      <c r="I6368" s="268"/>
      <c r="O6368" s="268"/>
    </row>
    <row r="6369" spans="9:15" x14ac:dyDescent="0.25">
      <c r="I6369" s="268"/>
      <c r="O6369" s="268"/>
    </row>
    <row r="6370" spans="9:15" x14ac:dyDescent="0.25">
      <c r="I6370" s="268"/>
      <c r="O6370" s="268"/>
    </row>
    <row r="6371" spans="9:15" x14ac:dyDescent="0.25">
      <c r="I6371" s="268"/>
      <c r="O6371" s="268"/>
    </row>
    <row r="6372" spans="9:15" x14ac:dyDescent="0.25">
      <c r="I6372" s="268"/>
      <c r="O6372" s="268"/>
    </row>
    <row r="6373" spans="9:15" x14ac:dyDescent="0.25">
      <c r="I6373" s="268"/>
      <c r="O6373" s="268"/>
    </row>
    <row r="6374" spans="9:15" x14ac:dyDescent="0.25">
      <c r="I6374" s="268"/>
      <c r="O6374" s="268"/>
    </row>
    <row r="6375" spans="9:15" x14ac:dyDescent="0.25">
      <c r="I6375" s="268"/>
      <c r="O6375" s="268"/>
    </row>
    <row r="6376" spans="9:15" x14ac:dyDescent="0.25">
      <c r="I6376" s="268"/>
      <c r="O6376" s="268"/>
    </row>
    <row r="6377" spans="9:15" x14ac:dyDescent="0.25">
      <c r="I6377" s="268"/>
      <c r="O6377" s="268"/>
    </row>
    <row r="6378" spans="9:15" x14ac:dyDescent="0.25">
      <c r="I6378" s="268"/>
      <c r="O6378" s="268"/>
    </row>
    <row r="6379" spans="9:15" x14ac:dyDescent="0.25">
      <c r="I6379" s="268"/>
      <c r="O6379" s="268"/>
    </row>
    <row r="6380" spans="9:15" x14ac:dyDescent="0.25">
      <c r="I6380" s="268"/>
      <c r="O6380" s="268"/>
    </row>
    <row r="6381" spans="9:15" x14ac:dyDescent="0.25">
      <c r="I6381" s="268"/>
      <c r="O6381" s="268"/>
    </row>
    <row r="6382" spans="9:15" x14ac:dyDescent="0.25">
      <c r="I6382" s="268"/>
      <c r="O6382" s="268"/>
    </row>
    <row r="6383" spans="9:15" x14ac:dyDescent="0.25">
      <c r="I6383" s="268"/>
      <c r="O6383" s="268"/>
    </row>
    <row r="6384" spans="9:15" x14ac:dyDescent="0.25">
      <c r="I6384" s="268"/>
      <c r="O6384" s="268"/>
    </row>
    <row r="6385" spans="9:15" x14ac:dyDescent="0.25">
      <c r="I6385" s="268"/>
      <c r="O6385" s="268"/>
    </row>
    <row r="6386" spans="9:15" x14ac:dyDescent="0.25">
      <c r="I6386" s="268"/>
      <c r="O6386" s="268"/>
    </row>
    <row r="6387" spans="9:15" x14ac:dyDescent="0.25">
      <c r="I6387" s="268"/>
      <c r="O6387" s="268"/>
    </row>
    <row r="6388" spans="9:15" x14ac:dyDescent="0.25">
      <c r="I6388" s="268"/>
      <c r="O6388" s="268"/>
    </row>
    <row r="6389" spans="9:15" x14ac:dyDescent="0.25">
      <c r="I6389" s="268"/>
      <c r="O6389" s="268"/>
    </row>
    <row r="6390" spans="9:15" x14ac:dyDescent="0.25">
      <c r="I6390" s="268"/>
      <c r="O6390" s="268"/>
    </row>
    <row r="6391" spans="9:15" x14ac:dyDescent="0.25">
      <c r="I6391" s="268"/>
      <c r="O6391" s="268"/>
    </row>
    <row r="6392" spans="9:15" x14ac:dyDescent="0.25">
      <c r="I6392" s="268"/>
      <c r="O6392" s="268"/>
    </row>
    <row r="6393" spans="9:15" x14ac:dyDescent="0.25">
      <c r="I6393" s="268"/>
      <c r="O6393" s="268"/>
    </row>
    <row r="6394" spans="9:15" x14ac:dyDescent="0.25">
      <c r="I6394" s="268"/>
      <c r="O6394" s="268"/>
    </row>
    <row r="6395" spans="9:15" x14ac:dyDescent="0.25">
      <c r="I6395" s="268"/>
      <c r="O6395" s="268"/>
    </row>
    <row r="6396" spans="9:15" x14ac:dyDescent="0.25">
      <c r="I6396" s="268"/>
      <c r="O6396" s="268"/>
    </row>
    <row r="6397" spans="9:15" x14ac:dyDescent="0.25">
      <c r="I6397" s="268"/>
      <c r="O6397" s="268"/>
    </row>
    <row r="6398" spans="9:15" x14ac:dyDescent="0.25">
      <c r="I6398" s="268"/>
      <c r="O6398" s="268"/>
    </row>
    <row r="6399" spans="9:15" x14ac:dyDescent="0.25">
      <c r="I6399" s="268"/>
      <c r="O6399" s="268"/>
    </row>
    <row r="6400" spans="9:15" x14ac:dyDescent="0.25">
      <c r="I6400" s="268"/>
      <c r="O6400" s="268"/>
    </row>
    <row r="6401" spans="9:15" x14ac:dyDescent="0.25">
      <c r="I6401" s="268"/>
      <c r="O6401" s="268"/>
    </row>
    <row r="6402" spans="9:15" x14ac:dyDescent="0.25">
      <c r="I6402" s="268"/>
      <c r="O6402" s="268"/>
    </row>
    <row r="6403" spans="9:15" x14ac:dyDescent="0.25">
      <c r="I6403" s="268"/>
      <c r="O6403" s="268"/>
    </row>
    <row r="6404" spans="9:15" x14ac:dyDescent="0.25">
      <c r="I6404" s="268"/>
      <c r="O6404" s="268"/>
    </row>
    <row r="6405" spans="9:15" x14ac:dyDescent="0.25">
      <c r="I6405" s="268"/>
      <c r="O6405" s="268"/>
    </row>
    <row r="6406" spans="9:15" x14ac:dyDescent="0.25">
      <c r="I6406" s="268"/>
      <c r="O6406" s="268"/>
    </row>
    <row r="6407" spans="9:15" x14ac:dyDescent="0.25">
      <c r="I6407" s="268"/>
      <c r="O6407" s="268"/>
    </row>
    <row r="6408" spans="9:15" x14ac:dyDescent="0.25">
      <c r="I6408" s="268"/>
      <c r="O6408" s="268"/>
    </row>
    <row r="6409" spans="9:15" x14ac:dyDescent="0.25">
      <c r="I6409" s="268"/>
      <c r="O6409" s="268"/>
    </row>
    <row r="6410" spans="9:15" x14ac:dyDescent="0.25">
      <c r="I6410" s="268"/>
      <c r="O6410" s="268"/>
    </row>
    <row r="6411" spans="9:15" x14ac:dyDescent="0.25">
      <c r="I6411" s="268"/>
      <c r="O6411" s="268"/>
    </row>
    <row r="6412" spans="9:15" x14ac:dyDescent="0.25">
      <c r="I6412" s="268"/>
      <c r="O6412" s="268"/>
    </row>
    <row r="6413" spans="9:15" x14ac:dyDescent="0.25">
      <c r="I6413" s="268"/>
      <c r="O6413" s="268"/>
    </row>
    <row r="6414" spans="9:15" x14ac:dyDescent="0.25">
      <c r="I6414" s="268"/>
      <c r="O6414" s="268"/>
    </row>
    <row r="6415" spans="9:15" x14ac:dyDescent="0.25">
      <c r="I6415" s="268"/>
      <c r="O6415" s="268"/>
    </row>
    <row r="6416" spans="9:15" x14ac:dyDescent="0.25">
      <c r="I6416" s="268"/>
      <c r="O6416" s="268"/>
    </row>
    <row r="6417" spans="9:15" x14ac:dyDescent="0.25">
      <c r="I6417" s="268"/>
      <c r="O6417" s="268"/>
    </row>
    <row r="6418" spans="9:15" x14ac:dyDescent="0.25">
      <c r="I6418" s="268"/>
      <c r="O6418" s="268"/>
    </row>
    <row r="6419" spans="9:15" x14ac:dyDescent="0.25">
      <c r="I6419" s="268"/>
      <c r="O6419" s="268"/>
    </row>
    <row r="6420" spans="9:15" x14ac:dyDescent="0.25">
      <c r="I6420" s="268"/>
      <c r="O6420" s="268"/>
    </row>
    <row r="6421" spans="9:15" x14ac:dyDescent="0.25">
      <c r="I6421" s="268"/>
      <c r="O6421" s="268"/>
    </row>
    <row r="6422" spans="9:15" x14ac:dyDescent="0.25">
      <c r="I6422" s="268"/>
      <c r="O6422" s="268"/>
    </row>
    <row r="6423" spans="9:15" x14ac:dyDescent="0.25">
      <c r="I6423" s="268"/>
      <c r="O6423" s="268"/>
    </row>
    <row r="6424" spans="9:15" x14ac:dyDescent="0.25">
      <c r="I6424" s="268"/>
      <c r="O6424" s="268"/>
    </row>
    <row r="6425" spans="9:15" x14ac:dyDescent="0.25">
      <c r="I6425" s="268"/>
      <c r="O6425" s="268"/>
    </row>
    <row r="6426" spans="9:15" x14ac:dyDescent="0.25">
      <c r="I6426" s="268"/>
      <c r="O6426" s="268"/>
    </row>
    <row r="6427" spans="9:15" x14ac:dyDescent="0.25">
      <c r="I6427" s="268"/>
      <c r="O6427" s="268"/>
    </row>
    <row r="6428" spans="9:15" x14ac:dyDescent="0.25">
      <c r="I6428" s="268"/>
      <c r="O6428" s="268"/>
    </row>
    <row r="6429" spans="9:15" x14ac:dyDescent="0.25">
      <c r="I6429" s="268"/>
      <c r="O6429" s="268"/>
    </row>
    <row r="6430" spans="9:15" x14ac:dyDescent="0.25">
      <c r="I6430" s="268"/>
      <c r="O6430" s="268"/>
    </row>
    <row r="6431" spans="9:15" x14ac:dyDescent="0.25">
      <c r="I6431" s="268"/>
      <c r="O6431" s="268"/>
    </row>
    <row r="6432" spans="9:15" x14ac:dyDescent="0.25">
      <c r="I6432" s="268"/>
      <c r="O6432" s="268"/>
    </row>
    <row r="6433" spans="9:15" x14ac:dyDescent="0.25">
      <c r="I6433" s="268"/>
      <c r="O6433" s="268"/>
    </row>
    <row r="6434" spans="9:15" x14ac:dyDescent="0.25">
      <c r="I6434" s="268"/>
      <c r="O6434" s="268"/>
    </row>
    <row r="6435" spans="9:15" x14ac:dyDescent="0.25">
      <c r="I6435" s="268"/>
      <c r="O6435" s="268"/>
    </row>
    <row r="6436" spans="9:15" x14ac:dyDescent="0.25">
      <c r="I6436" s="268"/>
      <c r="O6436" s="268"/>
    </row>
    <row r="6437" spans="9:15" x14ac:dyDescent="0.25">
      <c r="I6437" s="268"/>
      <c r="O6437" s="268"/>
    </row>
    <row r="6438" spans="9:15" x14ac:dyDescent="0.25">
      <c r="I6438" s="268"/>
      <c r="O6438" s="268"/>
    </row>
    <row r="6439" spans="9:15" x14ac:dyDescent="0.25">
      <c r="I6439" s="268"/>
      <c r="O6439" s="268"/>
    </row>
    <row r="6440" spans="9:15" x14ac:dyDescent="0.25">
      <c r="I6440" s="268"/>
      <c r="O6440" s="268"/>
    </row>
    <row r="6441" spans="9:15" x14ac:dyDescent="0.25">
      <c r="I6441" s="268"/>
      <c r="O6441" s="268"/>
    </row>
    <row r="6442" spans="9:15" x14ac:dyDescent="0.25">
      <c r="I6442" s="268"/>
      <c r="O6442" s="268"/>
    </row>
    <row r="6443" spans="9:15" x14ac:dyDescent="0.25">
      <c r="I6443" s="268"/>
      <c r="O6443" s="268"/>
    </row>
    <row r="6444" spans="9:15" x14ac:dyDescent="0.25">
      <c r="I6444" s="268"/>
      <c r="O6444" s="268"/>
    </row>
    <row r="6445" spans="9:15" x14ac:dyDescent="0.25">
      <c r="I6445" s="268"/>
      <c r="O6445" s="268"/>
    </row>
    <row r="6446" spans="9:15" x14ac:dyDescent="0.25">
      <c r="I6446" s="268"/>
      <c r="O6446" s="268"/>
    </row>
    <row r="6447" spans="9:15" x14ac:dyDescent="0.25">
      <c r="I6447" s="268"/>
      <c r="O6447" s="268"/>
    </row>
    <row r="6448" spans="9:15" x14ac:dyDescent="0.25">
      <c r="I6448" s="268"/>
      <c r="O6448" s="268"/>
    </row>
    <row r="6449" spans="9:15" x14ac:dyDescent="0.25">
      <c r="I6449" s="268"/>
      <c r="O6449" s="268"/>
    </row>
    <row r="6450" spans="9:15" x14ac:dyDescent="0.25">
      <c r="I6450" s="268"/>
      <c r="O6450" s="268"/>
    </row>
    <row r="6451" spans="9:15" x14ac:dyDescent="0.25">
      <c r="I6451" s="268"/>
      <c r="O6451" s="268"/>
    </row>
    <row r="6452" spans="9:15" x14ac:dyDescent="0.25">
      <c r="I6452" s="268"/>
      <c r="O6452" s="268"/>
    </row>
    <row r="6453" spans="9:15" x14ac:dyDescent="0.25">
      <c r="I6453" s="268"/>
      <c r="O6453" s="268"/>
    </row>
    <row r="6454" spans="9:15" x14ac:dyDescent="0.25">
      <c r="I6454" s="268"/>
      <c r="O6454" s="268"/>
    </row>
    <row r="6455" spans="9:15" x14ac:dyDescent="0.25">
      <c r="I6455" s="268"/>
      <c r="O6455" s="268"/>
    </row>
    <row r="6456" spans="9:15" x14ac:dyDescent="0.25">
      <c r="I6456" s="268"/>
      <c r="O6456" s="268"/>
    </row>
    <row r="6457" spans="9:15" x14ac:dyDescent="0.25">
      <c r="I6457" s="268"/>
      <c r="O6457" s="268"/>
    </row>
    <row r="6458" spans="9:15" x14ac:dyDescent="0.25">
      <c r="I6458" s="268"/>
      <c r="O6458" s="268"/>
    </row>
    <row r="6459" spans="9:15" x14ac:dyDescent="0.25">
      <c r="I6459" s="268"/>
      <c r="O6459" s="268"/>
    </row>
    <row r="6460" spans="9:15" x14ac:dyDescent="0.25">
      <c r="I6460" s="268"/>
      <c r="O6460" s="268"/>
    </row>
    <row r="6461" spans="9:15" x14ac:dyDescent="0.25">
      <c r="I6461" s="268"/>
      <c r="O6461" s="268"/>
    </row>
    <row r="6462" spans="9:15" x14ac:dyDescent="0.25">
      <c r="I6462" s="268"/>
      <c r="O6462" s="268"/>
    </row>
    <row r="6463" spans="9:15" x14ac:dyDescent="0.25">
      <c r="I6463" s="268"/>
      <c r="O6463" s="268"/>
    </row>
    <row r="6464" spans="9:15" x14ac:dyDescent="0.25">
      <c r="I6464" s="268"/>
      <c r="O6464" s="268"/>
    </row>
    <row r="6465" spans="9:15" x14ac:dyDescent="0.25">
      <c r="I6465" s="268"/>
      <c r="O6465" s="268"/>
    </row>
    <row r="6466" spans="9:15" x14ac:dyDescent="0.25">
      <c r="I6466" s="268"/>
      <c r="O6466" s="268"/>
    </row>
    <row r="6467" spans="9:15" x14ac:dyDescent="0.25">
      <c r="I6467" s="268"/>
      <c r="O6467" s="268"/>
    </row>
    <row r="6468" spans="9:15" x14ac:dyDescent="0.25">
      <c r="I6468" s="268"/>
      <c r="O6468" s="268"/>
    </row>
    <row r="6469" spans="9:15" x14ac:dyDescent="0.25">
      <c r="I6469" s="268"/>
      <c r="O6469" s="268"/>
    </row>
    <row r="6470" spans="9:15" x14ac:dyDescent="0.25">
      <c r="I6470" s="268"/>
      <c r="O6470" s="268"/>
    </row>
    <row r="6471" spans="9:15" x14ac:dyDescent="0.25">
      <c r="I6471" s="268"/>
      <c r="O6471" s="268"/>
    </row>
    <row r="6472" spans="9:15" x14ac:dyDescent="0.25">
      <c r="I6472" s="268"/>
      <c r="O6472" s="268"/>
    </row>
    <row r="6473" spans="9:15" x14ac:dyDescent="0.25">
      <c r="I6473" s="268"/>
      <c r="O6473" s="268"/>
    </row>
    <row r="6474" spans="9:15" x14ac:dyDescent="0.25">
      <c r="I6474" s="268"/>
      <c r="O6474" s="268"/>
    </row>
    <row r="6475" spans="9:15" x14ac:dyDescent="0.25">
      <c r="I6475" s="268"/>
      <c r="O6475" s="268"/>
    </row>
    <row r="6476" spans="9:15" x14ac:dyDescent="0.25">
      <c r="I6476" s="268"/>
      <c r="O6476" s="268"/>
    </row>
    <row r="6477" spans="9:15" x14ac:dyDescent="0.25">
      <c r="I6477" s="268"/>
      <c r="O6477" s="268"/>
    </row>
    <row r="6478" spans="9:15" x14ac:dyDescent="0.25">
      <c r="I6478" s="268"/>
      <c r="O6478" s="268"/>
    </row>
    <row r="6479" spans="9:15" x14ac:dyDescent="0.25">
      <c r="I6479" s="268"/>
      <c r="O6479" s="268"/>
    </row>
    <row r="6480" spans="9:15" x14ac:dyDescent="0.25">
      <c r="I6480" s="268"/>
      <c r="O6480" s="268"/>
    </row>
    <row r="6481" spans="9:15" x14ac:dyDescent="0.25">
      <c r="I6481" s="268"/>
      <c r="O6481" s="268"/>
    </row>
    <row r="6482" spans="9:15" x14ac:dyDescent="0.25">
      <c r="I6482" s="268"/>
      <c r="O6482" s="268"/>
    </row>
    <row r="6483" spans="9:15" x14ac:dyDescent="0.25">
      <c r="I6483" s="268"/>
      <c r="O6483" s="268"/>
    </row>
    <row r="6484" spans="9:15" x14ac:dyDescent="0.25">
      <c r="I6484" s="268"/>
      <c r="O6484" s="268"/>
    </row>
    <row r="6485" spans="9:15" x14ac:dyDescent="0.25">
      <c r="I6485" s="268"/>
      <c r="O6485" s="268"/>
    </row>
    <row r="6486" spans="9:15" x14ac:dyDescent="0.25">
      <c r="I6486" s="268"/>
      <c r="O6486" s="268"/>
    </row>
    <row r="6487" spans="9:15" x14ac:dyDescent="0.25">
      <c r="I6487" s="268"/>
      <c r="O6487" s="268"/>
    </row>
    <row r="6488" spans="9:15" x14ac:dyDescent="0.25">
      <c r="I6488" s="268"/>
      <c r="O6488" s="268"/>
    </row>
    <row r="6489" spans="9:15" x14ac:dyDescent="0.25">
      <c r="I6489" s="268"/>
      <c r="O6489" s="268"/>
    </row>
    <row r="6490" spans="9:15" x14ac:dyDescent="0.25">
      <c r="I6490" s="268"/>
      <c r="O6490" s="268"/>
    </row>
    <row r="6491" spans="9:15" x14ac:dyDescent="0.25">
      <c r="I6491" s="268"/>
      <c r="O6491" s="268"/>
    </row>
    <row r="6492" spans="9:15" x14ac:dyDescent="0.25">
      <c r="I6492" s="268"/>
      <c r="O6492" s="268"/>
    </row>
    <row r="6493" spans="9:15" x14ac:dyDescent="0.25">
      <c r="I6493" s="268"/>
      <c r="O6493" s="268"/>
    </row>
    <row r="6494" spans="9:15" x14ac:dyDescent="0.25">
      <c r="I6494" s="268"/>
      <c r="O6494" s="268"/>
    </row>
    <row r="6495" spans="9:15" x14ac:dyDescent="0.25">
      <c r="I6495" s="268"/>
      <c r="O6495" s="268"/>
    </row>
    <row r="6496" spans="9:15" x14ac:dyDescent="0.25">
      <c r="I6496" s="268"/>
      <c r="O6496" s="268"/>
    </row>
    <row r="6497" spans="9:15" x14ac:dyDescent="0.25">
      <c r="I6497" s="268"/>
      <c r="O6497" s="268"/>
    </row>
    <row r="6498" spans="9:15" x14ac:dyDescent="0.25">
      <c r="I6498" s="268"/>
      <c r="O6498" s="268"/>
    </row>
    <row r="6499" spans="9:15" x14ac:dyDescent="0.25">
      <c r="I6499" s="268"/>
      <c r="O6499" s="268"/>
    </row>
    <row r="6500" spans="9:15" x14ac:dyDescent="0.25">
      <c r="I6500" s="268"/>
      <c r="O6500" s="268"/>
    </row>
    <row r="6501" spans="9:15" x14ac:dyDescent="0.25">
      <c r="I6501" s="268"/>
      <c r="O6501" s="268"/>
    </row>
    <row r="6502" spans="9:15" x14ac:dyDescent="0.25">
      <c r="I6502" s="268"/>
      <c r="O6502" s="268"/>
    </row>
    <row r="6503" spans="9:15" x14ac:dyDescent="0.25">
      <c r="I6503" s="268"/>
      <c r="O6503" s="268"/>
    </row>
    <row r="6504" spans="9:15" x14ac:dyDescent="0.25">
      <c r="I6504" s="268"/>
      <c r="O6504" s="268"/>
    </row>
    <row r="6505" spans="9:15" x14ac:dyDescent="0.25">
      <c r="I6505" s="268"/>
      <c r="O6505" s="268"/>
    </row>
    <row r="6506" spans="9:15" x14ac:dyDescent="0.25">
      <c r="I6506" s="268"/>
      <c r="O6506" s="268"/>
    </row>
    <row r="6507" spans="9:15" x14ac:dyDescent="0.25">
      <c r="I6507" s="268"/>
      <c r="O6507" s="268"/>
    </row>
    <row r="6508" spans="9:15" x14ac:dyDescent="0.25">
      <c r="I6508" s="268"/>
      <c r="O6508" s="268"/>
    </row>
    <row r="6509" spans="9:15" x14ac:dyDescent="0.25">
      <c r="I6509" s="268"/>
      <c r="O6509" s="268"/>
    </row>
    <row r="6510" spans="9:15" x14ac:dyDescent="0.25">
      <c r="I6510" s="268"/>
      <c r="O6510" s="268"/>
    </row>
    <row r="6511" spans="9:15" x14ac:dyDescent="0.25">
      <c r="I6511" s="268"/>
      <c r="O6511" s="268"/>
    </row>
    <row r="6512" spans="9:15" x14ac:dyDescent="0.25">
      <c r="I6512" s="268"/>
      <c r="O6512" s="268"/>
    </row>
    <row r="6513" spans="9:15" x14ac:dyDescent="0.25">
      <c r="I6513" s="268"/>
      <c r="O6513" s="268"/>
    </row>
    <row r="6514" spans="9:15" x14ac:dyDescent="0.25">
      <c r="I6514" s="268"/>
      <c r="O6514" s="268"/>
    </row>
    <row r="6515" spans="9:15" x14ac:dyDescent="0.25">
      <c r="I6515" s="268"/>
      <c r="O6515" s="268"/>
    </row>
    <row r="6516" spans="9:15" x14ac:dyDescent="0.25">
      <c r="I6516" s="268"/>
      <c r="O6516" s="268"/>
    </row>
    <row r="6517" spans="9:15" x14ac:dyDescent="0.25">
      <c r="I6517" s="268"/>
      <c r="O6517" s="268"/>
    </row>
    <row r="6518" spans="9:15" x14ac:dyDescent="0.25">
      <c r="I6518" s="268"/>
      <c r="O6518" s="268"/>
    </row>
    <row r="6519" spans="9:15" x14ac:dyDescent="0.25">
      <c r="I6519" s="268"/>
      <c r="O6519" s="268"/>
    </row>
    <row r="6520" spans="9:15" x14ac:dyDescent="0.25">
      <c r="I6520" s="268"/>
      <c r="O6520" s="268"/>
    </row>
    <row r="6521" spans="9:15" x14ac:dyDescent="0.25">
      <c r="I6521" s="268"/>
      <c r="O6521" s="268"/>
    </row>
    <row r="6522" spans="9:15" x14ac:dyDescent="0.25">
      <c r="I6522" s="268"/>
      <c r="O6522" s="268"/>
    </row>
    <row r="6523" spans="9:15" x14ac:dyDescent="0.25">
      <c r="I6523" s="268"/>
      <c r="O6523" s="268"/>
    </row>
    <row r="6524" spans="9:15" x14ac:dyDescent="0.25">
      <c r="I6524" s="268"/>
      <c r="O6524" s="268"/>
    </row>
    <row r="6525" spans="9:15" x14ac:dyDescent="0.25">
      <c r="I6525" s="268"/>
      <c r="O6525" s="268"/>
    </row>
    <row r="6526" spans="9:15" x14ac:dyDescent="0.25">
      <c r="I6526" s="268"/>
      <c r="O6526" s="268"/>
    </row>
    <row r="6527" spans="9:15" x14ac:dyDescent="0.25">
      <c r="I6527" s="268"/>
      <c r="O6527" s="268"/>
    </row>
    <row r="6528" spans="9:15" x14ac:dyDescent="0.25">
      <c r="I6528" s="268"/>
      <c r="O6528" s="268"/>
    </row>
    <row r="6529" spans="9:15" x14ac:dyDescent="0.25">
      <c r="I6529" s="268"/>
      <c r="O6529" s="268"/>
    </row>
    <row r="6530" spans="9:15" x14ac:dyDescent="0.25">
      <c r="I6530" s="268"/>
      <c r="O6530" s="268"/>
    </row>
    <row r="6531" spans="9:15" x14ac:dyDescent="0.25">
      <c r="I6531" s="268"/>
      <c r="O6531" s="268"/>
    </row>
    <row r="6532" spans="9:15" x14ac:dyDescent="0.25">
      <c r="I6532" s="268"/>
      <c r="O6532" s="268"/>
    </row>
    <row r="6533" spans="9:15" x14ac:dyDescent="0.25">
      <c r="I6533" s="268"/>
      <c r="O6533" s="268"/>
    </row>
    <row r="6534" spans="9:15" x14ac:dyDescent="0.25">
      <c r="I6534" s="268"/>
      <c r="O6534" s="268"/>
    </row>
    <row r="6535" spans="9:15" x14ac:dyDescent="0.25">
      <c r="I6535" s="268"/>
      <c r="O6535" s="268"/>
    </row>
    <row r="6536" spans="9:15" x14ac:dyDescent="0.25">
      <c r="I6536" s="268"/>
      <c r="O6536" s="268"/>
    </row>
    <row r="6537" spans="9:15" x14ac:dyDescent="0.25">
      <c r="I6537" s="268"/>
      <c r="O6537" s="268"/>
    </row>
    <row r="6538" spans="9:15" x14ac:dyDescent="0.25">
      <c r="I6538" s="268"/>
      <c r="O6538" s="268"/>
    </row>
    <row r="6539" spans="9:15" x14ac:dyDescent="0.25">
      <c r="I6539" s="268"/>
      <c r="O6539" s="268"/>
    </row>
    <row r="6540" spans="9:15" x14ac:dyDescent="0.25">
      <c r="I6540" s="268"/>
      <c r="O6540" s="268"/>
    </row>
    <row r="6541" spans="9:15" x14ac:dyDescent="0.25">
      <c r="I6541" s="268"/>
      <c r="O6541" s="268"/>
    </row>
    <row r="6542" spans="9:15" x14ac:dyDescent="0.25">
      <c r="I6542" s="268"/>
      <c r="O6542" s="268"/>
    </row>
    <row r="6543" spans="9:15" x14ac:dyDescent="0.25">
      <c r="I6543" s="268"/>
      <c r="O6543" s="268"/>
    </row>
    <row r="6544" spans="9:15" x14ac:dyDescent="0.25">
      <c r="I6544" s="268"/>
      <c r="O6544" s="268"/>
    </row>
    <row r="6545" spans="9:15" x14ac:dyDescent="0.25">
      <c r="I6545" s="268"/>
      <c r="O6545" s="268"/>
    </row>
    <row r="6546" spans="9:15" x14ac:dyDescent="0.25">
      <c r="I6546" s="268"/>
      <c r="O6546" s="268"/>
    </row>
    <row r="6547" spans="9:15" x14ac:dyDescent="0.25">
      <c r="I6547" s="268"/>
      <c r="O6547" s="268"/>
    </row>
    <row r="6548" spans="9:15" x14ac:dyDescent="0.25">
      <c r="I6548" s="268"/>
      <c r="O6548" s="268"/>
    </row>
    <row r="6549" spans="9:15" x14ac:dyDescent="0.25">
      <c r="I6549" s="268"/>
      <c r="O6549" s="268"/>
    </row>
    <row r="6550" spans="9:15" x14ac:dyDescent="0.25">
      <c r="I6550" s="268"/>
      <c r="O6550" s="268"/>
    </row>
    <row r="6551" spans="9:15" x14ac:dyDescent="0.25">
      <c r="I6551" s="268"/>
      <c r="O6551" s="268"/>
    </row>
    <row r="6552" spans="9:15" x14ac:dyDescent="0.25">
      <c r="I6552" s="268"/>
      <c r="O6552" s="268"/>
    </row>
    <row r="6553" spans="9:15" x14ac:dyDescent="0.25">
      <c r="I6553" s="268"/>
      <c r="O6553" s="268"/>
    </row>
    <row r="6554" spans="9:15" x14ac:dyDescent="0.25">
      <c r="I6554" s="268"/>
      <c r="O6554" s="268"/>
    </row>
    <row r="6555" spans="9:15" x14ac:dyDescent="0.25">
      <c r="I6555" s="268"/>
      <c r="O6555" s="268"/>
    </row>
    <row r="6556" spans="9:15" x14ac:dyDescent="0.25">
      <c r="I6556" s="268"/>
      <c r="O6556" s="268"/>
    </row>
    <row r="6557" spans="9:15" x14ac:dyDescent="0.25">
      <c r="I6557" s="268"/>
      <c r="O6557" s="268"/>
    </row>
    <row r="6558" spans="9:15" x14ac:dyDescent="0.25">
      <c r="I6558" s="268"/>
      <c r="O6558" s="268"/>
    </row>
    <row r="6559" spans="9:15" x14ac:dyDescent="0.25">
      <c r="I6559" s="268"/>
      <c r="O6559" s="268"/>
    </row>
    <row r="6560" spans="9:15" x14ac:dyDescent="0.25">
      <c r="I6560" s="268"/>
      <c r="O6560" s="268"/>
    </row>
    <row r="6561" spans="9:15" x14ac:dyDescent="0.25">
      <c r="I6561" s="268"/>
      <c r="O6561" s="268"/>
    </row>
    <row r="6562" spans="9:15" x14ac:dyDescent="0.25">
      <c r="I6562" s="268"/>
      <c r="O6562" s="268"/>
    </row>
    <row r="6563" spans="9:15" x14ac:dyDescent="0.25">
      <c r="I6563" s="268"/>
      <c r="O6563" s="268"/>
    </row>
    <row r="6564" spans="9:15" x14ac:dyDescent="0.25">
      <c r="I6564" s="268"/>
      <c r="O6564" s="268"/>
    </row>
    <row r="6565" spans="9:15" x14ac:dyDescent="0.25">
      <c r="I6565" s="268"/>
      <c r="O6565" s="268"/>
    </row>
    <row r="6566" spans="9:15" x14ac:dyDescent="0.25">
      <c r="I6566" s="268"/>
      <c r="O6566" s="268"/>
    </row>
    <row r="6567" spans="9:15" x14ac:dyDescent="0.25">
      <c r="I6567" s="268"/>
      <c r="O6567" s="268"/>
    </row>
    <row r="6568" spans="9:15" x14ac:dyDescent="0.25">
      <c r="I6568" s="268"/>
      <c r="O6568" s="268"/>
    </row>
    <row r="6569" spans="9:15" x14ac:dyDescent="0.25">
      <c r="I6569" s="268"/>
      <c r="O6569" s="268"/>
    </row>
    <row r="6570" spans="9:15" x14ac:dyDescent="0.25">
      <c r="I6570" s="268"/>
      <c r="O6570" s="268"/>
    </row>
    <row r="6571" spans="9:15" x14ac:dyDescent="0.25">
      <c r="I6571" s="268"/>
      <c r="O6571" s="268"/>
    </row>
    <row r="6572" spans="9:15" x14ac:dyDescent="0.25">
      <c r="I6572" s="268"/>
      <c r="O6572" s="268"/>
    </row>
    <row r="6573" spans="9:15" x14ac:dyDescent="0.25">
      <c r="I6573" s="268"/>
      <c r="O6573" s="268"/>
    </row>
    <row r="6574" spans="9:15" x14ac:dyDescent="0.25">
      <c r="I6574" s="268"/>
      <c r="O6574" s="268"/>
    </row>
    <row r="6575" spans="9:15" x14ac:dyDescent="0.25">
      <c r="I6575" s="268"/>
      <c r="O6575" s="268"/>
    </row>
    <row r="6576" spans="9:15" x14ac:dyDescent="0.25">
      <c r="I6576" s="268"/>
      <c r="O6576" s="268"/>
    </row>
    <row r="6577" spans="9:15" x14ac:dyDescent="0.25">
      <c r="I6577" s="268"/>
      <c r="O6577" s="268"/>
    </row>
    <row r="6578" spans="9:15" x14ac:dyDescent="0.25">
      <c r="I6578" s="268"/>
      <c r="O6578" s="268"/>
    </row>
    <row r="6579" spans="9:15" x14ac:dyDescent="0.25">
      <c r="I6579" s="268"/>
      <c r="O6579" s="268"/>
    </row>
    <row r="6580" spans="9:15" x14ac:dyDescent="0.25">
      <c r="I6580" s="268"/>
      <c r="O6580" s="268"/>
    </row>
    <row r="6581" spans="9:15" x14ac:dyDescent="0.25">
      <c r="I6581" s="268"/>
      <c r="O6581" s="268"/>
    </row>
    <row r="6582" spans="9:15" x14ac:dyDescent="0.25">
      <c r="I6582" s="268"/>
      <c r="O6582" s="268"/>
    </row>
    <row r="6583" spans="9:15" x14ac:dyDescent="0.25">
      <c r="I6583" s="268"/>
      <c r="O6583" s="268"/>
    </row>
    <row r="6584" spans="9:15" x14ac:dyDescent="0.25">
      <c r="I6584" s="268"/>
      <c r="O6584" s="268"/>
    </row>
    <row r="6585" spans="9:15" x14ac:dyDescent="0.25">
      <c r="I6585" s="268"/>
      <c r="O6585" s="268"/>
    </row>
    <row r="6586" spans="9:15" x14ac:dyDescent="0.25">
      <c r="I6586" s="268"/>
      <c r="O6586" s="268"/>
    </row>
    <row r="6587" spans="9:15" x14ac:dyDescent="0.25">
      <c r="I6587" s="268"/>
      <c r="O6587" s="268"/>
    </row>
    <row r="6588" spans="9:15" x14ac:dyDescent="0.25">
      <c r="I6588" s="268"/>
      <c r="O6588" s="268"/>
    </row>
    <row r="6589" spans="9:15" x14ac:dyDescent="0.25">
      <c r="I6589" s="268"/>
      <c r="O6589" s="268"/>
    </row>
    <row r="6590" spans="9:15" x14ac:dyDescent="0.25">
      <c r="I6590" s="268"/>
      <c r="O6590" s="268"/>
    </row>
    <row r="6591" spans="9:15" x14ac:dyDescent="0.25">
      <c r="I6591" s="268"/>
      <c r="O6591" s="268"/>
    </row>
    <row r="6592" spans="9:15" x14ac:dyDescent="0.25">
      <c r="I6592" s="268"/>
      <c r="O6592" s="268"/>
    </row>
    <row r="6593" spans="9:15" x14ac:dyDescent="0.25">
      <c r="I6593" s="268"/>
      <c r="O6593" s="268"/>
    </row>
    <row r="6594" spans="9:15" x14ac:dyDescent="0.25">
      <c r="I6594" s="268"/>
      <c r="O6594" s="268"/>
    </row>
    <row r="6595" spans="9:15" x14ac:dyDescent="0.25">
      <c r="I6595" s="268"/>
      <c r="O6595" s="268"/>
    </row>
    <row r="6596" spans="9:15" x14ac:dyDescent="0.25">
      <c r="I6596" s="268"/>
      <c r="O6596" s="268"/>
    </row>
    <row r="6597" spans="9:15" x14ac:dyDescent="0.25">
      <c r="I6597" s="268"/>
      <c r="O6597" s="268"/>
    </row>
    <row r="6598" spans="9:15" x14ac:dyDescent="0.25">
      <c r="I6598" s="268"/>
      <c r="O6598" s="268"/>
    </row>
    <row r="6599" spans="9:15" x14ac:dyDescent="0.25">
      <c r="I6599" s="268"/>
      <c r="O6599" s="268"/>
    </row>
    <row r="6600" spans="9:15" x14ac:dyDescent="0.25">
      <c r="I6600" s="268"/>
      <c r="O6600" s="268"/>
    </row>
    <row r="6601" spans="9:15" x14ac:dyDescent="0.25">
      <c r="I6601" s="268"/>
      <c r="O6601" s="268"/>
    </row>
    <row r="6602" spans="9:15" x14ac:dyDescent="0.25">
      <c r="I6602" s="268"/>
      <c r="O6602" s="268"/>
    </row>
    <row r="6603" spans="9:15" x14ac:dyDescent="0.25">
      <c r="I6603" s="268"/>
      <c r="O6603" s="268"/>
    </row>
    <row r="6604" spans="9:15" x14ac:dyDescent="0.25">
      <c r="I6604" s="268"/>
      <c r="O6604" s="268"/>
    </row>
    <row r="6605" spans="9:15" x14ac:dyDescent="0.25">
      <c r="I6605" s="268"/>
      <c r="O6605" s="268"/>
    </row>
    <row r="6606" spans="9:15" x14ac:dyDescent="0.25">
      <c r="I6606" s="268"/>
      <c r="O6606" s="268"/>
    </row>
    <row r="6607" spans="9:15" x14ac:dyDescent="0.25">
      <c r="I6607" s="268"/>
      <c r="O6607" s="268"/>
    </row>
    <row r="6608" spans="9:15" x14ac:dyDescent="0.25">
      <c r="I6608" s="268"/>
      <c r="O6608" s="268"/>
    </row>
    <row r="6609" spans="9:15" x14ac:dyDescent="0.25">
      <c r="I6609" s="268"/>
      <c r="O6609" s="268"/>
    </row>
    <row r="6610" spans="9:15" x14ac:dyDescent="0.25">
      <c r="I6610" s="268"/>
      <c r="O6610" s="268"/>
    </row>
    <row r="6611" spans="9:15" x14ac:dyDescent="0.25">
      <c r="I6611" s="268"/>
      <c r="O6611" s="268"/>
    </row>
    <row r="6612" spans="9:15" x14ac:dyDescent="0.25">
      <c r="I6612" s="268"/>
      <c r="O6612" s="268"/>
    </row>
    <row r="6613" spans="9:15" x14ac:dyDescent="0.25">
      <c r="I6613" s="268"/>
      <c r="O6613" s="268"/>
    </row>
    <row r="6614" spans="9:15" x14ac:dyDescent="0.25">
      <c r="I6614" s="268"/>
      <c r="O6614" s="268"/>
    </row>
    <row r="6615" spans="9:15" x14ac:dyDescent="0.25">
      <c r="I6615" s="268"/>
      <c r="O6615" s="268"/>
    </row>
    <row r="6616" spans="9:15" x14ac:dyDescent="0.25">
      <c r="I6616" s="268"/>
      <c r="O6616" s="268"/>
    </row>
    <row r="6617" spans="9:15" x14ac:dyDescent="0.25">
      <c r="I6617" s="268"/>
      <c r="O6617" s="268"/>
    </row>
    <row r="6618" spans="9:15" x14ac:dyDescent="0.25">
      <c r="I6618" s="268"/>
      <c r="O6618" s="268"/>
    </row>
    <row r="6619" spans="9:15" x14ac:dyDescent="0.25">
      <c r="I6619" s="268"/>
      <c r="O6619" s="268"/>
    </row>
    <row r="6620" spans="9:15" x14ac:dyDescent="0.25">
      <c r="I6620" s="268"/>
      <c r="O6620" s="268"/>
    </row>
    <row r="6621" spans="9:15" x14ac:dyDescent="0.25">
      <c r="I6621" s="268"/>
      <c r="O6621" s="268"/>
    </row>
    <row r="6622" spans="9:15" x14ac:dyDescent="0.25">
      <c r="I6622" s="268"/>
      <c r="O6622" s="268"/>
    </row>
    <row r="6623" spans="9:15" x14ac:dyDescent="0.25">
      <c r="I6623" s="268"/>
      <c r="O6623" s="268"/>
    </row>
    <row r="6624" spans="9:15" x14ac:dyDescent="0.25">
      <c r="I6624" s="268"/>
      <c r="O6624" s="268"/>
    </row>
    <row r="6625" spans="9:15" x14ac:dyDescent="0.25">
      <c r="I6625" s="268"/>
      <c r="O6625" s="268"/>
    </row>
    <row r="6626" spans="9:15" x14ac:dyDescent="0.25">
      <c r="I6626" s="268"/>
      <c r="O6626" s="268"/>
    </row>
    <row r="6627" spans="9:15" x14ac:dyDescent="0.25">
      <c r="I6627" s="268"/>
      <c r="O6627" s="268"/>
    </row>
    <row r="6628" spans="9:15" x14ac:dyDescent="0.25">
      <c r="I6628" s="268"/>
      <c r="O6628" s="268"/>
    </row>
    <row r="6629" spans="9:15" x14ac:dyDescent="0.25">
      <c r="I6629" s="268"/>
      <c r="O6629" s="268"/>
    </row>
    <row r="6630" spans="9:15" x14ac:dyDescent="0.25">
      <c r="I6630" s="268"/>
      <c r="O6630" s="268"/>
    </row>
    <row r="6631" spans="9:15" x14ac:dyDescent="0.25">
      <c r="I6631" s="268"/>
      <c r="O6631" s="268"/>
    </row>
    <row r="6632" spans="9:15" x14ac:dyDescent="0.25">
      <c r="I6632" s="268"/>
      <c r="O6632" s="268"/>
    </row>
    <row r="6633" spans="9:15" x14ac:dyDescent="0.25">
      <c r="I6633" s="268"/>
      <c r="O6633" s="268"/>
    </row>
    <row r="6634" spans="9:15" x14ac:dyDescent="0.25">
      <c r="I6634" s="268"/>
      <c r="O6634" s="268"/>
    </row>
    <row r="6635" spans="9:15" x14ac:dyDescent="0.25">
      <c r="I6635" s="268"/>
      <c r="O6635" s="268"/>
    </row>
    <row r="6636" spans="9:15" x14ac:dyDescent="0.25">
      <c r="I6636" s="268"/>
      <c r="O6636" s="268"/>
    </row>
    <row r="6637" spans="9:15" x14ac:dyDescent="0.25">
      <c r="I6637" s="268"/>
      <c r="O6637" s="268"/>
    </row>
    <row r="6638" spans="9:15" x14ac:dyDescent="0.25">
      <c r="I6638" s="268"/>
      <c r="O6638" s="268"/>
    </row>
    <row r="6639" spans="9:15" x14ac:dyDescent="0.25">
      <c r="I6639" s="268"/>
      <c r="O6639" s="268"/>
    </row>
    <row r="6640" spans="9:15" x14ac:dyDescent="0.25">
      <c r="I6640" s="268"/>
      <c r="O6640" s="268"/>
    </row>
    <row r="6641" spans="9:15" x14ac:dyDescent="0.25">
      <c r="I6641" s="268"/>
      <c r="O6641" s="268"/>
    </row>
    <row r="6642" spans="9:15" x14ac:dyDescent="0.25">
      <c r="I6642" s="268"/>
      <c r="O6642" s="268"/>
    </row>
    <row r="6643" spans="9:15" x14ac:dyDescent="0.25">
      <c r="I6643" s="268"/>
      <c r="O6643" s="268"/>
    </row>
    <row r="6644" spans="9:15" x14ac:dyDescent="0.25">
      <c r="I6644" s="268"/>
      <c r="O6644" s="268"/>
    </row>
    <row r="6645" spans="9:15" x14ac:dyDescent="0.25">
      <c r="I6645" s="268"/>
      <c r="O6645" s="268"/>
    </row>
    <row r="6646" spans="9:15" x14ac:dyDescent="0.25">
      <c r="I6646" s="268"/>
      <c r="O6646" s="268"/>
    </row>
    <row r="6647" spans="9:15" x14ac:dyDescent="0.25">
      <c r="I6647" s="268"/>
      <c r="O6647" s="268"/>
    </row>
    <row r="6648" spans="9:15" x14ac:dyDescent="0.25">
      <c r="I6648" s="268"/>
      <c r="O6648" s="268"/>
    </row>
    <row r="6649" spans="9:15" x14ac:dyDescent="0.25">
      <c r="I6649" s="268"/>
      <c r="O6649" s="268"/>
    </row>
    <row r="6650" spans="9:15" x14ac:dyDescent="0.25">
      <c r="I6650" s="268"/>
      <c r="O6650" s="268"/>
    </row>
    <row r="6651" spans="9:15" x14ac:dyDescent="0.25">
      <c r="I6651" s="268"/>
      <c r="O6651" s="268"/>
    </row>
    <row r="6652" spans="9:15" x14ac:dyDescent="0.25">
      <c r="I6652" s="268"/>
      <c r="O6652" s="268"/>
    </row>
    <row r="6653" spans="9:15" x14ac:dyDescent="0.25">
      <c r="I6653" s="268"/>
      <c r="O6653" s="268"/>
    </row>
    <row r="6654" spans="9:15" x14ac:dyDescent="0.25">
      <c r="I6654" s="268"/>
      <c r="O6654" s="268"/>
    </row>
    <row r="6655" spans="9:15" x14ac:dyDescent="0.25">
      <c r="I6655" s="268"/>
      <c r="O6655" s="268"/>
    </row>
    <row r="6656" spans="9:15" x14ac:dyDescent="0.25">
      <c r="I6656" s="268"/>
      <c r="O6656" s="268"/>
    </row>
    <row r="6657" spans="9:15" x14ac:dyDescent="0.25">
      <c r="I6657" s="268"/>
      <c r="O6657" s="268"/>
    </row>
    <row r="6658" spans="9:15" x14ac:dyDescent="0.25">
      <c r="I6658" s="268"/>
      <c r="O6658" s="268"/>
    </row>
    <row r="6659" spans="9:15" x14ac:dyDescent="0.25">
      <c r="I6659" s="268"/>
      <c r="O6659" s="268"/>
    </row>
    <row r="6660" spans="9:15" x14ac:dyDescent="0.25">
      <c r="I6660" s="268"/>
      <c r="O6660" s="268"/>
    </row>
    <row r="6661" spans="9:15" x14ac:dyDescent="0.25">
      <c r="I6661" s="268"/>
      <c r="O6661" s="268"/>
    </row>
    <row r="6662" spans="9:15" x14ac:dyDescent="0.25">
      <c r="I6662" s="268"/>
      <c r="O6662" s="268"/>
    </row>
    <row r="6663" spans="9:15" x14ac:dyDescent="0.25">
      <c r="I6663" s="268"/>
      <c r="O6663" s="268"/>
    </row>
    <row r="6664" spans="9:15" x14ac:dyDescent="0.25">
      <c r="I6664" s="268"/>
      <c r="O6664" s="268"/>
    </row>
    <row r="6665" spans="9:15" x14ac:dyDescent="0.25">
      <c r="I6665" s="268"/>
      <c r="O6665" s="268"/>
    </row>
    <row r="6666" spans="9:15" x14ac:dyDescent="0.25">
      <c r="I6666" s="268"/>
      <c r="O6666" s="268"/>
    </row>
    <row r="6667" spans="9:15" x14ac:dyDescent="0.25">
      <c r="I6667" s="268"/>
      <c r="O6667" s="268"/>
    </row>
    <row r="6668" spans="9:15" x14ac:dyDescent="0.25">
      <c r="I6668" s="268"/>
      <c r="O6668" s="268"/>
    </row>
    <row r="6669" spans="9:15" x14ac:dyDescent="0.25">
      <c r="I6669" s="268"/>
      <c r="O6669" s="268"/>
    </row>
    <row r="6670" spans="9:15" x14ac:dyDescent="0.25">
      <c r="I6670" s="268"/>
      <c r="O6670" s="268"/>
    </row>
    <row r="6671" spans="9:15" x14ac:dyDescent="0.25">
      <c r="I6671" s="268"/>
      <c r="O6671" s="268"/>
    </row>
    <row r="6672" spans="9:15" x14ac:dyDescent="0.25">
      <c r="I6672" s="268"/>
      <c r="O6672" s="268"/>
    </row>
    <row r="6673" spans="9:15" x14ac:dyDescent="0.25">
      <c r="I6673" s="268"/>
      <c r="O6673" s="268"/>
    </row>
    <row r="6674" spans="9:15" x14ac:dyDescent="0.25">
      <c r="I6674" s="268"/>
      <c r="O6674" s="268"/>
    </row>
    <row r="6675" spans="9:15" x14ac:dyDescent="0.25">
      <c r="I6675" s="268"/>
      <c r="O6675" s="268"/>
    </row>
    <row r="6676" spans="9:15" x14ac:dyDescent="0.25">
      <c r="I6676" s="268"/>
      <c r="O6676" s="268"/>
    </row>
    <row r="6677" spans="9:15" x14ac:dyDescent="0.25">
      <c r="I6677" s="268"/>
      <c r="O6677" s="268"/>
    </row>
    <row r="6678" spans="9:15" x14ac:dyDescent="0.25">
      <c r="I6678" s="268"/>
      <c r="O6678" s="268"/>
    </row>
    <row r="6679" spans="9:15" x14ac:dyDescent="0.25">
      <c r="I6679" s="268"/>
      <c r="O6679" s="268"/>
    </row>
    <row r="6680" spans="9:15" x14ac:dyDescent="0.25">
      <c r="I6680" s="268"/>
      <c r="O6680" s="268"/>
    </row>
    <row r="6681" spans="9:15" x14ac:dyDescent="0.25">
      <c r="I6681" s="268"/>
      <c r="O6681" s="268"/>
    </row>
    <row r="6682" spans="9:15" x14ac:dyDescent="0.25">
      <c r="I6682" s="268"/>
      <c r="O6682" s="268"/>
    </row>
    <row r="6683" spans="9:15" x14ac:dyDescent="0.25">
      <c r="I6683" s="268"/>
      <c r="O6683" s="268"/>
    </row>
    <row r="6684" spans="9:15" x14ac:dyDescent="0.25">
      <c r="I6684" s="268"/>
      <c r="O6684" s="268"/>
    </row>
    <row r="6685" spans="9:15" x14ac:dyDescent="0.25">
      <c r="I6685" s="268"/>
      <c r="O6685" s="268"/>
    </row>
    <row r="6686" spans="9:15" x14ac:dyDescent="0.25">
      <c r="I6686" s="268"/>
      <c r="O6686" s="268"/>
    </row>
    <row r="6687" spans="9:15" x14ac:dyDescent="0.25">
      <c r="I6687" s="268"/>
      <c r="O6687" s="268"/>
    </row>
    <row r="6688" spans="9:15" x14ac:dyDescent="0.25">
      <c r="I6688" s="268"/>
      <c r="O6688" s="268"/>
    </row>
    <row r="6689" spans="9:15" x14ac:dyDescent="0.25">
      <c r="I6689" s="268"/>
      <c r="O6689" s="268"/>
    </row>
    <row r="6690" spans="9:15" x14ac:dyDescent="0.25">
      <c r="I6690" s="268"/>
      <c r="O6690" s="268"/>
    </row>
    <row r="6691" spans="9:15" x14ac:dyDescent="0.25">
      <c r="I6691" s="268"/>
      <c r="O6691" s="268"/>
    </row>
    <row r="6692" spans="9:15" x14ac:dyDescent="0.25">
      <c r="I6692" s="268"/>
      <c r="O6692" s="268"/>
    </row>
    <row r="6693" spans="9:15" x14ac:dyDescent="0.25">
      <c r="I6693" s="268"/>
      <c r="O6693" s="268"/>
    </row>
    <row r="6694" spans="9:15" x14ac:dyDescent="0.25">
      <c r="I6694" s="268"/>
      <c r="O6694" s="268"/>
    </row>
    <row r="6695" spans="9:15" x14ac:dyDescent="0.25">
      <c r="I6695" s="268"/>
      <c r="O6695" s="268"/>
    </row>
    <row r="6696" spans="9:15" x14ac:dyDescent="0.25">
      <c r="I6696" s="268"/>
      <c r="O6696" s="268"/>
    </row>
    <row r="6697" spans="9:15" x14ac:dyDescent="0.25">
      <c r="I6697" s="268"/>
      <c r="O6697" s="268"/>
    </row>
    <row r="6698" spans="9:15" x14ac:dyDescent="0.25">
      <c r="I6698" s="268"/>
      <c r="O6698" s="268"/>
    </row>
    <row r="6699" spans="9:15" x14ac:dyDescent="0.25">
      <c r="I6699" s="268"/>
      <c r="O6699" s="268"/>
    </row>
    <row r="6700" spans="9:15" x14ac:dyDescent="0.25">
      <c r="I6700" s="268"/>
      <c r="O6700" s="268"/>
    </row>
    <row r="6701" spans="9:15" x14ac:dyDescent="0.25">
      <c r="I6701" s="268"/>
      <c r="O6701" s="268"/>
    </row>
    <row r="6702" spans="9:15" x14ac:dyDescent="0.25">
      <c r="I6702" s="268"/>
      <c r="O6702" s="268"/>
    </row>
    <row r="6703" spans="9:15" x14ac:dyDescent="0.25">
      <c r="I6703" s="268"/>
      <c r="O6703" s="268"/>
    </row>
    <row r="6704" spans="9:15" x14ac:dyDescent="0.25">
      <c r="I6704" s="268"/>
      <c r="O6704" s="268"/>
    </row>
    <row r="6705" spans="9:15" x14ac:dyDescent="0.25">
      <c r="I6705" s="268"/>
      <c r="O6705" s="268"/>
    </row>
    <row r="6706" spans="9:15" x14ac:dyDescent="0.25">
      <c r="I6706" s="268"/>
      <c r="O6706" s="268"/>
    </row>
    <row r="6707" spans="9:15" x14ac:dyDescent="0.25">
      <c r="I6707" s="268"/>
      <c r="O6707" s="268"/>
    </row>
    <row r="6708" spans="9:15" x14ac:dyDescent="0.25">
      <c r="I6708" s="268"/>
      <c r="O6708" s="268"/>
    </row>
    <row r="6709" spans="9:15" x14ac:dyDescent="0.25">
      <c r="I6709" s="268"/>
      <c r="O6709" s="268"/>
    </row>
    <row r="6710" spans="9:15" x14ac:dyDescent="0.25">
      <c r="I6710" s="268"/>
      <c r="O6710" s="268"/>
    </row>
    <row r="6711" spans="9:15" x14ac:dyDescent="0.25">
      <c r="I6711" s="268"/>
      <c r="O6711" s="268"/>
    </row>
    <row r="6712" spans="9:15" x14ac:dyDescent="0.25">
      <c r="I6712" s="268"/>
      <c r="O6712" s="268"/>
    </row>
    <row r="6713" spans="9:15" x14ac:dyDescent="0.25">
      <c r="I6713" s="268"/>
      <c r="O6713" s="268"/>
    </row>
    <row r="6714" spans="9:15" x14ac:dyDescent="0.25">
      <c r="I6714" s="268"/>
      <c r="O6714" s="268"/>
    </row>
    <row r="6715" spans="9:15" x14ac:dyDescent="0.25">
      <c r="I6715" s="268"/>
      <c r="O6715" s="268"/>
    </row>
    <row r="6716" spans="9:15" x14ac:dyDescent="0.25">
      <c r="I6716" s="268"/>
      <c r="O6716" s="268"/>
    </row>
    <row r="6717" spans="9:15" x14ac:dyDescent="0.25">
      <c r="I6717" s="268"/>
      <c r="O6717" s="268"/>
    </row>
    <row r="6718" spans="9:15" x14ac:dyDescent="0.25">
      <c r="I6718" s="268"/>
      <c r="O6718" s="268"/>
    </row>
    <row r="6719" spans="9:15" x14ac:dyDescent="0.25">
      <c r="I6719" s="268"/>
      <c r="O6719" s="268"/>
    </row>
    <row r="6720" spans="9:15" x14ac:dyDescent="0.25">
      <c r="I6720" s="268"/>
      <c r="O6720" s="268"/>
    </row>
    <row r="6721" spans="9:15" x14ac:dyDescent="0.25">
      <c r="I6721" s="268"/>
      <c r="O6721" s="268"/>
    </row>
    <row r="6722" spans="9:15" x14ac:dyDescent="0.25">
      <c r="I6722" s="268"/>
      <c r="O6722" s="268"/>
    </row>
    <row r="6723" spans="9:15" x14ac:dyDescent="0.25">
      <c r="I6723" s="268"/>
      <c r="O6723" s="268"/>
    </row>
    <row r="6724" spans="9:15" x14ac:dyDescent="0.25">
      <c r="I6724" s="268"/>
      <c r="O6724" s="268"/>
    </row>
    <row r="6725" spans="9:15" x14ac:dyDescent="0.25">
      <c r="I6725" s="268"/>
      <c r="O6725" s="268"/>
    </row>
    <row r="6726" spans="9:15" x14ac:dyDescent="0.25">
      <c r="I6726" s="268"/>
      <c r="O6726" s="268"/>
    </row>
    <row r="6727" spans="9:15" x14ac:dyDescent="0.25">
      <c r="I6727" s="268"/>
      <c r="O6727" s="268"/>
    </row>
    <row r="6728" spans="9:15" x14ac:dyDescent="0.25">
      <c r="I6728" s="268"/>
      <c r="O6728" s="268"/>
    </row>
    <row r="6729" spans="9:15" x14ac:dyDescent="0.25">
      <c r="I6729" s="268"/>
      <c r="O6729" s="268"/>
    </row>
    <row r="6730" spans="9:15" x14ac:dyDescent="0.25">
      <c r="I6730" s="268"/>
      <c r="O6730" s="268"/>
    </row>
    <row r="6731" spans="9:15" x14ac:dyDescent="0.25">
      <c r="I6731" s="268"/>
      <c r="O6731" s="268"/>
    </row>
    <row r="6732" spans="9:15" x14ac:dyDescent="0.25">
      <c r="I6732" s="268"/>
      <c r="O6732" s="268"/>
    </row>
    <row r="6733" spans="9:15" x14ac:dyDescent="0.25">
      <c r="I6733" s="268"/>
      <c r="O6733" s="268"/>
    </row>
    <row r="6734" spans="9:15" x14ac:dyDescent="0.25">
      <c r="I6734" s="268"/>
      <c r="O6734" s="268"/>
    </row>
    <row r="6735" spans="9:15" x14ac:dyDescent="0.25">
      <c r="I6735" s="268"/>
      <c r="O6735" s="268"/>
    </row>
    <row r="6736" spans="9:15" x14ac:dyDescent="0.25">
      <c r="I6736" s="268"/>
      <c r="O6736" s="268"/>
    </row>
    <row r="6737" spans="9:15" x14ac:dyDescent="0.25">
      <c r="I6737" s="268"/>
      <c r="O6737" s="268"/>
    </row>
    <row r="6738" spans="9:15" x14ac:dyDescent="0.25">
      <c r="I6738" s="268"/>
      <c r="O6738" s="268"/>
    </row>
    <row r="6739" spans="9:15" x14ac:dyDescent="0.25">
      <c r="I6739" s="268"/>
      <c r="O6739" s="268"/>
    </row>
    <row r="6740" spans="9:15" x14ac:dyDescent="0.25">
      <c r="I6740" s="268"/>
      <c r="O6740" s="268"/>
    </row>
    <row r="6741" spans="9:15" x14ac:dyDescent="0.25">
      <c r="I6741" s="268"/>
      <c r="O6741" s="268"/>
    </row>
    <row r="6742" spans="9:15" x14ac:dyDescent="0.25">
      <c r="I6742" s="268"/>
      <c r="O6742" s="268"/>
    </row>
    <row r="6743" spans="9:15" x14ac:dyDescent="0.25">
      <c r="I6743" s="268"/>
      <c r="O6743" s="268"/>
    </row>
    <row r="6744" spans="9:15" x14ac:dyDescent="0.25">
      <c r="I6744" s="268"/>
      <c r="O6744" s="268"/>
    </row>
    <row r="6745" spans="9:15" x14ac:dyDescent="0.25">
      <c r="I6745" s="268"/>
      <c r="O6745" s="268"/>
    </row>
    <row r="6746" spans="9:15" x14ac:dyDescent="0.25">
      <c r="I6746" s="268"/>
      <c r="O6746" s="268"/>
    </row>
    <row r="6747" spans="9:15" x14ac:dyDescent="0.25">
      <c r="I6747" s="268"/>
      <c r="O6747" s="268"/>
    </row>
    <row r="6748" spans="9:15" x14ac:dyDescent="0.25">
      <c r="I6748" s="268"/>
      <c r="O6748" s="268"/>
    </row>
    <row r="6749" spans="9:15" x14ac:dyDescent="0.25">
      <c r="I6749" s="268"/>
      <c r="O6749" s="268"/>
    </row>
    <row r="6750" spans="9:15" x14ac:dyDescent="0.25">
      <c r="I6750" s="268"/>
      <c r="O6750" s="268"/>
    </row>
    <row r="6751" spans="9:15" x14ac:dyDescent="0.25">
      <c r="I6751" s="268"/>
      <c r="O6751" s="268"/>
    </row>
    <row r="6752" spans="9:15" x14ac:dyDescent="0.25">
      <c r="I6752" s="268"/>
      <c r="O6752" s="268"/>
    </row>
    <row r="6753" spans="9:15" x14ac:dyDescent="0.25">
      <c r="I6753" s="268"/>
      <c r="O6753" s="268"/>
    </row>
    <row r="6754" spans="9:15" x14ac:dyDescent="0.25">
      <c r="I6754" s="268"/>
      <c r="O6754" s="268"/>
    </row>
    <row r="6755" spans="9:15" x14ac:dyDescent="0.25">
      <c r="I6755" s="268"/>
      <c r="O6755" s="268"/>
    </row>
    <row r="6756" spans="9:15" x14ac:dyDescent="0.25">
      <c r="I6756" s="268"/>
      <c r="O6756" s="268"/>
    </row>
    <row r="6757" spans="9:15" x14ac:dyDescent="0.25">
      <c r="I6757" s="268"/>
      <c r="O6757" s="268"/>
    </row>
    <row r="6758" spans="9:15" x14ac:dyDescent="0.25">
      <c r="I6758" s="268"/>
      <c r="O6758" s="268"/>
    </row>
    <row r="6759" spans="9:15" x14ac:dyDescent="0.25">
      <c r="I6759" s="268"/>
      <c r="O6759" s="268"/>
    </row>
    <row r="6760" spans="9:15" x14ac:dyDescent="0.25">
      <c r="I6760" s="268"/>
      <c r="O6760" s="268"/>
    </row>
    <row r="6761" spans="9:15" x14ac:dyDescent="0.25">
      <c r="I6761" s="268"/>
      <c r="O6761" s="268"/>
    </row>
    <row r="6762" spans="9:15" x14ac:dyDescent="0.25">
      <c r="I6762" s="268"/>
      <c r="O6762" s="268"/>
    </row>
    <row r="6763" spans="9:15" x14ac:dyDescent="0.25">
      <c r="I6763" s="268"/>
      <c r="O6763" s="268"/>
    </row>
    <row r="6764" spans="9:15" x14ac:dyDescent="0.25">
      <c r="I6764" s="268"/>
      <c r="O6764" s="268"/>
    </row>
    <row r="6765" spans="9:15" x14ac:dyDescent="0.25">
      <c r="I6765" s="268"/>
      <c r="O6765" s="268"/>
    </row>
    <row r="6766" spans="9:15" x14ac:dyDescent="0.25">
      <c r="I6766" s="268"/>
      <c r="O6766" s="268"/>
    </row>
    <row r="6767" spans="9:15" x14ac:dyDescent="0.25">
      <c r="I6767" s="268"/>
      <c r="O6767" s="268"/>
    </row>
    <row r="6768" spans="9:15" x14ac:dyDescent="0.25">
      <c r="I6768" s="268"/>
      <c r="O6768" s="268"/>
    </row>
    <row r="6769" spans="9:15" x14ac:dyDescent="0.25">
      <c r="I6769" s="268"/>
      <c r="O6769" s="268"/>
    </row>
    <row r="6770" spans="9:15" x14ac:dyDescent="0.25">
      <c r="I6770" s="268"/>
      <c r="O6770" s="268"/>
    </row>
    <row r="6771" spans="9:15" x14ac:dyDescent="0.25">
      <c r="I6771" s="268"/>
      <c r="O6771" s="268"/>
    </row>
    <row r="6772" spans="9:15" x14ac:dyDescent="0.25">
      <c r="I6772" s="268"/>
      <c r="O6772" s="268"/>
    </row>
    <row r="6773" spans="9:15" x14ac:dyDescent="0.25">
      <c r="I6773" s="268"/>
      <c r="O6773" s="268"/>
    </row>
    <row r="6774" spans="9:15" x14ac:dyDescent="0.25">
      <c r="I6774" s="268"/>
      <c r="O6774" s="268"/>
    </row>
    <row r="6775" spans="9:15" x14ac:dyDescent="0.25">
      <c r="I6775" s="268"/>
      <c r="O6775" s="268"/>
    </row>
    <row r="6776" spans="9:15" x14ac:dyDescent="0.25">
      <c r="I6776" s="268"/>
      <c r="O6776" s="268"/>
    </row>
    <row r="6777" spans="9:15" x14ac:dyDescent="0.25">
      <c r="I6777" s="268"/>
      <c r="O6777" s="268"/>
    </row>
    <row r="6778" spans="9:15" x14ac:dyDescent="0.25">
      <c r="I6778" s="268"/>
      <c r="O6778" s="268"/>
    </row>
    <row r="6779" spans="9:15" x14ac:dyDescent="0.25">
      <c r="I6779" s="268"/>
      <c r="O6779" s="268"/>
    </row>
    <row r="6780" spans="9:15" x14ac:dyDescent="0.25">
      <c r="I6780" s="268"/>
      <c r="O6780" s="268"/>
    </row>
    <row r="6781" spans="9:15" x14ac:dyDescent="0.25">
      <c r="I6781" s="268"/>
      <c r="O6781" s="268"/>
    </row>
    <row r="6782" spans="9:15" x14ac:dyDescent="0.25">
      <c r="I6782" s="268"/>
      <c r="O6782" s="268"/>
    </row>
    <row r="6783" spans="9:15" x14ac:dyDescent="0.25">
      <c r="I6783" s="268"/>
      <c r="O6783" s="268"/>
    </row>
    <row r="6784" spans="9:15" x14ac:dyDescent="0.25">
      <c r="I6784" s="268"/>
      <c r="O6784" s="268"/>
    </row>
    <row r="6785" spans="9:15" x14ac:dyDescent="0.25">
      <c r="I6785" s="268"/>
      <c r="O6785" s="268"/>
    </row>
    <row r="6786" spans="9:15" x14ac:dyDescent="0.25">
      <c r="I6786" s="268"/>
      <c r="O6786" s="268"/>
    </row>
    <row r="6787" spans="9:15" x14ac:dyDescent="0.25">
      <c r="I6787" s="268"/>
      <c r="O6787" s="268"/>
    </row>
    <row r="6788" spans="9:15" x14ac:dyDescent="0.25">
      <c r="I6788" s="268"/>
      <c r="O6788" s="268"/>
    </row>
    <row r="6789" spans="9:15" x14ac:dyDescent="0.25">
      <c r="I6789" s="268"/>
      <c r="O6789" s="268"/>
    </row>
    <row r="6790" spans="9:15" x14ac:dyDescent="0.25">
      <c r="I6790" s="268"/>
      <c r="O6790" s="268"/>
    </row>
    <row r="6791" spans="9:15" x14ac:dyDescent="0.25">
      <c r="I6791" s="268"/>
      <c r="O6791" s="268"/>
    </row>
    <row r="6792" spans="9:15" x14ac:dyDescent="0.25">
      <c r="I6792" s="268"/>
      <c r="O6792" s="268"/>
    </row>
    <row r="6793" spans="9:15" x14ac:dyDescent="0.25">
      <c r="I6793" s="268"/>
      <c r="O6793" s="268"/>
    </row>
    <row r="6794" spans="9:15" x14ac:dyDescent="0.25">
      <c r="I6794" s="268"/>
      <c r="O6794" s="268"/>
    </row>
    <row r="6795" spans="9:15" x14ac:dyDescent="0.25">
      <c r="I6795" s="268"/>
      <c r="O6795" s="268"/>
    </row>
    <row r="6796" spans="9:15" x14ac:dyDescent="0.25">
      <c r="I6796" s="268"/>
      <c r="O6796" s="268"/>
    </row>
    <row r="6797" spans="9:15" x14ac:dyDescent="0.25">
      <c r="I6797" s="268"/>
      <c r="O6797" s="268"/>
    </row>
    <row r="6798" spans="9:15" x14ac:dyDescent="0.25">
      <c r="I6798" s="268"/>
      <c r="O6798" s="268"/>
    </row>
    <row r="6799" spans="9:15" x14ac:dyDescent="0.25">
      <c r="I6799" s="268"/>
      <c r="O6799" s="268"/>
    </row>
    <row r="6800" spans="9:15" x14ac:dyDescent="0.25">
      <c r="I6800" s="268"/>
      <c r="O6800" s="268"/>
    </row>
    <row r="6801" spans="9:15" x14ac:dyDescent="0.25">
      <c r="I6801" s="268"/>
      <c r="O6801" s="268"/>
    </row>
    <row r="6802" spans="9:15" x14ac:dyDescent="0.25">
      <c r="I6802" s="268"/>
      <c r="O6802" s="268"/>
    </row>
    <row r="6803" spans="9:15" x14ac:dyDescent="0.25">
      <c r="I6803" s="268"/>
      <c r="O6803" s="268"/>
    </row>
    <row r="6804" spans="9:15" x14ac:dyDescent="0.25">
      <c r="I6804" s="268"/>
      <c r="O6804" s="268"/>
    </row>
    <row r="6805" spans="9:15" x14ac:dyDescent="0.25">
      <c r="I6805" s="268"/>
      <c r="O6805" s="268"/>
    </row>
    <row r="6806" spans="9:15" x14ac:dyDescent="0.25">
      <c r="I6806" s="268"/>
      <c r="O6806" s="268"/>
    </row>
    <row r="6807" spans="9:15" x14ac:dyDescent="0.25">
      <c r="I6807" s="268"/>
      <c r="O6807" s="268"/>
    </row>
    <row r="6808" spans="9:15" x14ac:dyDescent="0.25">
      <c r="I6808" s="268"/>
      <c r="O6808" s="268"/>
    </row>
    <row r="6809" spans="9:15" x14ac:dyDescent="0.25">
      <c r="I6809" s="268"/>
      <c r="O6809" s="268"/>
    </row>
    <row r="6810" spans="9:15" x14ac:dyDescent="0.25">
      <c r="I6810" s="268"/>
      <c r="O6810" s="268"/>
    </row>
    <row r="6811" spans="9:15" x14ac:dyDescent="0.25">
      <c r="I6811" s="268"/>
      <c r="O6811" s="268"/>
    </row>
    <row r="6812" spans="9:15" x14ac:dyDescent="0.25">
      <c r="I6812" s="268"/>
      <c r="O6812" s="268"/>
    </row>
    <row r="6813" spans="9:15" x14ac:dyDescent="0.25">
      <c r="I6813" s="268"/>
      <c r="O6813" s="268"/>
    </row>
    <row r="6814" spans="9:15" x14ac:dyDescent="0.25">
      <c r="I6814" s="268"/>
      <c r="O6814" s="268"/>
    </row>
    <row r="6815" spans="9:15" x14ac:dyDescent="0.25">
      <c r="I6815" s="268"/>
      <c r="O6815" s="268"/>
    </row>
    <row r="6816" spans="9:15" x14ac:dyDescent="0.25">
      <c r="I6816" s="268"/>
      <c r="O6816" s="268"/>
    </row>
    <row r="6817" spans="9:15" x14ac:dyDescent="0.25">
      <c r="I6817" s="268"/>
      <c r="O6817" s="268"/>
    </row>
    <row r="6818" spans="9:15" x14ac:dyDescent="0.25">
      <c r="I6818" s="268"/>
      <c r="O6818" s="268"/>
    </row>
    <row r="6819" spans="9:15" x14ac:dyDescent="0.25">
      <c r="I6819" s="268"/>
      <c r="O6819" s="268"/>
    </row>
    <row r="6820" spans="9:15" x14ac:dyDescent="0.25">
      <c r="I6820" s="268"/>
      <c r="O6820" s="268"/>
    </row>
    <row r="6821" spans="9:15" x14ac:dyDescent="0.25">
      <c r="I6821" s="268"/>
      <c r="O6821" s="268"/>
    </row>
    <row r="6822" spans="9:15" x14ac:dyDescent="0.25">
      <c r="I6822" s="268"/>
      <c r="O6822" s="268"/>
    </row>
    <row r="6823" spans="9:15" x14ac:dyDescent="0.25">
      <c r="I6823" s="268"/>
      <c r="O6823" s="268"/>
    </row>
    <row r="6824" spans="9:15" x14ac:dyDescent="0.25">
      <c r="I6824" s="268"/>
      <c r="O6824" s="268"/>
    </row>
    <row r="6825" spans="9:15" x14ac:dyDescent="0.25">
      <c r="I6825" s="268"/>
      <c r="O6825" s="268"/>
    </row>
    <row r="6826" spans="9:15" x14ac:dyDescent="0.25">
      <c r="I6826" s="268"/>
      <c r="O6826" s="268"/>
    </row>
    <row r="6827" spans="9:15" x14ac:dyDescent="0.25">
      <c r="I6827" s="268"/>
      <c r="O6827" s="268"/>
    </row>
    <row r="6828" spans="9:15" x14ac:dyDescent="0.25">
      <c r="I6828" s="268"/>
      <c r="O6828" s="268"/>
    </row>
    <row r="6829" spans="9:15" x14ac:dyDescent="0.25">
      <c r="I6829" s="268"/>
      <c r="O6829" s="268"/>
    </row>
    <row r="6830" spans="9:15" x14ac:dyDescent="0.25">
      <c r="I6830" s="268"/>
      <c r="O6830" s="268"/>
    </row>
    <row r="6831" spans="9:15" x14ac:dyDescent="0.25">
      <c r="I6831" s="268"/>
      <c r="O6831" s="268"/>
    </row>
    <row r="6832" spans="9:15" x14ac:dyDescent="0.25">
      <c r="I6832" s="268"/>
      <c r="O6832" s="268"/>
    </row>
    <row r="6833" spans="9:15" x14ac:dyDescent="0.25">
      <c r="I6833" s="268"/>
      <c r="O6833" s="268"/>
    </row>
    <row r="6834" spans="9:15" x14ac:dyDescent="0.25">
      <c r="I6834" s="268"/>
      <c r="O6834" s="268"/>
    </row>
    <row r="6835" spans="9:15" x14ac:dyDescent="0.25">
      <c r="I6835" s="268"/>
      <c r="O6835" s="268"/>
    </row>
    <row r="6836" spans="9:15" x14ac:dyDescent="0.25">
      <c r="I6836" s="268"/>
      <c r="O6836" s="268"/>
    </row>
    <row r="6837" spans="9:15" x14ac:dyDescent="0.25">
      <c r="I6837" s="268"/>
      <c r="O6837" s="268"/>
    </row>
    <row r="6838" spans="9:15" x14ac:dyDescent="0.25">
      <c r="I6838" s="268"/>
      <c r="O6838" s="268"/>
    </row>
    <row r="6839" spans="9:15" x14ac:dyDescent="0.25">
      <c r="I6839" s="268"/>
      <c r="O6839" s="268"/>
    </row>
    <row r="6840" spans="9:15" x14ac:dyDescent="0.25">
      <c r="I6840" s="268"/>
      <c r="O6840" s="268"/>
    </row>
    <row r="6841" spans="9:15" x14ac:dyDescent="0.25">
      <c r="I6841" s="268"/>
      <c r="O6841" s="268"/>
    </row>
    <row r="6842" spans="9:15" x14ac:dyDescent="0.25">
      <c r="I6842" s="268"/>
      <c r="O6842" s="268"/>
    </row>
    <row r="6843" spans="9:15" x14ac:dyDescent="0.25">
      <c r="I6843" s="268"/>
      <c r="O6843" s="268"/>
    </row>
    <row r="6844" spans="9:15" x14ac:dyDescent="0.25">
      <c r="I6844" s="268"/>
      <c r="O6844" s="268"/>
    </row>
    <row r="6845" spans="9:15" x14ac:dyDescent="0.25">
      <c r="I6845" s="268"/>
      <c r="O6845" s="268"/>
    </row>
    <row r="6846" spans="9:15" x14ac:dyDescent="0.25">
      <c r="I6846" s="268"/>
      <c r="O6846" s="268"/>
    </row>
    <row r="6847" spans="9:15" x14ac:dyDescent="0.25">
      <c r="I6847" s="268"/>
      <c r="O6847" s="268"/>
    </row>
    <row r="6848" spans="9:15" x14ac:dyDescent="0.25">
      <c r="I6848" s="268"/>
      <c r="O6848" s="268"/>
    </row>
    <row r="6849" spans="9:15" x14ac:dyDescent="0.25">
      <c r="I6849" s="268"/>
      <c r="O6849" s="268"/>
    </row>
    <row r="6850" spans="9:15" x14ac:dyDescent="0.25">
      <c r="I6850" s="268"/>
      <c r="O6850" s="268"/>
    </row>
    <row r="6851" spans="9:15" x14ac:dyDescent="0.25">
      <c r="I6851" s="268"/>
      <c r="O6851" s="268"/>
    </row>
    <row r="6852" spans="9:15" x14ac:dyDescent="0.25">
      <c r="I6852" s="268"/>
      <c r="O6852" s="268"/>
    </row>
    <row r="6853" spans="9:15" x14ac:dyDescent="0.25">
      <c r="I6853" s="268"/>
      <c r="O6853" s="268"/>
    </row>
    <row r="6854" spans="9:15" x14ac:dyDescent="0.25">
      <c r="I6854" s="268"/>
      <c r="O6854" s="268"/>
    </row>
    <row r="6855" spans="9:15" x14ac:dyDescent="0.25">
      <c r="I6855" s="268"/>
      <c r="O6855" s="268"/>
    </row>
    <row r="6856" spans="9:15" x14ac:dyDescent="0.25">
      <c r="I6856" s="268"/>
      <c r="O6856" s="268"/>
    </row>
    <row r="6857" spans="9:15" x14ac:dyDescent="0.25">
      <c r="I6857" s="268"/>
      <c r="O6857" s="268"/>
    </row>
    <row r="6858" spans="9:15" x14ac:dyDescent="0.25">
      <c r="I6858" s="268"/>
      <c r="O6858" s="268"/>
    </row>
    <row r="6859" spans="9:15" x14ac:dyDescent="0.25">
      <c r="I6859" s="268"/>
      <c r="O6859" s="268"/>
    </row>
    <row r="6860" spans="9:15" x14ac:dyDescent="0.25">
      <c r="I6860" s="268"/>
      <c r="O6860" s="268"/>
    </row>
    <row r="6861" spans="9:15" x14ac:dyDescent="0.25">
      <c r="I6861" s="268"/>
      <c r="O6861" s="268"/>
    </row>
    <row r="6862" spans="9:15" x14ac:dyDescent="0.25">
      <c r="I6862" s="268"/>
      <c r="O6862" s="268"/>
    </row>
    <row r="6863" spans="9:15" x14ac:dyDescent="0.25">
      <c r="I6863" s="268"/>
      <c r="O6863" s="268"/>
    </row>
    <row r="6864" spans="9:15" x14ac:dyDescent="0.25">
      <c r="I6864" s="268"/>
      <c r="O6864" s="268"/>
    </row>
    <row r="6865" spans="9:15" x14ac:dyDescent="0.25">
      <c r="I6865" s="268"/>
      <c r="O6865" s="268"/>
    </row>
    <row r="6866" spans="9:15" x14ac:dyDescent="0.25">
      <c r="I6866" s="268"/>
      <c r="O6866" s="268"/>
    </row>
    <row r="6867" spans="9:15" x14ac:dyDescent="0.25">
      <c r="I6867" s="268"/>
      <c r="O6867" s="268"/>
    </row>
    <row r="6868" spans="9:15" x14ac:dyDescent="0.25">
      <c r="I6868" s="268"/>
      <c r="O6868" s="268"/>
    </row>
    <row r="6869" spans="9:15" x14ac:dyDescent="0.25">
      <c r="I6869" s="268"/>
      <c r="O6869" s="268"/>
    </row>
    <row r="6870" spans="9:15" x14ac:dyDescent="0.25">
      <c r="I6870" s="268"/>
      <c r="O6870" s="268"/>
    </row>
    <row r="6871" spans="9:15" x14ac:dyDescent="0.25">
      <c r="I6871" s="268"/>
      <c r="O6871" s="268"/>
    </row>
    <row r="6872" spans="9:15" x14ac:dyDescent="0.25">
      <c r="I6872" s="268"/>
      <c r="O6872" s="268"/>
    </row>
    <row r="6873" spans="9:15" x14ac:dyDescent="0.25">
      <c r="I6873" s="268"/>
      <c r="O6873" s="268"/>
    </row>
    <row r="6874" spans="9:15" x14ac:dyDescent="0.25">
      <c r="I6874" s="268"/>
      <c r="O6874" s="268"/>
    </row>
    <row r="6875" spans="9:15" x14ac:dyDescent="0.25">
      <c r="I6875" s="268"/>
      <c r="O6875" s="268"/>
    </row>
    <row r="6876" spans="9:15" x14ac:dyDescent="0.25">
      <c r="I6876" s="268"/>
      <c r="O6876" s="268"/>
    </row>
    <row r="6877" spans="9:15" x14ac:dyDescent="0.25">
      <c r="I6877" s="268"/>
      <c r="O6877" s="268"/>
    </row>
    <row r="6878" spans="9:15" x14ac:dyDescent="0.25">
      <c r="I6878" s="268"/>
      <c r="O6878" s="268"/>
    </row>
    <row r="6879" spans="9:15" x14ac:dyDescent="0.25">
      <c r="I6879" s="268"/>
      <c r="O6879" s="268"/>
    </row>
    <row r="6880" spans="9:15" x14ac:dyDescent="0.25">
      <c r="I6880" s="268"/>
      <c r="O6880" s="268"/>
    </row>
    <row r="6881" spans="9:15" x14ac:dyDescent="0.25">
      <c r="I6881" s="268"/>
      <c r="O6881" s="268"/>
    </row>
    <row r="6882" spans="9:15" x14ac:dyDescent="0.25">
      <c r="I6882" s="268"/>
      <c r="O6882" s="268"/>
    </row>
    <row r="6883" spans="9:15" x14ac:dyDescent="0.25">
      <c r="I6883" s="268"/>
      <c r="O6883" s="268"/>
    </row>
    <row r="6884" spans="9:15" x14ac:dyDescent="0.25">
      <c r="I6884" s="268"/>
      <c r="O6884" s="268"/>
    </row>
    <row r="6885" spans="9:15" x14ac:dyDescent="0.25">
      <c r="I6885" s="268"/>
      <c r="O6885" s="268"/>
    </row>
    <row r="6886" spans="9:15" x14ac:dyDescent="0.25">
      <c r="I6886" s="268"/>
      <c r="O6886" s="268"/>
    </row>
    <row r="6887" spans="9:15" x14ac:dyDescent="0.25">
      <c r="I6887" s="268"/>
      <c r="O6887" s="268"/>
    </row>
    <row r="6888" spans="9:15" x14ac:dyDescent="0.25">
      <c r="I6888" s="268"/>
      <c r="O6888" s="268"/>
    </row>
    <row r="6889" spans="9:15" x14ac:dyDescent="0.25">
      <c r="I6889" s="268"/>
      <c r="O6889" s="268"/>
    </row>
    <row r="6890" spans="9:15" x14ac:dyDescent="0.25">
      <c r="I6890" s="268"/>
      <c r="O6890" s="268"/>
    </row>
    <row r="6891" spans="9:15" x14ac:dyDescent="0.25">
      <c r="I6891" s="268"/>
      <c r="O6891" s="268"/>
    </row>
    <row r="6892" spans="9:15" x14ac:dyDescent="0.25">
      <c r="I6892" s="268"/>
      <c r="O6892" s="268"/>
    </row>
    <row r="6893" spans="9:15" x14ac:dyDescent="0.25">
      <c r="I6893" s="268"/>
      <c r="O6893" s="268"/>
    </row>
    <row r="6894" spans="9:15" x14ac:dyDescent="0.25">
      <c r="I6894" s="268"/>
      <c r="O6894" s="268"/>
    </row>
    <row r="6895" spans="9:15" x14ac:dyDescent="0.25">
      <c r="I6895" s="268"/>
      <c r="O6895" s="268"/>
    </row>
    <row r="6896" spans="9:15" x14ac:dyDescent="0.25">
      <c r="I6896" s="268"/>
      <c r="O6896" s="268"/>
    </row>
    <row r="6897" spans="9:15" x14ac:dyDescent="0.25">
      <c r="I6897" s="268"/>
      <c r="O6897" s="268"/>
    </row>
    <row r="6898" spans="9:15" x14ac:dyDescent="0.25">
      <c r="I6898" s="268"/>
      <c r="O6898" s="268"/>
    </row>
    <row r="6899" spans="9:15" x14ac:dyDescent="0.25">
      <c r="I6899" s="268"/>
      <c r="O6899" s="268"/>
    </row>
    <row r="6900" spans="9:15" x14ac:dyDescent="0.25">
      <c r="I6900" s="268"/>
      <c r="O6900" s="268"/>
    </row>
    <row r="6901" spans="9:15" x14ac:dyDescent="0.25">
      <c r="I6901" s="268"/>
      <c r="O6901" s="268"/>
    </row>
    <row r="6902" spans="9:15" x14ac:dyDescent="0.25">
      <c r="I6902" s="268"/>
      <c r="O6902" s="268"/>
    </row>
    <row r="6903" spans="9:15" x14ac:dyDescent="0.25">
      <c r="I6903" s="268"/>
      <c r="O6903" s="268"/>
    </row>
    <row r="6904" spans="9:15" x14ac:dyDescent="0.25">
      <c r="I6904" s="268"/>
      <c r="O6904" s="268"/>
    </row>
    <row r="6905" spans="9:15" x14ac:dyDescent="0.25">
      <c r="I6905" s="268"/>
      <c r="O6905" s="268"/>
    </row>
    <row r="6906" spans="9:15" x14ac:dyDescent="0.25">
      <c r="I6906" s="268"/>
      <c r="O6906" s="268"/>
    </row>
    <row r="6907" spans="9:15" x14ac:dyDescent="0.25">
      <c r="I6907" s="268"/>
      <c r="O6907" s="268"/>
    </row>
    <row r="6908" spans="9:15" x14ac:dyDescent="0.25">
      <c r="I6908" s="268"/>
      <c r="O6908" s="268"/>
    </row>
    <row r="6909" spans="9:15" x14ac:dyDescent="0.25">
      <c r="I6909" s="268"/>
      <c r="O6909" s="268"/>
    </row>
    <row r="6910" spans="9:15" x14ac:dyDescent="0.25">
      <c r="I6910" s="268"/>
      <c r="O6910" s="268"/>
    </row>
    <row r="6911" spans="9:15" x14ac:dyDescent="0.25">
      <c r="I6911" s="268"/>
      <c r="O6911" s="268"/>
    </row>
    <row r="6912" spans="9:15" x14ac:dyDescent="0.25">
      <c r="I6912" s="268"/>
      <c r="O6912" s="268"/>
    </row>
    <row r="6913" spans="9:15" x14ac:dyDescent="0.25">
      <c r="I6913" s="268"/>
      <c r="O6913" s="268"/>
    </row>
    <row r="6914" spans="9:15" x14ac:dyDescent="0.25">
      <c r="I6914" s="268"/>
      <c r="O6914" s="268"/>
    </row>
    <row r="6915" spans="9:15" x14ac:dyDescent="0.25">
      <c r="I6915" s="268"/>
      <c r="O6915" s="268"/>
    </row>
    <row r="6916" spans="9:15" x14ac:dyDescent="0.25">
      <c r="I6916" s="268"/>
      <c r="O6916" s="268"/>
    </row>
    <row r="6917" spans="9:15" x14ac:dyDescent="0.25">
      <c r="I6917" s="268"/>
      <c r="O6917" s="268"/>
    </row>
    <row r="6918" spans="9:15" x14ac:dyDescent="0.25">
      <c r="I6918" s="268"/>
      <c r="O6918" s="268"/>
    </row>
    <row r="6919" spans="9:15" x14ac:dyDescent="0.25">
      <c r="I6919" s="268"/>
      <c r="O6919" s="268"/>
    </row>
    <row r="6920" spans="9:15" x14ac:dyDescent="0.25">
      <c r="I6920" s="268"/>
      <c r="O6920" s="268"/>
    </row>
    <row r="6921" spans="9:15" x14ac:dyDescent="0.25">
      <c r="I6921" s="268"/>
      <c r="O6921" s="268"/>
    </row>
    <row r="6922" spans="9:15" x14ac:dyDescent="0.25">
      <c r="I6922" s="268"/>
      <c r="O6922" s="268"/>
    </row>
    <row r="6923" spans="9:15" x14ac:dyDescent="0.25">
      <c r="I6923" s="268"/>
      <c r="O6923" s="268"/>
    </row>
    <row r="6924" spans="9:15" x14ac:dyDescent="0.25">
      <c r="I6924" s="268"/>
      <c r="O6924" s="268"/>
    </row>
    <row r="6925" spans="9:15" x14ac:dyDescent="0.25">
      <c r="I6925" s="268"/>
      <c r="O6925" s="268"/>
    </row>
    <row r="6926" spans="9:15" x14ac:dyDescent="0.25">
      <c r="I6926" s="268"/>
      <c r="O6926" s="268"/>
    </row>
    <row r="6927" spans="9:15" x14ac:dyDescent="0.25">
      <c r="I6927" s="268"/>
      <c r="O6927" s="268"/>
    </row>
    <row r="6928" spans="9:15" x14ac:dyDescent="0.25">
      <c r="I6928" s="268"/>
      <c r="O6928" s="268"/>
    </row>
    <row r="6929" spans="9:15" x14ac:dyDescent="0.25">
      <c r="I6929" s="268"/>
      <c r="O6929" s="268"/>
    </row>
    <row r="6930" spans="9:15" x14ac:dyDescent="0.25">
      <c r="I6930" s="268"/>
      <c r="O6930" s="268"/>
    </row>
    <row r="6931" spans="9:15" x14ac:dyDescent="0.25">
      <c r="I6931" s="268"/>
      <c r="O6931" s="268"/>
    </row>
    <row r="6932" spans="9:15" x14ac:dyDescent="0.25">
      <c r="I6932" s="268"/>
      <c r="O6932" s="268"/>
    </row>
    <row r="6933" spans="9:15" x14ac:dyDescent="0.25">
      <c r="I6933" s="268"/>
      <c r="O6933" s="268"/>
    </row>
    <row r="6934" spans="9:15" x14ac:dyDescent="0.25">
      <c r="I6934" s="268"/>
      <c r="O6934" s="268"/>
    </row>
    <row r="6935" spans="9:15" x14ac:dyDescent="0.25">
      <c r="I6935" s="268"/>
      <c r="O6935" s="268"/>
    </row>
    <row r="6936" spans="9:15" x14ac:dyDescent="0.25">
      <c r="I6936" s="268"/>
      <c r="O6936" s="268"/>
    </row>
    <row r="6937" spans="9:15" x14ac:dyDescent="0.25">
      <c r="I6937" s="268"/>
      <c r="O6937" s="268"/>
    </row>
    <row r="6938" spans="9:15" x14ac:dyDescent="0.25">
      <c r="I6938" s="268"/>
      <c r="O6938" s="268"/>
    </row>
    <row r="6939" spans="9:15" x14ac:dyDescent="0.25">
      <c r="I6939" s="268"/>
      <c r="O6939" s="268"/>
    </row>
    <row r="6940" spans="9:15" x14ac:dyDescent="0.25">
      <c r="I6940" s="268"/>
      <c r="O6940" s="268"/>
    </row>
    <row r="6941" spans="9:15" x14ac:dyDescent="0.25">
      <c r="I6941" s="268"/>
      <c r="O6941" s="268"/>
    </row>
    <row r="6942" spans="9:15" x14ac:dyDescent="0.25">
      <c r="I6942" s="268"/>
      <c r="O6942" s="268"/>
    </row>
    <row r="6943" spans="9:15" x14ac:dyDescent="0.25">
      <c r="I6943" s="268"/>
      <c r="O6943" s="268"/>
    </row>
    <row r="6944" spans="9:15" x14ac:dyDescent="0.25">
      <c r="I6944" s="268"/>
      <c r="O6944" s="268"/>
    </row>
    <row r="6945" spans="9:15" x14ac:dyDescent="0.25">
      <c r="I6945" s="268"/>
      <c r="O6945" s="268"/>
    </row>
    <row r="6946" spans="9:15" x14ac:dyDescent="0.25">
      <c r="I6946" s="268"/>
      <c r="O6946" s="268"/>
    </row>
    <row r="6947" spans="9:15" x14ac:dyDescent="0.25">
      <c r="I6947" s="268"/>
      <c r="O6947" s="268"/>
    </row>
    <row r="6948" spans="9:15" x14ac:dyDescent="0.25">
      <c r="I6948" s="268"/>
      <c r="O6948" s="268"/>
    </row>
    <row r="6949" spans="9:15" x14ac:dyDescent="0.25">
      <c r="I6949" s="268"/>
      <c r="O6949" s="268"/>
    </row>
    <row r="6950" spans="9:15" x14ac:dyDescent="0.25">
      <c r="I6950" s="268"/>
      <c r="O6950" s="268"/>
    </row>
    <row r="6951" spans="9:15" x14ac:dyDescent="0.25">
      <c r="I6951" s="268"/>
      <c r="O6951" s="268"/>
    </row>
    <row r="6952" spans="9:15" x14ac:dyDescent="0.25">
      <c r="I6952" s="268"/>
      <c r="O6952" s="268"/>
    </row>
    <row r="6953" spans="9:15" x14ac:dyDescent="0.25">
      <c r="I6953" s="268"/>
      <c r="O6953" s="268"/>
    </row>
    <row r="6954" spans="9:15" x14ac:dyDescent="0.25">
      <c r="I6954" s="268"/>
      <c r="O6954" s="268"/>
    </row>
    <row r="6955" spans="9:15" x14ac:dyDescent="0.25">
      <c r="I6955" s="268"/>
      <c r="O6955" s="268"/>
    </row>
    <row r="6956" spans="9:15" x14ac:dyDescent="0.25">
      <c r="I6956" s="268"/>
      <c r="O6956" s="268"/>
    </row>
    <row r="6957" spans="9:15" x14ac:dyDescent="0.25">
      <c r="I6957" s="268"/>
      <c r="O6957" s="268"/>
    </row>
    <row r="6958" spans="9:15" x14ac:dyDescent="0.25">
      <c r="I6958" s="268"/>
      <c r="O6958" s="268"/>
    </row>
    <row r="6959" spans="9:15" x14ac:dyDescent="0.25">
      <c r="I6959" s="268"/>
      <c r="O6959" s="268"/>
    </row>
    <row r="6960" spans="9:15" x14ac:dyDescent="0.25">
      <c r="I6960" s="268"/>
      <c r="O6960" s="268"/>
    </row>
    <row r="6961" spans="9:15" x14ac:dyDescent="0.25">
      <c r="I6961" s="268"/>
      <c r="O6961" s="268"/>
    </row>
    <row r="6962" spans="9:15" x14ac:dyDescent="0.25">
      <c r="I6962" s="268"/>
      <c r="O6962" s="268"/>
    </row>
    <row r="6963" spans="9:15" x14ac:dyDescent="0.25">
      <c r="I6963" s="268"/>
      <c r="O6963" s="268"/>
    </row>
    <row r="6964" spans="9:15" x14ac:dyDescent="0.25">
      <c r="I6964" s="268"/>
      <c r="O6964" s="268"/>
    </row>
    <row r="6965" spans="9:15" x14ac:dyDescent="0.25">
      <c r="I6965" s="268"/>
      <c r="O6965" s="268"/>
    </row>
    <row r="6966" spans="9:15" x14ac:dyDescent="0.25">
      <c r="I6966" s="268"/>
      <c r="O6966" s="268"/>
    </row>
    <row r="6967" spans="9:15" x14ac:dyDescent="0.25">
      <c r="I6967" s="268"/>
      <c r="O6967" s="268"/>
    </row>
    <row r="6968" spans="9:15" x14ac:dyDescent="0.25">
      <c r="I6968" s="268"/>
      <c r="O6968" s="268"/>
    </row>
    <row r="6969" spans="9:15" x14ac:dyDescent="0.25">
      <c r="I6969" s="268"/>
      <c r="O6969" s="268"/>
    </row>
    <row r="6970" spans="9:15" x14ac:dyDescent="0.25">
      <c r="I6970" s="268"/>
      <c r="O6970" s="268"/>
    </row>
    <row r="6971" spans="9:15" x14ac:dyDescent="0.25">
      <c r="I6971" s="268"/>
      <c r="O6971" s="268"/>
    </row>
    <row r="6972" spans="9:15" x14ac:dyDescent="0.25">
      <c r="I6972" s="268"/>
      <c r="O6972" s="268"/>
    </row>
    <row r="6973" spans="9:15" x14ac:dyDescent="0.25">
      <c r="I6973" s="268"/>
      <c r="O6973" s="268"/>
    </row>
    <row r="6974" spans="9:15" x14ac:dyDescent="0.25">
      <c r="I6974" s="268"/>
      <c r="O6974" s="268"/>
    </row>
    <row r="6975" spans="9:15" x14ac:dyDescent="0.25">
      <c r="I6975" s="268"/>
      <c r="O6975" s="268"/>
    </row>
    <row r="6976" spans="9:15" x14ac:dyDescent="0.25">
      <c r="I6976" s="268"/>
      <c r="O6976" s="268"/>
    </row>
    <row r="6977" spans="9:15" x14ac:dyDescent="0.25">
      <c r="I6977" s="268"/>
      <c r="O6977" s="268"/>
    </row>
    <row r="6978" spans="9:15" x14ac:dyDescent="0.25">
      <c r="I6978" s="268"/>
      <c r="O6978" s="268"/>
    </row>
    <row r="6979" spans="9:15" x14ac:dyDescent="0.25">
      <c r="I6979" s="268"/>
      <c r="O6979" s="268"/>
    </row>
    <row r="6980" spans="9:15" x14ac:dyDescent="0.25">
      <c r="I6980" s="268"/>
      <c r="O6980" s="268"/>
    </row>
    <row r="6981" spans="9:15" x14ac:dyDescent="0.25">
      <c r="I6981" s="268"/>
      <c r="O6981" s="268"/>
    </row>
    <row r="6982" spans="9:15" x14ac:dyDescent="0.25">
      <c r="I6982" s="268"/>
      <c r="O6982" s="268"/>
    </row>
    <row r="6983" spans="9:15" x14ac:dyDescent="0.25">
      <c r="I6983" s="268"/>
      <c r="O6983" s="268"/>
    </row>
    <row r="6984" spans="9:15" x14ac:dyDescent="0.25">
      <c r="I6984" s="268"/>
      <c r="O6984" s="268"/>
    </row>
    <row r="6985" spans="9:15" x14ac:dyDescent="0.25">
      <c r="I6985" s="268"/>
      <c r="O6985" s="268"/>
    </row>
    <row r="6986" spans="9:15" x14ac:dyDescent="0.25">
      <c r="I6986" s="268"/>
      <c r="O6986" s="268"/>
    </row>
    <row r="6987" spans="9:15" x14ac:dyDescent="0.25">
      <c r="I6987" s="268"/>
      <c r="O6987" s="268"/>
    </row>
    <row r="6988" spans="9:15" x14ac:dyDescent="0.25">
      <c r="I6988" s="268"/>
      <c r="O6988" s="268"/>
    </row>
    <row r="6989" spans="9:15" x14ac:dyDescent="0.25">
      <c r="I6989" s="268"/>
      <c r="O6989" s="268"/>
    </row>
    <row r="6990" spans="9:15" x14ac:dyDescent="0.25">
      <c r="I6990" s="268"/>
      <c r="O6990" s="268"/>
    </row>
    <row r="6991" spans="9:15" x14ac:dyDescent="0.25">
      <c r="I6991" s="268"/>
      <c r="O6991" s="268"/>
    </row>
    <row r="6992" spans="9:15" x14ac:dyDescent="0.25">
      <c r="I6992" s="268"/>
      <c r="O6992" s="268"/>
    </row>
    <row r="6993" spans="9:15" x14ac:dyDescent="0.25">
      <c r="I6993" s="268"/>
      <c r="O6993" s="268"/>
    </row>
    <row r="6994" spans="9:15" x14ac:dyDescent="0.25">
      <c r="I6994" s="268"/>
      <c r="O6994" s="268"/>
    </row>
    <row r="6995" spans="9:15" x14ac:dyDescent="0.25">
      <c r="I6995" s="268"/>
      <c r="O6995" s="268"/>
    </row>
    <row r="6996" spans="9:15" x14ac:dyDescent="0.25">
      <c r="I6996" s="268"/>
      <c r="O6996" s="268"/>
    </row>
    <row r="6997" spans="9:15" x14ac:dyDescent="0.25">
      <c r="I6997" s="268"/>
      <c r="O6997" s="268"/>
    </row>
    <row r="6998" spans="9:15" x14ac:dyDescent="0.25">
      <c r="I6998" s="268"/>
      <c r="O6998" s="268"/>
    </row>
    <row r="6999" spans="9:15" x14ac:dyDescent="0.25">
      <c r="I6999" s="268"/>
      <c r="O6999" s="268"/>
    </row>
    <row r="7000" spans="9:15" x14ac:dyDescent="0.25">
      <c r="I7000" s="268"/>
      <c r="O7000" s="268"/>
    </row>
    <row r="7001" spans="9:15" x14ac:dyDescent="0.25">
      <c r="I7001" s="268"/>
      <c r="O7001" s="268"/>
    </row>
    <row r="7002" spans="9:15" x14ac:dyDescent="0.25">
      <c r="I7002" s="268"/>
      <c r="O7002" s="268"/>
    </row>
    <row r="7003" spans="9:15" x14ac:dyDescent="0.25">
      <c r="I7003" s="268"/>
      <c r="O7003" s="268"/>
    </row>
    <row r="7004" spans="9:15" x14ac:dyDescent="0.25">
      <c r="I7004" s="268"/>
      <c r="O7004" s="268"/>
    </row>
    <row r="7005" spans="9:15" x14ac:dyDescent="0.25">
      <c r="I7005" s="268"/>
      <c r="O7005" s="268"/>
    </row>
    <row r="7006" spans="9:15" x14ac:dyDescent="0.25">
      <c r="I7006" s="268"/>
      <c r="O7006" s="268"/>
    </row>
    <row r="7007" spans="9:15" x14ac:dyDescent="0.25">
      <c r="I7007" s="268"/>
      <c r="O7007" s="268"/>
    </row>
    <row r="7008" spans="9:15" x14ac:dyDescent="0.25">
      <c r="I7008" s="268"/>
      <c r="O7008" s="268"/>
    </row>
    <row r="7009" spans="9:15" x14ac:dyDescent="0.25">
      <c r="I7009" s="268"/>
      <c r="O7009" s="268"/>
    </row>
    <row r="7010" spans="9:15" x14ac:dyDescent="0.25">
      <c r="I7010" s="268"/>
      <c r="O7010" s="268"/>
    </row>
    <row r="7011" spans="9:15" x14ac:dyDescent="0.25">
      <c r="I7011" s="268"/>
      <c r="O7011" s="268"/>
    </row>
    <row r="7012" spans="9:15" x14ac:dyDescent="0.25">
      <c r="I7012" s="268"/>
      <c r="O7012" s="268"/>
    </row>
    <row r="7013" spans="9:15" x14ac:dyDescent="0.25">
      <c r="I7013" s="268"/>
      <c r="O7013" s="268"/>
    </row>
    <row r="7014" spans="9:15" x14ac:dyDescent="0.25">
      <c r="I7014" s="268"/>
      <c r="O7014" s="268"/>
    </row>
    <row r="7015" spans="9:15" x14ac:dyDescent="0.25">
      <c r="I7015" s="268"/>
      <c r="O7015" s="268"/>
    </row>
    <row r="7016" spans="9:15" x14ac:dyDescent="0.25">
      <c r="I7016" s="268"/>
      <c r="O7016" s="268"/>
    </row>
    <row r="7017" spans="9:15" x14ac:dyDescent="0.25">
      <c r="I7017" s="268"/>
      <c r="O7017" s="268"/>
    </row>
    <row r="7018" spans="9:15" x14ac:dyDescent="0.25">
      <c r="I7018" s="268"/>
      <c r="O7018" s="268"/>
    </row>
    <row r="7019" spans="9:15" x14ac:dyDescent="0.25">
      <c r="I7019" s="268"/>
      <c r="O7019" s="268"/>
    </row>
    <row r="7020" spans="9:15" x14ac:dyDescent="0.25">
      <c r="I7020" s="268"/>
      <c r="O7020" s="268"/>
    </row>
    <row r="7021" spans="9:15" x14ac:dyDescent="0.25">
      <c r="I7021" s="268"/>
      <c r="O7021" s="268"/>
    </row>
    <row r="7022" spans="9:15" x14ac:dyDescent="0.25">
      <c r="I7022" s="268"/>
      <c r="O7022" s="268"/>
    </row>
    <row r="7023" spans="9:15" x14ac:dyDescent="0.25">
      <c r="I7023" s="268"/>
      <c r="O7023" s="268"/>
    </row>
    <row r="7024" spans="9:15" x14ac:dyDescent="0.25">
      <c r="I7024" s="268"/>
      <c r="O7024" s="268"/>
    </row>
    <row r="7025" spans="9:15" x14ac:dyDescent="0.25">
      <c r="I7025" s="268"/>
      <c r="O7025" s="268"/>
    </row>
    <row r="7026" spans="9:15" x14ac:dyDescent="0.25">
      <c r="I7026" s="268"/>
      <c r="O7026" s="268"/>
    </row>
    <row r="7027" spans="9:15" x14ac:dyDescent="0.25">
      <c r="I7027" s="268"/>
      <c r="O7027" s="268"/>
    </row>
    <row r="7028" spans="9:15" x14ac:dyDescent="0.25">
      <c r="I7028" s="268"/>
      <c r="O7028" s="268"/>
    </row>
    <row r="7029" spans="9:15" x14ac:dyDescent="0.25">
      <c r="I7029" s="268"/>
      <c r="O7029" s="268"/>
    </row>
    <row r="7030" spans="9:15" x14ac:dyDescent="0.25">
      <c r="I7030" s="268"/>
      <c r="O7030" s="268"/>
    </row>
    <row r="7031" spans="9:15" x14ac:dyDescent="0.25">
      <c r="I7031" s="268"/>
      <c r="O7031" s="268"/>
    </row>
    <row r="7032" spans="9:15" x14ac:dyDescent="0.25">
      <c r="I7032" s="268"/>
      <c r="O7032" s="268"/>
    </row>
    <row r="7033" spans="9:15" x14ac:dyDescent="0.25">
      <c r="I7033" s="268"/>
      <c r="O7033" s="268"/>
    </row>
    <row r="7034" spans="9:15" x14ac:dyDescent="0.25">
      <c r="I7034" s="268"/>
      <c r="O7034" s="268"/>
    </row>
    <row r="7035" spans="9:15" x14ac:dyDescent="0.25">
      <c r="I7035" s="268"/>
      <c r="O7035" s="268"/>
    </row>
    <row r="7036" spans="9:15" x14ac:dyDescent="0.25">
      <c r="I7036" s="268"/>
      <c r="O7036" s="268"/>
    </row>
    <row r="7037" spans="9:15" x14ac:dyDescent="0.25">
      <c r="I7037" s="268"/>
      <c r="O7037" s="268"/>
    </row>
    <row r="7038" spans="9:15" x14ac:dyDescent="0.25">
      <c r="I7038" s="268"/>
      <c r="O7038" s="268"/>
    </row>
    <row r="7039" spans="9:15" x14ac:dyDescent="0.25">
      <c r="I7039" s="268"/>
      <c r="O7039" s="268"/>
    </row>
    <row r="7040" spans="9:15" x14ac:dyDescent="0.25">
      <c r="I7040" s="268"/>
      <c r="O7040" s="268"/>
    </row>
    <row r="7041" spans="9:15" x14ac:dyDescent="0.25">
      <c r="I7041" s="268"/>
      <c r="O7041" s="268"/>
    </row>
    <row r="7042" spans="9:15" x14ac:dyDescent="0.25">
      <c r="I7042" s="268"/>
      <c r="O7042" s="268"/>
    </row>
    <row r="7043" spans="9:15" x14ac:dyDescent="0.25">
      <c r="I7043" s="268"/>
      <c r="O7043" s="268"/>
    </row>
    <row r="7044" spans="9:15" x14ac:dyDescent="0.25">
      <c r="I7044" s="268"/>
      <c r="O7044" s="268"/>
    </row>
    <row r="7045" spans="9:15" x14ac:dyDescent="0.25">
      <c r="I7045" s="268"/>
      <c r="O7045" s="268"/>
    </row>
    <row r="7046" spans="9:15" x14ac:dyDescent="0.25">
      <c r="I7046" s="268"/>
      <c r="O7046" s="268"/>
    </row>
    <row r="7047" spans="9:15" x14ac:dyDescent="0.25">
      <c r="I7047" s="268"/>
      <c r="O7047" s="268"/>
    </row>
    <row r="7048" spans="9:15" x14ac:dyDescent="0.25">
      <c r="I7048" s="268"/>
      <c r="O7048" s="268"/>
    </row>
    <row r="7049" spans="9:15" x14ac:dyDescent="0.25">
      <c r="I7049" s="268"/>
      <c r="O7049" s="268"/>
    </row>
    <row r="7050" spans="9:15" x14ac:dyDescent="0.25">
      <c r="I7050" s="268"/>
      <c r="O7050" s="268"/>
    </row>
    <row r="7051" spans="9:15" x14ac:dyDescent="0.25">
      <c r="I7051" s="268"/>
      <c r="O7051" s="268"/>
    </row>
    <row r="7052" spans="9:15" x14ac:dyDescent="0.25">
      <c r="I7052" s="268"/>
      <c r="O7052" s="268"/>
    </row>
    <row r="7053" spans="9:15" x14ac:dyDescent="0.25">
      <c r="I7053" s="268"/>
      <c r="O7053" s="268"/>
    </row>
    <row r="7054" spans="9:15" x14ac:dyDescent="0.25">
      <c r="I7054" s="268"/>
      <c r="O7054" s="268"/>
    </row>
    <row r="7055" spans="9:15" x14ac:dyDescent="0.25">
      <c r="I7055" s="268"/>
      <c r="O7055" s="268"/>
    </row>
    <row r="7056" spans="9:15" x14ac:dyDescent="0.25">
      <c r="I7056" s="268"/>
      <c r="O7056" s="268"/>
    </row>
    <row r="7057" spans="9:15" x14ac:dyDescent="0.25">
      <c r="I7057" s="268"/>
      <c r="O7057" s="268"/>
    </row>
    <row r="7058" spans="9:15" x14ac:dyDescent="0.25">
      <c r="I7058" s="268"/>
      <c r="O7058" s="268"/>
    </row>
    <row r="7059" spans="9:15" x14ac:dyDescent="0.25">
      <c r="I7059" s="268"/>
      <c r="O7059" s="268"/>
    </row>
    <row r="7060" spans="9:15" x14ac:dyDescent="0.25">
      <c r="I7060" s="268"/>
      <c r="O7060" s="268"/>
    </row>
    <row r="7061" spans="9:15" x14ac:dyDescent="0.25">
      <c r="I7061" s="268"/>
      <c r="O7061" s="268"/>
    </row>
    <row r="7062" spans="9:15" x14ac:dyDescent="0.25">
      <c r="I7062" s="268"/>
      <c r="O7062" s="268"/>
    </row>
    <row r="7063" spans="9:15" x14ac:dyDescent="0.25">
      <c r="I7063" s="268"/>
      <c r="O7063" s="268"/>
    </row>
    <row r="7064" spans="9:15" x14ac:dyDescent="0.25">
      <c r="I7064" s="268"/>
      <c r="O7064" s="268"/>
    </row>
    <row r="7065" spans="9:15" x14ac:dyDescent="0.25">
      <c r="I7065" s="268"/>
      <c r="O7065" s="268"/>
    </row>
    <row r="7066" spans="9:15" x14ac:dyDescent="0.25">
      <c r="I7066" s="268"/>
      <c r="O7066" s="268"/>
    </row>
    <row r="7067" spans="9:15" x14ac:dyDescent="0.25">
      <c r="I7067" s="268"/>
      <c r="O7067" s="268"/>
    </row>
    <row r="7068" spans="9:15" x14ac:dyDescent="0.25">
      <c r="I7068" s="268"/>
      <c r="O7068" s="268"/>
    </row>
    <row r="7069" spans="9:15" x14ac:dyDescent="0.25">
      <c r="I7069" s="268"/>
      <c r="O7069" s="268"/>
    </row>
    <row r="7070" spans="9:15" x14ac:dyDescent="0.25">
      <c r="I7070" s="268"/>
      <c r="O7070" s="268"/>
    </row>
    <row r="7071" spans="9:15" x14ac:dyDescent="0.25">
      <c r="I7071" s="268"/>
      <c r="O7071" s="268"/>
    </row>
    <row r="7072" spans="9:15" x14ac:dyDescent="0.25">
      <c r="I7072" s="268"/>
      <c r="O7072" s="268"/>
    </row>
    <row r="7073" spans="9:15" x14ac:dyDescent="0.25">
      <c r="I7073" s="268"/>
      <c r="O7073" s="268"/>
    </row>
    <row r="7074" spans="9:15" x14ac:dyDescent="0.25">
      <c r="I7074" s="268"/>
      <c r="O7074" s="268"/>
    </row>
    <row r="7075" spans="9:15" x14ac:dyDescent="0.25">
      <c r="I7075" s="268"/>
      <c r="O7075" s="268"/>
    </row>
    <row r="7076" spans="9:15" x14ac:dyDescent="0.25">
      <c r="I7076" s="268"/>
      <c r="O7076" s="268"/>
    </row>
    <row r="7077" spans="9:15" x14ac:dyDescent="0.25">
      <c r="I7077" s="268"/>
      <c r="O7077" s="268"/>
    </row>
    <row r="7078" spans="9:15" x14ac:dyDescent="0.25">
      <c r="I7078" s="268"/>
      <c r="O7078" s="268"/>
    </row>
    <row r="7079" spans="9:15" x14ac:dyDescent="0.25">
      <c r="I7079" s="268"/>
      <c r="O7079" s="268"/>
    </row>
    <row r="7080" spans="9:15" x14ac:dyDescent="0.25">
      <c r="I7080" s="268"/>
      <c r="O7080" s="268"/>
    </row>
    <row r="7081" spans="9:15" x14ac:dyDescent="0.25">
      <c r="I7081" s="268"/>
      <c r="O7081" s="268"/>
    </row>
    <row r="7082" spans="9:15" x14ac:dyDescent="0.25">
      <c r="I7082" s="268"/>
      <c r="O7082" s="268"/>
    </row>
    <row r="7083" spans="9:15" x14ac:dyDescent="0.25">
      <c r="I7083" s="268"/>
      <c r="O7083" s="268"/>
    </row>
    <row r="7084" spans="9:15" x14ac:dyDescent="0.25">
      <c r="I7084" s="268"/>
      <c r="O7084" s="268"/>
    </row>
    <row r="7085" spans="9:15" x14ac:dyDescent="0.25">
      <c r="I7085" s="268"/>
      <c r="O7085" s="268"/>
    </row>
    <row r="7086" spans="9:15" x14ac:dyDescent="0.25">
      <c r="I7086" s="268"/>
      <c r="O7086" s="268"/>
    </row>
    <row r="7087" spans="9:15" x14ac:dyDescent="0.25">
      <c r="I7087" s="268"/>
      <c r="O7087" s="268"/>
    </row>
    <row r="7088" spans="9:15" x14ac:dyDescent="0.25">
      <c r="I7088" s="268"/>
      <c r="O7088" s="268"/>
    </row>
    <row r="7089" spans="9:15" x14ac:dyDescent="0.25">
      <c r="I7089" s="268"/>
      <c r="O7089" s="268"/>
    </row>
    <row r="7090" spans="9:15" x14ac:dyDescent="0.25">
      <c r="I7090" s="268"/>
      <c r="O7090" s="268"/>
    </row>
    <row r="7091" spans="9:15" x14ac:dyDescent="0.25">
      <c r="I7091" s="268"/>
      <c r="O7091" s="268"/>
    </row>
    <row r="7092" spans="9:15" x14ac:dyDescent="0.25">
      <c r="I7092" s="268"/>
      <c r="O7092" s="268"/>
    </row>
    <row r="7093" spans="9:15" x14ac:dyDescent="0.25">
      <c r="I7093" s="268"/>
      <c r="O7093" s="268"/>
    </row>
    <row r="7094" spans="9:15" x14ac:dyDescent="0.25">
      <c r="I7094" s="268"/>
      <c r="O7094" s="268"/>
    </row>
    <row r="7095" spans="9:15" x14ac:dyDescent="0.25">
      <c r="I7095" s="268"/>
      <c r="O7095" s="268"/>
    </row>
    <row r="7096" spans="9:15" x14ac:dyDescent="0.25">
      <c r="I7096" s="268"/>
      <c r="O7096" s="268"/>
    </row>
    <row r="7097" spans="9:15" x14ac:dyDescent="0.25">
      <c r="I7097" s="268"/>
      <c r="O7097" s="268"/>
    </row>
    <row r="7098" spans="9:15" x14ac:dyDescent="0.25">
      <c r="I7098" s="268"/>
      <c r="O7098" s="268"/>
    </row>
    <row r="7099" spans="9:15" x14ac:dyDescent="0.25">
      <c r="I7099" s="268"/>
      <c r="O7099" s="268"/>
    </row>
    <row r="7100" spans="9:15" x14ac:dyDescent="0.25">
      <c r="I7100" s="268"/>
      <c r="O7100" s="268"/>
    </row>
    <row r="7101" spans="9:15" x14ac:dyDescent="0.25">
      <c r="I7101" s="268"/>
      <c r="O7101" s="268"/>
    </row>
    <row r="7102" spans="9:15" x14ac:dyDescent="0.25">
      <c r="I7102" s="268"/>
      <c r="O7102" s="268"/>
    </row>
    <row r="7103" spans="9:15" x14ac:dyDescent="0.25">
      <c r="I7103" s="268"/>
      <c r="O7103" s="268"/>
    </row>
    <row r="7104" spans="9:15" x14ac:dyDescent="0.25">
      <c r="I7104" s="268"/>
      <c r="O7104" s="268"/>
    </row>
    <row r="7105" spans="9:15" x14ac:dyDescent="0.25">
      <c r="I7105" s="268"/>
      <c r="O7105" s="268"/>
    </row>
    <row r="7106" spans="9:15" x14ac:dyDescent="0.25">
      <c r="I7106" s="268"/>
      <c r="O7106" s="268"/>
    </row>
    <row r="7107" spans="9:15" x14ac:dyDescent="0.25">
      <c r="I7107" s="268"/>
      <c r="O7107" s="268"/>
    </row>
    <row r="7108" spans="9:15" x14ac:dyDescent="0.25">
      <c r="I7108" s="268"/>
      <c r="O7108" s="268"/>
    </row>
    <row r="7109" spans="9:15" x14ac:dyDescent="0.25">
      <c r="I7109" s="268"/>
      <c r="O7109" s="268"/>
    </row>
    <row r="7110" spans="9:15" x14ac:dyDescent="0.25">
      <c r="I7110" s="268"/>
      <c r="O7110" s="268"/>
    </row>
    <row r="7111" spans="9:15" x14ac:dyDescent="0.25">
      <c r="I7111" s="268"/>
      <c r="O7111" s="268"/>
    </row>
    <row r="7112" spans="9:15" x14ac:dyDescent="0.25">
      <c r="I7112" s="268"/>
      <c r="O7112" s="268"/>
    </row>
    <row r="7113" spans="9:15" x14ac:dyDescent="0.25">
      <c r="I7113" s="268"/>
      <c r="O7113" s="268"/>
    </row>
    <row r="7114" spans="9:15" x14ac:dyDescent="0.25">
      <c r="I7114" s="268"/>
      <c r="O7114" s="268"/>
    </row>
    <row r="7115" spans="9:15" x14ac:dyDescent="0.25">
      <c r="I7115" s="268"/>
      <c r="O7115" s="268"/>
    </row>
    <row r="7116" spans="9:15" x14ac:dyDescent="0.25">
      <c r="I7116" s="268"/>
      <c r="O7116" s="268"/>
    </row>
    <row r="7117" spans="9:15" x14ac:dyDescent="0.25">
      <c r="I7117" s="268"/>
      <c r="O7117" s="268"/>
    </row>
    <row r="7118" spans="9:15" x14ac:dyDescent="0.25">
      <c r="I7118" s="268"/>
      <c r="O7118" s="268"/>
    </row>
    <row r="7119" spans="9:15" x14ac:dyDescent="0.25">
      <c r="I7119" s="268"/>
      <c r="O7119" s="268"/>
    </row>
    <row r="7120" spans="9:15" x14ac:dyDescent="0.25">
      <c r="I7120" s="268"/>
      <c r="O7120" s="268"/>
    </row>
    <row r="7121" spans="9:15" x14ac:dyDescent="0.25">
      <c r="I7121" s="268"/>
      <c r="O7121" s="268"/>
    </row>
    <row r="7122" spans="9:15" x14ac:dyDescent="0.25">
      <c r="I7122" s="268"/>
      <c r="O7122" s="268"/>
    </row>
    <row r="7123" spans="9:15" x14ac:dyDescent="0.25">
      <c r="I7123" s="268"/>
      <c r="O7123" s="268"/>
    </row>
    <row r="7124" spans="9:15" x14ac:dyDescent="0.25">
      <c r="I7124" s="268"/>
      <c r="O7124" s="268"/>
    </row>
    <row r="7125" spans="9:15" x14ac:dyDescent="0.25">
      <c r="I7125" s="268"/>
      <c r="O7125" s="268"/>
    </row>
    <row r="7126" spans="9:15" x14ac:dyDescent="0.25">
      <c r="I7126" s="268"/>
      <c r="O7126" s="268"/>
    </row>
    <row r="7127" spans="9:15" x14ac:dyDescent="0.25">
      <c r="I7127" s="268"/>
      <c r="O7127" s="268"/>
    </row>
    <row r="7128" spans="9:15" x14ac:dyDescent="0.25">
      <c r="I7128" s="268"/>
      <c r="O7128" s="268"/>
    </row>
    <row r="7129" spans="9:15" x14ac:dyDescent="0.25">
      <c r="I7129" s="268"/>
      <c r="O7129" s="268"/>
    </row>
    <row r="7130" spans="9:15" x14ac:dyDescent="0.25">
      <c r="I7130" s="268"/>
      <c r="O7130" s="268"/>
    </row>
    <row r="7131" spans="9:15" x14ac:dyDescent="0.25">
      <c r="I7131" s="268"/>
      <c r="O7131" s="268"/>
    </row>
    <row r="7132" spans="9:15" x14ac:dyDescent="0.25">
      <c r="I7132" s="268"/>
      <c r="O7132" s="268"/>
    </row>
    <row r="7133" spans="9:15" x14ac:dyDescent="0.25">
      <c r="I7133" s="268"/>
      <c r="O7133" s="268"/>
    </row>
    <row r="7134" spans="9:15" x14ac:dyDescent="0.25">
      <c r="I7134" s="268"/>
      <c r="O7134" s="268"/>
    </row>
    <row r="7135" spans="9:15" x14ac:dyDescent="0.25">
      <c r="I7135" s="268"/>
      <c r="O7135" s="268"/>
    </row>
    <row r="7136" spans="9:15" x14ac:dyDescent="0.25">
      <c r="I7136" s="268"/>
      <c r="O7136" s="268"/>
    </row>
    <row r="7137" spans="9:15" x14ac:dyDescent="0.25">
      <c r="I7137" s="268"/>
      <c r="O7137" s="268"/>
    </row>
    <row r="7138" spans="9:15" x14ac:dyDescent="0.25">
      <c r="I7138" s="268"/>
      <c r="O7138" s="268"/>
    </row>
    <row r="7139" spans="9:15" x14ac:dyDescent="0.25">
      <c r="I7139" s="268"/>
      <c r="O7139" s="268"/>
    </row>
    <row r="7140" spans="9:15" x14ac:dyDescent="0.25">
      <c r="I7140" s="268"/>
      <c r="O7140" s="268"/>
    </row>
    <row r="7141" spans="9:15" x14ac:dyDescent="0.25">
      <c r="I7141" s="268"/>
      <c r="O7141" s="268"/>
    </row>
    <row r="7142" spans="9:15" x14ac:dyDescent="0.25">
      <c r="I7142" s="268"/>
      <c r="O7142" s="268"/>
    </row>
    <row r="7143" spans="9:15" x14ac:dyDescent="0.25">
      <c r="I7143" s="268"/>
      <c r="O7143" s="268"/>
    </row>
    <row r="7144" spans="9:15" x14ac:dyDescent="0.25">
      <c r="I7144" s="268"/>
      <c r="O7144" s="268"/>
    </row>
    <row r="7145" spans="9:15" x14ac:dyDescent="0.25">
      <c r="I7145" s="268"/>
      <c r="O7145" s="268"/>
    </row>
    <row r="7146" spans="9:15" x14ac:dyDescent="0.25">
      <c r="I7146" s="268"/>
      <c r="O7146" s="268"/>
    </row>
    <row r="7147" spans="9:15" x14ac:dyDescent="0.25">
      <c r="I7147" s="268"/>
      <c r="O7147" s="268"/>
    </row>
    <row r="7148" spans="9:15" x14ac:dyDescent="0.25">
      <c r="I7148" s="268"/>
      <c r="O7148" s="268"/>
    </row>
    <row r="7149" spans="9:15" x14ac:dyDescent="0.25">
      <c r="I7149" s="268"/>
      <c r="O7149" s="268"/>
    </row>
    <row r="7150" spans="9:15" x14ac:dyDescent="0.25">
      <c r="I7150" s="268"/>
      <c r="O7150" s="268"/>
    </row>
    <row r="7151" spans="9:15" x14ac:dyDescent="0.25">
      <c r="I7151" s="268"/>
      <c r="O7151" s="268"/>
    </row>
    <row r="7152" spans="9:15" x14ac:dyDescent="0.25">
      <c r="I7152" s="268"/>
      <c r="O7152" s="268"/>
    </row>
    <row r="7153" spans="9:15" x14ac:dyDescent="0.25">
      <c r="I7153" s="268"/>
      <c r="O7153" s="268"/>
    </row>
    <row r="7154" spans="9:15" x14ac:dyDescent="0.25">
      <c r="I7154" s="268"/>
      <c r="O7154" s="268"/>
    </row>
    <row r="7155" spans="9:15" x14ac:dyDescent="0.25">
      <c r="I7155" s="268"/>
      <c r="O7155" s="268"/>
    </row>
    <row r="7156" spans="9:15" x14ac:dyDescent="0.25">
      <c r="I7156" s="268"/>
      <c r="O7156" s="268"/>
    </row>
    <row r="7157" spans="9:15" x14ac:dyDescent="0.25">
      <c r="I7157" s="268"/>
      <c r="O7157" s="268"/>
    </row>
    <row r="7158" spans="9:15" x14ac:dyDescent="0.25">
      <c r="I7158" s="268"/>
      <c r="O7158" s="268"/>
    </row>
    <row r="7159" spans="9:15" x14ac:dyDescent="0.25">
      <c r="I7159" s="268"/>
      <c r="O7159" s="268"/>
    </row>
    <row r="7160" spans="9:15" x14ac:dyDescent="0.25">
      <c r="I7160" s="268"/>
      <c r="O7160" s="268"/>
    </row>
    <row r="7161" spans="9:15" x14ac:dyDescent="0.25">
      <c r="I7161" s="268"/>
      <c r="O7161" s="268"/>
    </row>
    <row r="7162" spans="9:15" x14ac:dyDescent="0.25">
      <c r="I7162" s="268"/>
      <c r="O7162" s="268"/>
    </row>
    <row r="7163" spans="9:15" x14ac:dyDescent="0.25">
      <c r="I7163" s="268"/>
      <c r="O7163" s="268"/>
    </row>
    <row r="7164" spans="9:15" x14ac:dyDescent="0.25">
      <c r="I7164" s="268"/>
      <c r="O7164" s="268"/>
    </row>
    <row r="7165" spans="9:15" x14ac:dyDescent="0.25">
      <c r="I7165" s="268"/>
      <c r="O7165" s="268"/>
    </row>
    <row r="7166" spans="9:15" x14ac:dyDescent="0.25">
      <c r="I7166" s="268"/>
      <c r="O7166" s="268"/>
    </row>
    <row r="7167" spans="9:15" x14ac:dyDescent="0.25">
      <c r="I7167" s="268"/>
      <c r="O7167" s="268"/>
    </row>
    <row r="7168" spans="9:15" x14ac:dyDescent="0.25">
      <c r="I7168" s="268"/>
      <c r="O7168" s="268"/>
    </row>
    <row r="7169" spans="9:15" x14ac:dyDescent="0.25">
      <c r="I7169" s="268"/>
      <c r="O7169" s="268"/>
    </row>
    <row r="7170" spans="9:15" x14ac:dyDescent="0.25">
      <c r="I7170" s="268"/>
      <c r="O7170" s="268"/>
    </row>
    <row r="7171" spans="9:15" x14ac:dyDescent="0.25">
      <c r="I7171" s="268"/>
      <c r="O7171" s="268"/>
    </row>
    <row r="7172" spans="9:15" x14ac:dyDescent="0.25">
      <c r="I7172" s="268"/>
      <c r="O7172" s="268"/>
    </row>
    <row r="7173" spans="9:15" x14ac:dyDescent="0.25">
      <c r="I7173" s="268"/>
      <c r="O7173" s="268"/>
    </row>
    <row r="7174" spans="9:15" x14ac:dyDescent="0.25">
      <c r="I7174" s="268"/>
      <c r="O7174" s="268"/>
    </row>
    <row r="7175" spans="9:15" x14ac:dyDescent="0.25">
      <c r="I7175" s="268"/>
      <c r="O7175" s="268"/>
    </row>
    <row r="7176" spans="9:15" x14ac:dyDescent="0.25">
      <c r="I7176" s="268"/>
      <c r="O7176" s="268"/>
    </row>
    <row r="7177" spans="9:15" x14ac:dyDescent="0.25">
      <c r="I7177" s="268"/>
      <c r="O7177" s="268"/>
    </row>
    <row r="7178" spans="9:15" x14ac:dyDescent="0.25">
      <c r="I7178" s="268"/>
      <c r="O7178" s="268"/>
    </row>
    <row r="7179" spans="9:15" x14ac:dyDescent="0.25">
      <c r="I7179" s="268"/>
      <c r="O7179" s="268"/>
    </row>
    <row r="7180" spans="9:15" x14ac:dyDescent="0.25">
      <c r="I7180" s="268"/>
      <c r="O7180" s="268"/>
    </row>
    <row r="7181" spans="9:15" x14ac:dyDescent="0.25">
      <c r="I7181" s="268"/>
      <c r="O7181" s="268"/>
    </row>
    <row r="7182" spans="9:15" x14ac:dyDescent="0.25">
      <c r="I7182" s="268"/>
      <c r="O7182" s="268"/>
    </row>
    <row r="7183" spans="9:15" x14ac:dyDescent="0.25">
      <c r="I7183" s="268"/>
      <c r="O7183" s="268"/>
    </row>
    <row r="7184" spans="9:15" x14ac:dyDescent="0.25">
      <c r="I7184" s="268"/>
      <c r="O7184" s="268"/>
    </row>
    <row r="7185" spans="9:15" x14ac:dyDescent="0.25">
      <c r="I7185" s="268"/>
      <c r="O7185" s="268"/>
    </row>
    <row r="7186" spans="9:15" x14ac:dyDescent="0.25">
      <c r="I7186" s="268"/>
      <c r="O7186" s="268"/>
    </row>
    <row r="7187" spans="9:15" x14ac:dyDescent="0.25">
      <c r="I7187" s="268"/>
      <c r="O7187" s="268"/>
    </row>
    <row r="7188" spans="9:15" x14ac:dyDescent="0.25">
      <c r="I7188" s="268"/>
      <c r="O7188" s="268"/>
    </row>
    <row r="7189" spans="9:15" x14ac:dyDescent="0.25">
      <c r="I7189" s="268"/>
      <c r="O7189" s="268"/>
    </row>
    <row r="7190" spans="9:15" x14ac:dyDescent="0.25">
      <c r="I7190" s="268"/>
      <c r="O7190" s="268"/>
    </row>
    <row r="7191" spans="9:15" x14ac:dyDescent="0.25">
      <c r="I7191" s="268"/>
      <c r="O7191" s="268"/>
    </row>
    <row r="7192" spans="9:15" x14ac:dyDescent="0.25">
      <c r="I7192" s="268"/>
      <c r="O7192" s="268"/>
    </row>
    <row r="7193" spans="9:15" x14ac:dyDescent="0.25">
      <c r="I7193" s="268"/>
      <c r="O7193" s="268"/>
    </row>
    <row r="7194" spans="9:15" x14ac:dyDescent="0.25">
      <c r="I7194" s="268"/>
      <c r="O7194" s="268"/>
    </row>
    <row r="7195" spans="9:15" x14ac:dyDescent="0.25">
      <c r="I7195" s="268"/>
      <c r="O7195" s="268"/>
    </row>
    <row r="7196" spans="9:15" x14ac:dyDescent="0.25">
      <c r="I7196" s="268"/>
      <c r="O7196" s="268"/>
    </row>
    <row r="7197" spans="9:15" x14ac:dyDescent="0.25">
      <c r="I7197" s="268"/>
      <c r="O7197" s="268"/>
    </row>
    <row r="7198" spans="9:15" x14ac:dyDescent="0.25">
      <c r="I7198" s="268"/>
      <c r="O7198" s="268"/>
    </row>
    <row r="7199" spans="9:15" x14ac:dyDescent="0.25">
      <c r="I7199" s="268"/>
      <c r="O7199" s="268"/>
    </row>
    <row r="7200" spans="9:15" x14ac:dyDescent="0.25">
      <c r="I7200" s="268"/>
      <c r="O7200" s="268"/>
    </row>
    <row r="7201" spans="9:15" x14ac:dyDescent="0.25">
      <c r="I7201" s="268"/>
      <c r="O7201" s="268"/>
    </row>
    <row r="7202" spans="9:15" x14ac:dyDescent="0.25">
      <c r="I7202" s="268"/>
      <c r="O7202" s="268"/>
    </row>
    <row r="7203" spans="9:15" x14ac:dyDescent="0.25">
      <c r="I7203" s="268"/>
      <c r="O7203" s="268"/>
    </row>
    <row r="7204" spans="9:15" x14ac:dyDescent="0.25">
      <c r="I7204" s="268"/>
      <c r="O7204" s="268"/>
    </row>
    <row r="7205" spans="9:15" x14ac:dyDescent="0.25">
      <c r="I7205" s="268"/>
      <c r="O7205" s="268"/>
    </row>
    <row r="7206" spans="9:15" x14ac:dyDescent="0.25">
      <c r="I7206" s="268"/>
      <c r="O7206" s="268"/>
    </row>
    <row r="7207" spans="9:15" x14ac:dyDescent="0.25">
      <c r="I7207" s="268"/>
      <c r="O7207" s="268"/>
    </row>
    <row r="7208" spans="9:15" x14ac:dyDescent="0.25">
      <c r="I7208" s="268"/>
      <c r="O7208" s="268"/>
    </row>
    <row r="7209" spans="9:15" x14ac:dyDescent="0.25">
      <c r="I7209" s="268"/>
      <c r="O7209" s="268"/>
    </row>
    <row r="7210" spans="9:15" x14ac:dyDescent="0.25">
      <c r="I7210" s="268"/>
      <c r="O7210" s="268"/>
    </row>
    <row r="7211" spans="9:15" x14ac:dyDescent="0.25">
      <c r="I7211" s="268"/>
      <c r="O7211" s="268"/>
    </row>
    <row r="7212" spans="9:15" x14ac:dyDescent="0.25">
      <c r="I7212" s="268"/>
      <c r="O7212" s="268"/>
    </row>
    <row r="7213" spans="9:15" x14ac:dyDescent="0.25">
      <c r="I7213" s="268"/>
      <c r="O7213" s="268"/>
    </row>
    <row r="7214" spans="9:15" x14ac:dyDescent="0.25">
      <c r="I7214" s="268"/>
      <c r="O7214" s="268"/>
    </row>
    <row r="7215" spans="9:15" x14ac:dyDescent="0.25">
      <c r="I7215" s="268"/>
      <c r="O7215" s="268"/>
    </row>
    <row r="7216" spans="9:15" x14ac:dyDescent="0.25">
      <c r="I7216" s="268"/>
      <c r="O7216" s="268"/>
    </row>
    <row r="7217" spans="9:15" x14ac:dyDescent="0.25">
      <c r="I7217" s="268"/>
      <c r="O7217" s="268"/>
    </row>
    <row r="7218" spans="9:15" x14ac:dyDescent="0.25">
      <c r="I7218" s="268"/>
      <c r="O7218" s="268"/>
    </row>
    <row r="7219" spans="9:15" x14ac:dyDescent="0.25">
      <c r="I7219" s="268"/>
      <c r="O7219" s="268"/>
    </row>
    <row r="7220" spans="9:15" x14ac:dyDescent="0.25">
      <c r="I7220" s="268"/>
      <c r="O7220" s="268"/>
    </row>
    <row r="7221" spans="9:15" x14ac:dyDescent="0.25">
      <c r="I7221" s="268"/>
      <c r="O7221" s="268"/>
    </row>
    <row r="7222" spans="9:15" x14ac:dyDescent="0.25">
      <c r="I7222" s="268"/>
      <c r="O7222" s="268"/>
    </row>
    <row r="7223" spans="9:15" x14ac:dyDescent="0.25">
      <c r="I7223" s="268"/>
      <c r="O7223" s="268"/>
    </row>
    <row r="7224" spans="9:15" x14ac:dyDescent="0.25">
      <c r="I7224" s="268"/>
      <c r="O7224" s="268"/>
    </row>
    <row r="7225" spans="9:15" x14ac:dyDescent="0.25">
      <c r="I7225" s="268"/>
      <c r="O7225" s="268"/>
    </row>
    <row r="7226" spans="9:15" x14ac:dyDescent="0.25">
      <c r="I7226" s="268"/>
      <c r="O7226" s="268"/>
    </row>
    <row r="7227" spans="9:15" x14ac:dyDescent="0.25">
      <c r="I7227" s="268"/>
      <c r="O7227" s="268"/>
    </row>
    <row r="7228" spans="9:15" x14ac:dyDescent="0.25">
      <c r="I7228" s="268"/>
      <c r="O7228" s="268"/>
    </row>
    <row r="7229" spans="9:15" x14ac:dyDescent="0.25">
      <c r="I7229" s="268"/>
      <c r="O7229" s="268"/>
    </row>
    <row r="7230" spans="9:15" x14ac:dyDescent="0.25">
      <c r="I7230" s="268"/>
      <c r="O7230" s="268"/>
    </row>
    <row r="7231" spans="9:15" x14ac:dyDescent="0.25">
      <c r="I7231" s="268"/>
      <c r="O7231" s="268"/>
    </row>
    <row r="7232" spans="9:15" x14ac:dyDescent="0.25">
      <c r="I7232" s="268"/>
      <c r="O7232" s="268"/>
    </row>
    <row r="7233" spans="9:15" x14ac:dyDescent="0.25">
      <c r="I7233" s="268"/>
      <c r="O7233" s="268"/>
    </row>
    <row r="7234" spans="9:15" x14ac:dyDescent="0.25">
      <c r="I7234" s="268"/>
      <c r="O7234" s="268"/>
    </row>
    <row r="7235" spans="9:15" x14ac:dyDescent="0.25">
      <c r="I7235" s="268"/>
      <c r="O7235" s="268"/>
    </row>
    <row r="7236" spans="9:15" x14ac:dyDescent="0.25">
      <c r="I7236" s="268"/>
      <c r="O7236" s="268"/>
    </row>
    <row r="7237" spans="9:15" x14ac:dyDescent="0.25">
      <c r="I7237" s="268"/>
      <c r="O7237" s="268"/>
    </row>
    <row r="7238" spans="9:15" x14ac:dyDescent="0.25">
      <c r="I7238" s="268"/>
      <c r="O7238" s="268"/>
    </row>
    <row r="7239" spans="9:15" x14ac:dyDescent="0.25">
      <c r="I7239" s="268"/>
      <c r="O7239" s="268"/>
    </row>
    <row r="7240" spans="9:15" x14ac:dyDescent="0.25">
      <c r="I7240" s="268"/>
      <c r="O7240" s="268"/>
    </row>
    <row r="7241" spans="9:15" x14ac:dyDescent="0.25">
      <c r="I7241" s="268"/>
      <c r="O7241" s="268"/>
    </row>
    <row r="7242" spans="9:15" x14ac:dyDescent="0.25">
      <c r="I7242" s="268"/>
      <c r="O7242" s="268"/>
    </row>
    <row r="7243" spans="9:15" x14ac:dyDescent="0.25">
      <c r="I7243" s="268"/>
      <c r="O7243" s="268"/>
    </row>
    <row r="7244" spans="9:15" x14ac:dyDescent="0.25">
      <c r="I7244" s="268"/>
      <c r="O7244" s="268"/>
    </row>
    <row r="7245" spans="9:15" x14ac:dyDescent="0.25">
      <c r="I7245" s="268"/>
      <c r="O7245" s="268"/>
    </row>
    <row r="7246" spans="9:15" x14ac:dyDescent="0.25">
      <c r="I7246" s="268"/>
      <c r="O7246" s="268"/>
    </row>
    <row r="7247" spans="9:15" x14ac:dyDescent="0.25">
      <c r="I7247" s="268"/>
      <c r="O7247" s="268"/>
    </row>
    <row r="7248" spans="9:15" x14ac:dyDescent="0.25">
      <c r="I7248" s="268"/>
      <c r="O7248" s="268"/>
    </row>
    <row r="7249" spans="9:15" x14ac:dyDescent="0.25">
      <c r="I7249" s="268"/>
      <c r="O7249" s="268"/>
    </row>
    <row r="7250" spans="9:15" x14ac:dyDescent="0.25">
      <c r="I7250" s="268"/>
      <c r="O7250" s="268"/>
    </row>
    <row r="7251" spans="9:15" x14ac:dyDescent="0.25">
      <c r="I7251" s="268"/>
      <c r="O7251" s="268"/>
    </row>
    <row r="7252" spans="9:15" x14ac:dyDescent="0.25">
      <c r="I7252" s="268"/>
      <c r="O7252" s="268"/>
    </row>
    <row r="7253" spans="9:15" x14ac:dyDescent="0.25">
      <c r="I7253" s="268"/>
      <c r="O7253" s="268"/>
    </row>
    <row r="7254" spans="9:15" x14ac:dyDescent="0.25">
      <c r="I7254" s="268"/>
      <c r="O7254" s="268"/>
    </row>
    <row r="7255" spans="9:15" x14ac:dyDescent="0.25">
      <c r="I7255" s="268"/>
      <c r="O7255" s="268"/>
    </row>
    <row r="7256" spans="9:15" x14ac:dyDescent="0.25">
      <c r="I7256" s="268"/>
      <c r="O7256" s="268"/>
    </row>
    <row r="7257" spans="9:15" x14ac:dyDescent="0.25">
      <c r="I7257" s="268"/>
      <c r="O7257" s="268"/>
    </row>
    <row r="7258" spans="9:15" x14ac:dyDescent="0.25">
      <c r="I7258" s="268"/>
      <c r="O7258" s="268"/>
    </row>
    <row r="7259" spans="9:15" x14ac:dyDescent="0.25">
      <c r="I7259" s="268"/>
      <c r="O7259" s="268"/>
    </row>
    <row r="7260" spans="9:15" x14ac:dyDescent="0.25">
      <c r="I7260" s="268"/>
      <c r="O7260" s="268"/>
    </row>
    <row r="7261" spans="9:15" x14ac:dyDescent="0.25">
      <c r="I7261" s="268"/>
      <c r="O7261" s="268"/>
    </row>
    <row r="7262" spans="9:15" x14ac:dyDescent="0.25">
      <c r="I7262" s="268"/>
      <c r="O7262" s="268"/>
    </row>
    <row r="7263" spans="9:15" x14ac:dyDescent="0.25">
      <c r="I7263" s="268"/>
      <c r="O7263" s="268"/>
    </row>
    <row r="7264" spans="9:15" x14ac:dyDescent="0.25">
      <c r="I7264" s="268"/>
      <c r="O7264" s="268"/>
    </row>
    <row r="7265" spans="9:15" x14ac:dyDescent="0.25">
      <c r="I7265" s="268"/>
      <c r="O7265" s="268"/>
    </row>
    <row r="7266" spans="9:15" x14ac:dyDescent="0.25">
      <c r="I7266" s="268"/>
      <c r="O7266" s="268"/>
    </row>
    <row r="7267" spans="9:15" x14ac:dyDescent="0.25">
      <c r="I7267" s="268"/>
      <c r="O7267" s="268"/>
    </row>
    <row r="7268" spans="9:15" x14ac:dyDescent="0.25">
      <c r="I7268" s="268"/>
      <c r="O7268" s="268"/>
    </row>
    <row r="7269" spans="9:15" x14ac:dyDescent="0.25">
      <c r="I7269" s="268"/>
      <c r="O7269" s="268"/>
    </row>
    <row r="7270" spans="9:15" x14ac:dyDescent="0.25">
      <c r="I7270" s="268"/>
      <c r="O7270" s="268"/>
    </row>
    <row r="7271" spans="9:15" x14ac:dyDescent="0.25">
      <c r="I7271" s="268"/>
      <c r="O7271" s="268"/>
    </row>
    <row r="7272" spans="9:15" x14ac:dyDescent="0.25">
      <c r="I7272" s="268"/>
      <c r="O7272" s="268"/>
    </row>
    <row r="7273" spans="9:15" x14ac:dyDescent="0.25">
      <c r="I7273" s="268"/>
      <c r="O7273" s="268"/>
    </row>
    <row r="7274" spans="9:15" x14ac:dyDescent="0.25">
      <c r="I7274" s="268"/>
      <c r="O7274" s="268"/>
    </row>
    <row r="7275" spans="9:15" x14ac:dyDescent="0.25">
      <c r="I7275" s="268"/>
      <c r="O7275" s="268"/>
    </row>
    <row r="7276" spans="9:15" x14ac:dyDescent="0.25">
      <c r="I7276" s="268"/>
      <c r="O7276" s="268"/>
    </row>
    <row r="7277" spans="9:15" x14ac:dyDescent="0.25">
      <c r="I7277" s="268"/>
      <c r="O7277" s="268"/>
    </row>
    <row r="7278" spans="9:15" x14ac:dyDescent="0.25">
      <c r="I7278" s="268"/>
      <c r="O7278" s="268"/>
    </row>
    <row r="7279" spans="9:15" x14ac:dyDescent="0.25">
      <c r="I7279" s="268"/>
      <c r="O7279" s="268"/>
    </row>
    <row r="7280" spans="9:15" x14ac:dyDescent="0.25">
      <c r="I7280" s="268"/>
      <c r="O7280" s="268"/>
    </row>
    <row r="7281" spans="9:15" x14ac:dyDescent="0.25">
      <c r="I7281" s="268"/>
      <c r="O7281" s="268"/>
    </row>
    <row r="7282" spans="9:15" x14ac:dyDescent="0.25">
      <c r="I7282" s="268"/>
      <c r="O7282" s="268"/>
    </row>
    <row r="7283" spans="9:15" x14ac:dyDescent="0.25">
      <c r="I7283" s="268"/>
      <c r="O7283" s="268"/>
    </row>
    <row r="7284" spans="9:15" x14ac:dyDescent="0.25">
      <c r="I7284" s="268"/>
      <c r="O7284" s="268"/>
    </row>
    <row r="7285" spans="9:15" x14ac:dyDescent="0.25">
      <c r="I7285" s="268"/>
      <c r="O7285" s="268"/>
    </row>
    <row r="7286" spans="9:15" x14ac:dyDescent="0.25">
      <c r="I7286" s="268"/>
      <c r="O7286" s="268"/>
    </row>
    <row r="7287" spans="9:15" x14ac:dyDescent="0.25">
      <c r="I7287" s="268"/>
      <c r="O7287" s="268"/>
    </row>
    <row r="7288" spans="9:15" x14ac:dyDescent="0.25">
      <c r="I7288" s="268"/>
      <c r="O7288" s="268"/>
    </row>
    <row r="7289" spans="9:15" x14ac:dyDescent="0.25">
      <c r="I7289" s="268"/>
      <c r="O7289" s="268"/>
    </row>
    <row r="7290" spans="9:15" x14ac:dyDescent="0.25">
      <c r="I7290" s="268"/>
      <c r="O7290" s="268"/>
    </row>
    <row r="7291" spans="9:15" x14ac:dyDescent="0.25">
      <c r="I7291" s="268"/>
      <c r="O7291" s="268"/>
    </row>
    <row r="7292" spans="9:15" x14ac:dyDescent="0.25">
      <c r="I7292" s="268"/>
      <c r="O7292" s="268"/>
    </row>
    <row r="7293" spans="9:15" x14ac:dyDescent="0.25">
      <c r="I7293" s="268"/>
      <c r="O7293" s="268"/>
    </row>
    <row r="7294" spans="9:15" x14ac:dyDescent="0.25">
      <c r="I7294" s="268"/>
      <c r="O7294" s="268"/>
    </row>
    <row r="7295" spans="9:15" x14ac:dyDescent="0.25">
      <c r="I7295" s="268"/>
      <c r="O7295" s="268"/>
    </row>
    <row r="7296" spans="9:15" x14ac:dyDescent="0.25">
      <c r="I7296" s="268"/>
      <c r="O7296" s="268"/>
    </row>
    <row r="7297" spans="9:15" x14ac:dyDescent="0.25">
      <c r="I7297" s="268"/>
      <c r="O7297" s="268"/>
    </row>
    <row r="7298" spans="9:15" x14ac:dyDescent="0.25">
      <c r="I7298" s="268"/>
      <c r="O7298" s="268"/>
    </row>
    <row r="7299" spans="9:15" x14ac:dyDescent="0.25">
      <c r="I7299" s="268"/>
      <c r="O7299" s="268"/>
    </row>
    <row r="7300" spans="9:15" x14ac:dyDescent="0.25">
      <c r="I7300" s="268"/>
      <c r="O7300" s="268"/>
    </row>
    <row r="7301" spans="9:15" x14ac:dyDescent="0.25">
      <c r="I7301" s="268"/>
      <c r="O7301" s="268"/>
    </row>
    <row r="7302" spans="9:15" x14ac:dyDescent="0.25">
      <c r="I7302" s="268"/>
      <c r="O7302" s="268"/>
    </row>
    <row r="7303" spans="9:15" x14ac:dyDescent="0.25">
      <c r="I7303" s="268"/>
      <c r="O7303" s="268"/>
    </row>
    <row r="7304" spans="9:15" x14ac:dyDescent="0.25">
      <c r="I7304" s="268"/>
      <c r="O7304" s="268"/>
    </row>
    <row r="7305" spans="9:15" x14ac:dyDescent="0.25">
      <c r="I7305" s="268"/>
      <c r="O7305" s="268"/>
    </row>
    <row r="7306" spans="9:15" x14ac:dyDescent="0.25">
      <c r="I7306" s="268"/>
      <c r="O7306" s="268"/>
    </row>
    <row r="7307" spans="9:15" x14ac:dyDescent="0.25">
      <c r="I7307" s="268"/>
      <c r="O7307" s="268"/>
    </row>
    <row r="7308" spans="9:15" x14ac:dyDescent="0.25">
      <c r="I7308" s="268"/>
      <c r="O7308" s="268"/>
    </row>
    <row r="7309" spans="9:15" x14ac:dyDescent="0.25">
      <c r="I7309" s="268"/>
      <c r="O7309" s="268"/>
    </row>
    <row r="7310" spans="9:15" x14ac:dyDescent="0.25">
      <c r="I7310" s="268"/>
      <c r="O7310" s="268"/>
    </row>
    <row r="7311" spans="9:15" x14ac:dyDescent="0.25">
      <c r="I7311" s="268"/>
      <c r="O7311" s="268"/>
    </row>
    <row r="7312" spans="9:15" x14ac:dyDescent="0.25">
      <c r="I7312" s="268"/>
      <c r="O7312" s="268"/>
    </row>
    <row r="7313" spans="9:15" x14ac:dyDescent="0.25">
      <c r="I7313" s="268"/>
      <c r="O7313" s="268"/>
    </row>
    <row r="7314" spans="9:15" x14ac:dyDescent="0.25">
      <c r="I7314" s="268"/>
      <c r="O7314" s="268"/>
    </row>
    <row r="7315" spans="9:15" x14ac:dyDescent="0.25">
      <c r="I7315" s="268"/>
      <c r="O7315" s="268"/>
    </row>
    <row r="7316" spans="9:15" x14ac:dyDescent="0.25">
      <c r="I7316" s="268"/>
      <c r="O7316" s="268"/>
    </row>
    <row r="7317" spans="9:15" x14ac:dyDescent="0.25">
      <c r="I7317" s="268"/>
      <c r="O7317" s="268"/>
    </row>
    <row r="7318" spans="9:15" x14ac:dyDescent="0.25">
      <c r="I7318" s="268"/>
      <c r="O7318" s="268"/>
    </row>
    <row r="7319" spans="9:15" x14ac:dyDescent="0.25">
      <c r="I7319" s="268"/>
      <c r="O7319" s="268"/>
    </row>
    <row r="7320" spans="9:15" x14ac:dyDescent="0.25">
      <c r="I7320" s="268"/>
      <c r="O7320" s="268"/>
    </row>
    <row r="7321" spans="9:15" x14ac:dyDescent="0.25">
      <c r="I7321" s="268"/>
      <c r="O7321" s="268"/>
    </row>
    <row r="7322" spans="9:15" x14ac:dyDescent="0.25">
      <c r="I7322" s="268"/>
      <c r="O7322" s="268"/>
    </row>
    <row r="7323" spans="9:15" x14ac:dyDescent="0.25">
      <c r="I7323" s="268"/>
      <c r="O7323" s="268"/>
    </row>
    <row r="7324" spans="9:15" x14ac:dyDescent="0.25">
      <c r="I7324" s="268"/>
      <c r="O7324" s="268"/>
    </row>
    <row r="7325" spans="9:15" x14ac:dyDescent="0.25">
      <c r="I7325" s="268"/>
      <c r="O7325" s="268"/>
    </row>
    <row r="7326" spans="9:15" x14ac:dyDescent="0.25">
      <c r="I7326" s="268"/>
      <c r="O7326" s="268"/>
    </row>
    <row r="7327" spans="9:15" x14ac:dyDescent="0.25">
      <c r="I7327" s="268"/>
      <c r="O7327" s="268"/>
    </row>
    <row r="7328" spans="9:15" x14ac:dyDescent="0.25">
      <c r="I7328" s="268"/>
      <c r="O7328" s="268"/>
    </row>
    <row r="7329" spans="9:15" x14ac:dyDescent="0.25">
      <c r="I7329" s="268"/>
      <c r="O7329" s="268"/>
    </row>
    <row r="7330" spans="9:15" x14ac:dyDescent="0.25">
      <c r="I7330" s="268"/>
      <c r="O7330" s="268"/>
    </row>
    <row r="7331" spans="9:15" x14ac:dyDescent="0.25">
      <c r="I7331" s="268"/>
      <c r="O7331" s="268"/>
    </row>
    <row r="7332" spans="9:15" x14ac:dyDescent="0.25">
      <c r="I7332" s="268"/>
      <c r="O7332" s="268"/>
    </row>
    <row r="7333" spans="9:15" x14ac:dyDescent="0.25">
      <c r="I7333" s="268"/>
      <c r="O7333" s="268"/>
    </row>
    <row r="7334" spans="9:15" x14ac:dyDescent="0.25">
      <c r="I7334" s="268"/>
      <c r="O7334" s="268"/>
    </row>
    <row r="7335" spans="9:15" x14ac:dyDescent="0.25">
      <c r="I7335" s="268"/>
      <c r="O7335" s="268"/>
    </row>
    <row r="7336" spans="9:15" x14ac:dyDescent="0.25">
      <c r="I7336" s="268"/>
      <c r="O7336" s="268"/>
    </row>
    <row r="7337" spans="9:15" x14ac:dyDescent="0.25">
      <c r="I7337" s="268"/>
      <c r="O7337" s="268"/>
    </row>
    <row r="7338" spans="9:15" x14ac:dyDescent="0.25">
      <c r="I7338" s="268"/>
      <c r="O7338" s="268"/>
    </row>
    <row r="7339" spans="9:15" x14ac:dyDescent="0.25">
      <c r="I7339" s="268"/>
      <c r="O7339" s="268"/>
    </row>
    <row r="7340" spans="9:15" x14ac:dyDescent="0.25">
      <c r="I7340" s="268"/>
      <c r="O7340" s="268"/>
    </row>
    <row r="7341" spans="9:15" x14ac:dyDescent="0.25">
      <c r="I7341" s="268"/>
      <c r="O7341" s="268"/>
    </row>
    <row r="7342" spans="9:15" x14ac:dyDescent="0.25">
      <c r="I7342" s="268"/>
      <c r="O7342" s="268"/>
    </row>
    <row r="7343" spans="9:15" x14ac:dyDescent="0.25">
      <c r="I7343" s="268"/>
      <c r="O7343" s="268"/>
    </row>
    <row r="7344" spans="9:15" x14ac:dyDescent="0.25">
      <c r="I7344" s="268"/>
      <c r="O7344" s="268"/>
    </row>
    <row r="7345" spans="9:15" x14ac:dyDescent="0.25">
      <c r="I7345" s="268"/>
      <c r="O7345" s="268"/>
    </row>
    <row r="7346" spans="9:15" x14ac:dyDescent="0.25">
      <c r="I7346" s="268"/>
      <c r="O7346" s="268"/>
    </row>
    <row r="7347" spans="9:15" x14ac:dyDescent="0.25">
      <c r="I7347" s="268"/>
      <c r="O7347" s="268"/>
    </row>
    <row r="7348" spans="9:15" x14ac:dyDescent="0.25">
      <c r="I7348" s="268"/>
      <c r="O7348" s="268"/>
    </row>
    <row r="7349" spans="9:15" x14ac:dyDescent="0.25">
      <c r="I7349" s="268"/>
      <c r="O7349" s="268"/>
    </row>
    <row r="7350" spans="9:15" x14ac:dyDescent="0.25">
      <c r="I7350" s="268"/>
      <c r="O7350" s="268"/>
    </row>
    <row r="7351" spans="9:15" x14ac:dyDescent="0.25">
      <c r="I7351" s="268"/>
      <c r="O7351" s="268"/>
    </row>
    <row r="7352" spans="9:15" x14ac:dyDescent="0.25">
      <c r="I7352" s="268"/>
      <c r="O7352" s="268"/>
    </row>
    <row r="7353" spans="9:15" x14ac:dyDescent="0.25">
      <c r="I7353" s="268"/>
      <c r="O7353" s="268"/>
    </row>
    <row r="7354" spans="9:15" x14ac:dyDescent="0.25">
      <c r="I7354" s="268"/>
      <c r="O7354" s="268"/>
    </row>
    <row r="7355" spans="9:15" x14ac:dyDescent="0.25">
      <c r="I7355" s="268"/>
      <c r="O7355" s="268"/>
    </row>
    <row r="7356" spans="9:15" x14ac:dyDescent="0.25">
      <c r="I7356" s="268"/>
      <c r="O7356" s="268"/>
    </row>
    <row r="7357" spans="9:15" x14ac:dyDescent="0.25">
      <c r="I7357" s="268"/>
      <c r="O7357" s="268"/>
    </row>
    <row r="7358" spans="9:15" x14ac:dyDescent="0.25">
      <c r="I7358" s="268"/>
      <c r="O7358" s="268"/>
    </row>
    <row r="7359" spans="9:15" x14ac:dyDescent="0.25">
      <c r="I7359" s="268"/>
      <c r="O7359" s="268"/>
    </row>
    <row r="7360" spans="9:15" x14ac:dyDescent="0.25">
      <c r="I7360" s="268"/>
      <c r="O7360" s="268"/>
    </row>
    <row r="7361" spans="9:15" x14ac:dyDescent="0.25">
      <c r="I7361" s="268"/>
      <c r="O7361" s="268"/>
    </row>
    <row r="7362" spans="9:15" x14ac:dyDescent="0.25">
      <c r="I7362" s="268"/>
      <c r="O7362" s="268"/>
    </row>
    <row r="7363" spans="9:15" x14ac:dyDescent="0.25">
      <c r="I7363" s="268"/>
      <c r="O7363" s="268"/>
    </row>
    <row r="7364" spans="9:15" x14ac:dyDescent="0.25">
      <c r="I7364" s="268"/>
      <c r="O7364" s="268"/>
    </row>
    <row r="7365" spans="9:15" x14ac:dyDescent="0.25">
      <c r="I7365" s="268"/>
      <c r="O7365" s="268"/>
    </row>
    <row r="7366" spans="9:15" x14ac:dyDescent="0.25">
      <c r="I7366" s="268"/>
      <c r="O7366" s="268"/>
    </row>
    <row r="7367" spans="9:15" x14ac:dyDescent="0.25">
      <c r="I7367" s="268"/>
      <c r="O7367" s="268"/>
    </row>
    <row r="7368" spans="9:15" x14ac:dyDescent="0.25">
      <c r="I7368" s="268"/>
      <c r="O7368" s="268"/>
    </row>
    <row r="7369" spans="9:15" x14ac:dyDescent="0.25">
      <c r="I7369" s="268"/>
      <c r="O7369" s="268"/>
    </row>
    <row r="7370" spans="9:15" x14ac:dyDescent="0.25">
      <c r="I7370" s="268"/>
      <c r="O7370" s="268"/>
    </row>
    <row r="7371" spans="9:15" x14ac:dyDescent="0.25">
      <c r="I7371" s="268"/>
      <c r="O7371" s="268"/>
    </row>
    <row r="7372" spans="9:15" x14ac:dyDescent="0.25">
      <c r="I7372" s="268"/>
      <c r="O7372" s="268"/>
    </row>
    <row r="7373" spans="9:15" x14ac:dyDescent="0.25">
      <c r="I7373" s="268"/>
      <c r="O7373" s="268"/>
    </row>
    <row r="7374" spans="9:15" x14ac:dyDescent="0.25">
      <c r="I7374" s="268"/>
      <c r="O7374" s="268"/>
    </row>
    <row r="7375" spans="9:15" x14ac:dyDescent="0.25">
      <c r="I7375" s="268"/>
      <c r="O7375" s="268"/>
    </row>
    <row r="7376" spans="9:15" x14ac:dyDescent="0.25">
      <c r="I7376" s="268"/>
      <c r="O7376" s="268"/>
    </row>
    <row r="7377" spans="9:15" x14ac:dyDescent="0.25">
      <c r="I7377" s="268"/>
      <c r="O7377" s="268"/>
    </row>
    <row r="7378" spans="9:15" x14ac:dyDescent="0.25">
      <c r="I7378" s="268"/>
      <c r="O7378" s="268"/>
    </row>
    <row r="7379" spans="9:15" x14ac:dyDescent="0.25">
      <c r="I7379" s="268"/>
      <c r="O7379" s="268"/>
    </row>
    <row r="7380" spans="9:15" x14ac:dyDescent="0.25">
      <c r="I7380" s="268"/>
      <c r="O7380" s="268"/>
    </row>
    <row r="7381" spans="9:15" x14ac:dyDescent="0.25">
      <c r="I7381" s="268"/>
      <c r="O7381" s="268"/>
    </row>
    <row r="7382" spans="9:15" x14ac:dyDescent="0.25">
      <c r="I7382" s="268"/>
      <c r="O7382" s="268"/>
    </row>
    <row r="7383" spans="9:15" x14ac:dyDescent="0.25">
      <c r="I7383" s="268"/>
      <c r="O7383" s="268"/>
    </row>
    <row r="7384" spans="9:15" x14ac:dyDescent="0.25">
      <c r="I7384" s="268"/>
      <c r="O7384" s="268"/>
    </row>
    <row r="7385" spans="9:15" x14ac:dyDescent="0.25">
      <c r="I7385" s="268"/>
      <c r="O7385" s="268"/>
    </row>
    <row r="7386" spans="9:15" x14ac:dyDescent="0.25">
      <c r="I7386" s="268"/>
      <c r="O7386" s="268"/>
    </row>
    <row r="7387" spans="9:15" x14ac:dyDescent="0.25">
      <c r="I7387" s="268"/>
      <c r="O7387" s="268"/>
    </row>
    <row r="7388" spans="9:15" x14ac:dyDescent="0.25">
      <c r="I7388" s="268"/>
      <c r="O7388" s="268"/>
    </row>
    <row r="7389" spans="9:15" x14ac:dyDescent="0.25">
      <c r="I7389" s="268"/>
      <c r="O7389" s="268"/>
    </row>
    <row r="7390" spans="9:15" x14ac:dyDescent="0.25">
      <c r="I7390" s="268"/>
      <c r="O7390" s="268"/>
    </row>
    <row r="7391" spans="9:15" x14ac:dyDescent="0.25">
      <c r="I7391" s="268"/>
      <c r="O7391" s="268"/>
    </row>
    <row r="7392" spans="9:15" x14ac:dyDescent="0.25">
      <c r="I7392" s="268"/>
      <c r="O7392" s="268"/>
    </row>
    <row r="7393" spans="9:15" x14ac:dyDescent="0.25">
      <c r="I7393" s="268"/>
      <c r="O7393" s="268"/>
    </row>
    <row r="7394" spans="9:15" x14ac:dyDescent="0.25">
      <c r="I7394" s="268"/>
      <c r="O7394" s="268"/>
    </row>
    <row r="7395" spans="9:15" x14ac:dyDescent="0.25">
      <c r="I7395" s="268"/>
      <c r="O7395" s="268"/>
    </row>
    <row r="7396" spans="9:15" x14ac:dyDescent="0.25">
      <c r="I7396" s="268"/>
      <c r="O7396" s="268"/>
    </row>
    <row r="7397" spans="9:15" x14ac:dyDescent="0.25">
      <c r="I7397" s="268"/>
      <c r="O7397" s="268"/>
    </row>
    <row r="7398" spans="9:15" x14ac:dyDescent="0.25">
      <c r="I7398" s="268"/>
      <c r="O7398" s="268"/>
    </row>
    <row r="7399" spans="9:15" x14ac:dyDescent="0.25">
      <c r="I7399" s="268"/>
      <c r="O7399" s="268"/>
    </row>
    <row r="7400" spans="9:15" x14ac:dyDescent="0.25">
      <c r="I7400" s="268"/>
      <c r="O7400" s="268"/>
    </row>
    <row r="7401" spans="9:15" x14ac:dyDescent="0.25">
      <c r="I7401" s="268"/>
      <c r="O7401" s="268"/>
    </row>
    <row r="7402" spans="9:15" x14ac:dyDescent="0.25">
      <c r="I7402" s="268"/>
      <c r="O7402" s="268"/>
    </row>
    <row r="7403" spans="9:15" x14ac:dyDescent="0.25">
      <c r="I7403" s="268"/>
      <c r="O7403" s="268"/>
    </row>
    <row r="7404" spans="9:15" x14ac:dyDescent="0.25">
      <c r="I7404" s="268"/>
      <c r="O7404" s="268"/>
    </row>
    <row r="7405" spans="9:15" x14ac:dyDescent="0.25">
      <c r="I7405" s="268"/>
      <c r="O7405" s="268"/>
    </row>
    <row r="7406" spans="9:15" x14ac:dyDescent="0.25">
      <c r="I7406" s="268"/>
      <c r="O7406" s="268"/>
    </row>
    <row r="7407" spans="9:15" x14ac:dyDescent="0.25">
      <c r="I7407" s="268"/>
      <c r="O7407" s="268"/>
    </row>
    <row r="7408" spans="9:15" x14ac:dyDescent="0.25">
      <c r="I7408" s="268"/>
      <c r="O7408" s="268"/>
    </row>
    <row r="7409" spans="9:15" x14ac:dyDescent="0.25">
      <c r="I7409" s="268"/>
      <c r="O7409" s="268"/>
    </row>
    <row r="7410" spans="9:15" x14ac:dyDescent="0.25">
      <c r="I7410" s="268"/>
      <c r="O7410" s="268"/>
    </row>
    <row r="7411" spans="9:15" x14ac:dyDescent="0.25">
      <c r="I7411" s="268"/>
      <c r="O7411" s="268"/>
    </row>
    <row r="7412" spans="9:15" x14ac:dyDescent="0.25">
      <c r="I7412" s="268"/>
      <c r="O7412" s="268"/>
    </row>
    <row r="7413" spans="9:15" x14ac:dyDescent="0.25">
      <c r="I7413" s="268"/>
      <c r="O7413" s="268"/>
    </row>
    <row r="7414" spans="9:15" x14ac:dyDescent="0.25">
      <c r="I7414" s="268"/>
      <c r="O7414" s="268"/>
    </row>
    <row r="7415" spans="9:15" x14ac:dyDescent="0.25">
      <c r="I7415" s="268"/>
      <c r="O7415" s="268"/>
    </row>
    <row r="7416" spans="9:15" x14ac:dyDescent="0.25">
      <c r="I7416" s="268"/>
      <c r="O7416" s="268"/>
    </row>
    <row r="7417" spans="9:15" x14ac:dyDescent="0.25">
      <c r="I7417" s="268"/>
      <c r="O7417" s="268"/>
    </row>
    <row r="7418" spans="9:15" x14ac:dyDescent="0.25">
      <c r="I7418" s="268"/>
      <c r="O7418" s="268"/>
    </row>
    <row r="7419" spans="9:15" x14ac:dyDescent="0.25">
      <c r="I7419" s="268"/>
      <c r="O7419" s="268"/>
    </row>
    <row r="7420" spans="9:15" x14ac:dyDescent="0.25">
      <c r="I7420" s="268"/>
      <c r="O7420" s="268"/>
    </row>
    <row r="7421" spans="9:15" x14ac:dyDescent="0.25">
      <c r="I7421" s="268"/>
      <c r="O7421" s="268"/>
    </row>
    <row r="7422" spans="9:15" x14ac:dyDescent="0.25">
      <c r="I7422" s="268"/>
      <c r="O7422" s="268"/>
    </row>
    <row r="7423" spans="9:15" x14ac:dyDescent="0.25">
      <c r="I7423" s="268"/>
      <c r="O7423" s="268"/>
    </row>
    <row r="7424" spans="9:15" x14ac:dyDescent="0.25">
      <c r="I7424" s="268"/>
      <c r="O7424" s="268"/>
    </row>
    <row r="7425" spans="9:15" x14ac:dyDescent="0.25">
      <c r="I7425" s="268"/>
      <c r="O7425" s="268"/>
    </row>
    <row r="7426" spans="9:15" x14ac:dyDescent="0.25">
      <c r="I7426" s="268"/>
      <c r="O7426" s="268"/>
    </row>
    <row r="7427" spans="9:15" x14ac:dyDescent="0.25">
      <c r="I7427" s="268"/>
      <c r="O7427" s="268"/>
    </row>
    <row r="7428" spans="9:15" x14ac:dyDescent="0.25">
      <c r="I7428" s="268"/>
      <c r="O7428" s="268"/>
    </row>
    <row r="7429" spans="9:15" x14ac:dyDescent="0.25">
      <c r="I7429" s="268"/>
      <c r="O7429" s="268"/>
    </row>
    <row r="7430" spans="9:15" x14ac:dyDescent="0.25">
      <c r="I7430" s="268"/>
      <c r="O7430" s="268"/>
    </row>
    <row r="7431" spans="9:15" x14ac:dyDescent="0.25">
      <c r="I7431" s="268"/>
      <c r="O7431" s="268"/>
    </row>
    <row r="7432" spans="9:15" x14ac:dyDescent="0.25">
      <c r="I7432" s="268"/>
      <c r="O7432" s="268"/>
    </row>
    <row r="7433" spans="9:15" x14ac:dyDescent="0.25">
      <c r="I7433" s="268"/>
      <c r="O7433" s="268"/>
    </row>
    <row r="7434" spans="9:15" x14ac:dyDescent="0.25">
      <c r="I7434" s="268"/>
      <c r="O7434" s="268"/>
    </row>
    <row r="7435" spans="9:15" x14ac:dyDescent="0.25">
      <c r="I7435" s="268"/>
      <c r="O7435" s="268"/>
    </row>
    <row r="7436" spans="9:15" x14ac:dyDescent="0.25">
      <c r="I7436" s="268"/>
      <c r="O7436" s="268"/>
    </row>
    <row r="7437" spans="9:15" x14ac:dyDescent="0.25">
      <c r="I7437" s="268"/>
      <c r="O7437" s="268"/>
    </row>
    <row r="7438" spans="9:15" x14ac:dyDescent="0.25">
      <c r="I7438" s="268"/>
      <c r="O7438" s="268"/>
    </row>
    <row r="7439" spans="9:15" x14ac:dyDescent="0.25">
      <c r="I7439" s="268"/>
      <c r="O7439" s="268"/>
    </row>
    <row r="7440" spans="9:15" x14ac:dyDescent="0.25">
      <c r="I7440" s="268"/>
      <c r="O7440" s="268"/>
    </row>
    <row r="7441" spans="9:15" x14ac:dyDescent="0.25">
      <c r="I7441" s="268"/>
      <c r="O7441" s="268"/>
    </row>
    <row r="7442" spans="9:15" x14ac:dyDescent="0.25">
      <c r="I7442" s="268"/>
      <c r="O7442" s="268"/>
    </row>
    <row r="7443" spans="9:15" x14ac:dyDescent="0.25">
      <c r="I7443" s="268"/>
      <c r="O7443" s="268"/>
    </row>
    <row r="7444" spans="9:15" x14ac:dyDescent="0.25">
      <c r="I7444" s="268"/>
      <c r="O7444" s="268"/>
    </row>
    <row r="7445" spans="9:15" x14ac:dyDescent="0.25">
      <c r="I7445" s="268"/>
      <c r="O7445" s="268"/>
    </row>
    <row r="7446" spans="9:15" x14ac:dyDescent="0.25">
      <c r="I7446" s="268"/>
      <c r="O7446" s="268"/>
    </row>
    <row r="7447" spans="9:15" x14ac:dyDescent="0.25">
      <c r="I7447" s="268"/>
      <c r="O7447" s="268"/>
    </row>
    <row r="7448" spans="9:15" x14ac:dyDescent="0.25">
      <c r="I7448" s="268"/>
      <c r="O7448" s="268"/>
    </row>
    <row r="7449" spans="9:15" x14ac:dyDescent="0.25">
      <c r="I7449" s="268"/>
      <c r="O7449" s="268"/>
    </row>
    <row r="7450" spans="9:15" x14ac:dyDescent="0.25">
      <c r="I7450" s="268"/>
      <c r="O7450" s="268"/>
    </row>
    <row r="7451" spans="9:15" x14ac:dyDescent="0.25">
      <c r="I7451" s="268"/>
      <c r="O7451" s="268"/>
    </row>
    <row r="7452" spans="9:15" x14ac:dyDescent="0.25">
      <c r="I7452" s="268"/>
      <c r="O7452" s="268"/>
    </row>
    <row r="7453" spans="9:15" x14ac:dyDescent="0.25">
      <c r="I7453" s="268"/>
      <c r="O7453" s="268"/>
    </row>
    <row r="7454" spans="9:15" x14ac:dyDescent="0.25">
      <c r="I7454" s="268"/>
      <c r="O7454" s="268"/>
    </row>
    <row r="7455" spans="9:15" x14ac:dyDescent="0.25">
      <c r="I7455" s="268"/>
      <c r="O7455" s="268"/>
    </row>
    <row r="7456" spans="9:15" x14ac:dyDescent="0.25">
      <c r="I7456" s="268"/>
      <c r="O7456" s="268"/>
    </row>
    <row r="7457" spans="9:15" x14ac:dyDescent="0.25">
      <c r="I7457" s="268"/>
      <c r="O7457" s="268"/>
    </row>
    <row r="7458" spans="9:15" x14ac:dyDescent="0.25">
      <c r="I7458" s="268"/>
      <c r="O7458" s="268"/>
    </row>
    <row r="7459" spans="9:15" x14ac:dyDescent="0.25">
      <c r="I7459" s="268"/>
      <c r="O7459" s="268"/>
    </row>
    <row r="7460" spans="9:15" x14ac:dyDescent="0.25">
      <c r="I7460" s="268"/>
      <c r="O7460" s="268"/>
    </row>
    <row r="7461" spans="9:15" x14ac:dyDescent="0.25">
      <c r="I7461" s="268"/>
      <c r="O7461" s="268"/>
    </row>
    <row r="7462" spans="9:15" x14ac:dyDescent="0.25">
      <c r="I7462" s="268"/>
      <c r="O7462" s="268"/>
    </row>
    <row r="7463" spans="9:15" x14ac:dyDescent="0.25">
      <c r="I7463" s="268"/>
      <c r="O7463" s="268"/>
    </row>
    <row r="7464" spans="9:15" x14ac:dyDescent="0.25">
      <c r="I7464" s="268"/>
      <c r="O7464" s="268"/>
    </row>
    <row r="7465" spans="9:15" x14ac:dyDescent="0.25">
      <c r="I7465" s="268"/>
      <c r="O7465" s="268"/>
    </row>
    <row r="7466" spans="9:15" x14ac:dyDescent="0.25">
      <c r="I7466" s="268"/>
      <c r="O7466" s="268"/>
    </row>
    <row r="7467" spans="9:15" x14ac:dyDescent="0.25">
      <c r="I7467" s="268"/>
      <c r="O7467" s="268"/>
    </row>
    <row r="7468" spans="9:15" x14ac:dyDescent="0.25">
      <c r="I7468" s="268"/>
      <c r="O7468" s="268"/>
    </row>
    <row r="7469" spans="9:15" x14ac:dyDescent="0.25">
      <c r="I7469" s="268"/>
      <c r="O7469" s="268"/>
    </row>
    <row r="7470" spans="9:15" x14ac:dyDescent="0.25">
      <c r="I7470" s="268"/>
      <c r="O7470" s="268"/>
    </row>
    <row r="7471" spans="9:15" x14ac:dyDescent="0.25">
      <c r="I7471" s="268"/>
      <c r="O7471" s="268"/>
    </row>
    <row r="7472" spans="9:15" x14ac:dyDescent="0.25">
      <c r="I7472" s="268"/>
      <c r="O7472" s="268"/>
    </row>
    <row r="7473" spans="9:15" x14ac:dyDescent="0.25">
      <c r="I7473" s="268"/>
      <c r="O7473" s="268"/>
    </row>
    <row r="7474" spans="9:15" x14ac:dyDescent="0.25">
      <c r="I7474" s="268"/>
      <c r="O7474" s="268"/>
    </row>
    <row r="7475" spans="9:15" x14ac:dyDescent="0.25">
      <c r="I7475" s="268"/>
      <c r="O7475" s="268"/>
    </row>
    <row r="7476" spans="9:15" x14ac:dyDescent="0.25">
      <c r="I7476" s="268"/>
      <c r="O7476" s="268"/>
    </row>
    <row r="7477" spans="9:15" x14ac:dyDescent="0.25">
      <c r="I7477" s="268"/>
      <c r="O7477" s="268"/>
    </row>
    <row r="7478" spans="9:15" x14ac:dyDescent="0.25">
      <c r="I7478" s="268"/>
      <c r="O7478" s="268"/>
    </row>
    <row r="7479" spans="9:15" x14ac:dyDescent="0.25">
      <c r="I7479" s="268"/>
      <c r="O7479" s="268"/>
    </row>
    <row r="7480" spans="9:15" x14ac:dyDescent="0.25">
      <c r="I7480" s="268"/>
      <c r="O7480" s="268"/>
    </row>
    <row r="7481" spans="9:15" x14ac:dyDescent="0.25">
      <c r="I7481" s="268"/>
      <c r="O7481" s="268"/>
    </row>
    <row r="7482" spans="9:15" x14ac:dyDescent="0.25">
      <c r="I7482" s="268"/>
      <c r="O7482" s="268"/>
    </row>
    <row r="7483" spans="9:15" x14ac:dyDescent="0.25">
      <c r="I7483" s="268"/>
      <c r="O7483" s="268"/>
    </row>
    <row r="7484" spans="9:15" x14ac:dyDescent="0.25">
      <c r="I7484" s="268"/>
      <c r="O7484" s="268"/>
    </row>
    <row r="7485" spans="9:15" x14ac:dyDescent="0.25">
      <c r="I7485" s="268"/>
      <c r="O7485" s="268"/>
    </row>
    <row r="7486" spans="9:15" x14ac:dyDescent="0.25">
      <c r="I7486" s="268"/>
      <c r="O7486" s="268"/>
    </row>
    <row r="7487" spans="9:15" x14ac:dyDescent="0.25">
      <c r="I7487" s="268"/>
      <c r="O7487" s="268"/>
    </row>
    <row r="7488" spans="9:15" x14ac:dyDescent="0.25">
      <c r="I7488" s="268"/>
      <c r="O7488" s="268"/>
    </row>
    <row r="7489" spans="9:15" x14ac:dyDescent="0.25">
      <c r="I7489" s="268"/>
      <c r="O7489" s="268"/>
    </row>
    <row r="7490" spans="9:15" x14ac:dyDescent="0.25">
      <c r="I7490" s="268"/>
      <c r="O7490" s="268"/>
    </row>
    <row r="7491" spans="9:15" x14ac:dyDescent="0.25">
      <c r="I7491" s="268"/>
      <c r="O7491" s="268"/>
    </row>
    <row r="7492" spans="9:15" x14ac:dyDescent="0.25">
      <c r="I7492" s="268"/>
      <c r="O7492" s="268"/>
    </row>
    <row r="7493" spans="9:15" x14ac:dyDescent="0.25">
      <c r="I7493" s="268"/>
      <c r="O7493" s="268"/>
    </row>
    <row r="7494" spans="9:15" x14ac:dyDescent="0.25">
      <c r="I7494" s="268"/>
      <c r="O7494" s="268"/>
    </row>
    <row r="7495" spans="9:15" x14ac:dyDescent="0.25">
      <c r="I7495" s="268"/>
      <c r="O7495" s="268"/>
    </row>
    <row r="7496" spans="9:15" x14ac:dyDescent="0.25">
      <c r="I7496" s="268"/>
      <c r="O7496" s="268"/>
    </row>
    <row r="7497" spans="9:15" x14ac:dyDescent="0.25">
      <c r="I7497" s="268"/>
      <c r="O7497" s="268"/>
    </row>
    <row r="7498" spans="9:15" x14ac:dyDescent="0.25">
      <c r="I7498" s="268"/>
      <c r="O7498" s="268"/>
    </row>
    <row r="7499" spans="9:15" x14ac:dyDescent="0.25">
      <c r="I7499" s="268"/>
      <c r="O7499" s="268"/>
    </row>
    <row r="7500" spans="9:15" x14ac:dyDescent="0.25">
      <c r="I7500" s="268"/>
      <c r="O7500" s="268"/>
    </row>
    <row r="7501" spans="9:15" x14ac:dyDescent="0.25">
      <c r="I7501" s="268"/>
      <c r="O7501" s="268"/>
    </row>
    <row r="7502" spans="9:15" x14ac:dyDescent="0.25">
      <c r="I7502" s="268"/>
      <c r="O7502" s="268"/>
    </row>
    <row r="7503" spans="9:15" x14ac:dyDescent="0.25">
      <c r="I7503" s="268"/>
      <c r="O7503" s="268"/>
    </row>
    <row r="7504" spans="9:15" x14ac:dyDescent="0.25">
      <c r="I7504" s="268"/>
      <c r="O7504" s="268"/>
    </row>
    <row r="7505" spans="9:15" x14ac:dyDescent="0.25">
      <c r="I7505" s="268"/>
      <c r="O7505" s="268"/>
    </row>
    <row r="7506" spans="9:15" x14ac:dyDescent="0.25">
      <c r="I7506" s="268"/>
      <c r="O7506" s="268"/>
    </row>
    <row r="7507" spans="9:15" x14ac:dyDescent="0.25">
      <c r="I7507" s="268"/>
      <c r="O7507" s="268"/>
    </row>
    <row r="7508" spans="9:15" x14ac:dyDescent="0.25">
      <c r="I7508" s="268"/>
      <c r="O7508" s="268"/>
    </row>
    <row r="7509" spans="9:15" x14ac:dyDescent="0.25">
      <c r="I7509" s="268"/>
      <c r="O7509" s="268"/>
    </row>
    <row r="7510" spans="9:15" x14ac:dyDescent="0.25">
      <c r="I7510" s="268"/>
      <c r="O7510" s="268"/>
    </row>
    <row r="7511" spans="9:15" x14ac:dyDescent="0.25">
      <c r="I7511" s="268"/>
      <c r="O7511" s="268"/>
    </row>
    <row r="7512" spans="9:15" x14ac:dyDescent="0.25">
      <c r="I7512" s="268"/>
      <c r="O7512" s="268"/>
    </row>
    <row r="7513" spans="9:15" x14ac:dyDescent="0.25">
      <c r="I7513" s="268"/>
      <c r="O7513" s="268"/>
    </row>
    <row r="7514" spans="9:15" x14ac:dyDescent="0.25">
      <c r="I7514" s="268"/>
      <c r="O7514" s="268"/>
    </row>
    <row r="7515" spans="9:15" x14ac:dyDescent="0.25">
      <c r="I7515" s="268"/>
      <c r="O7515" s="268"/>
    </row>
    <row r="7516" spans="9:15" x14ac:dyDescent="0.25">
      <c r="I7516" s="268"/>
      <c r="O7516" s="268"/>
    </row>
    <row r="7517" spans="9:15" x14ac:dyDescent="0.25">
      <c r="I7517" s="268"/>
      <c r="O7517" s="268"/>
    </row>
    <row r="7518" spans="9:15" x14ac:dyDescent="0.25">
      <c r="I7518" s="268"/>
      <c r="O7518" s="268"/>
    </row>
    <row r="7519" spans="9:15" x14ac:dyDescent="0.25">
      <c r="I7519" s="268"/>
      <c r="O7519" s="268"/>
    </row>
    <row r="7520" spans="9:15" x14ac:dyDescent="0.25">
      <c r="I7520" s="268"/>
      <c r="O7520" s="268"/>
    </row>
    <row r="7521" spans="9:15" x14ac:dyDescent="0.25">
      <c r="I7521" s="268"/>
      <c r="O7521" s="268"/>
    </row>
    <row r="7522" spans="9:15" x14ac:dyDescent="0.25">
      <c r="I7522" s="268"/>
      <c r="O7522" s="268"/>
    </row>
    <row r="7523" spans="9:15" x14ac:dyDescent="0.25">
      <c r="I7523" s="268"/>
      <c r="O7523" s="268"/>
    </row>
    <row r="7524" spans="9:15" x14ac:dyDescent="0.25">
      <c r="I7524" s="268"/>
      <c r="O7524" s="268"/>
    </row>
    <row r="7525" spans="9:15" x14ac:dyDescent="0.25">
      <c r="I7525" s="268"/>
      <c r="O7525" s="268"/>
    </row>
    <row r="7526" spans="9:15" x14ac:dyDescent="0.25">
      <c r="I7526" s="268"/>
      <c r="O7526" s="268"/>
    </row>
    <row r="7527" spans="9:15" x14ac:dyDescent="0.25">
      <c r="I7527" s="268"/>
      <c r="O7527" s="268"/>
    </row>
    <row r="7528" spans="9:15" x14ac:dyDescent="0.25">
      <c r="I7528" s="268"/>
      <c r="O7528" s="268"/>
    </row>
    <row r="7529" spans="9:15" x14ac:dyDescent="0.25">
      <c r="I7529" s="268"/>
      <c r="O7529" s="268"/>
    </row>
    <row r="7530" spans="9:15" x14ac:dyDescent="0.25">
      <c r="I7530" s="268"/>
      <c r="O7530" s="268"/>
    </row>
    <row r="7531" spans="9:15" x14ac:dyDescent="0.25">
      <c r="I7531" s="268"/>
      <c r="O7531" s="268"/>
    </row>
    <row r="7532" spans="9:15" x14ac:dyDescent="0.25">
      <c r="I7532" s="268"/>
      <c r="O7532" s="268"/>
    </row>
    <row r="7533" spans="9:15" x14ac:dyDescent="0.25">
      <c r="I7533" s="268"/>
      <c r="O7533" s="268"/>
    </row>
    <row r="7534" spans="9:15" x14ac:dyDescent="0.25">
      <c r="I7534" s="268"/>
      <c r="O7534" s="268"/>
    </row>
    <row r="7535" spans="9:15" x14ac:dyDescent="0.25">
      <c r="I7535" s="268"/>
      <c r="O7535" s="268"/>
    </row>
    <row r="7536" spans="9:15" x14ac:dyDescent="0.25">
      <c r="I7536" s="268"/>
      <c r="O7536" s="268"/>
    </row>
    <row r="7537" spans="9:15" x14ac:dyDescent="0.25">
      <c r="I7537" s="268"/>
      <c r="O7537" s="268"/>
    </row>
    <row r="7538" spans="9:15" x14ac:dyDescent="0.25">
      <c r="I7538" s="268"/>
      <c r="O7538" s="268"/>
    </row>
    <row r="7539" spans="9:15" x14ac:dyDescent="0.25">
      <c r="I7539" s="268"/>
      <c r="O7539" s="268"/>
    </row>
    <row r="7540" spans="9:15" x14ac:dyDescent="0.25">
      <c r="I7540" s="268"/>
      <c r="O7540" s="268"/>
    </row>
    <row r="7541" spans="9:15" x14ac:dyDescent="0.25">
      <c r="I7541" s="268"/>
      <c r="O7541" s="268"/>
    </row>
    <row r="7542" spans="9:15" x14ac:dyDescent="0.25">
      <c r="I7542" s="268"/>
      <c r="O7542" s="268"/>
    </row>
    <row r="7543" spans="9:15" x14ac:dyDescent="0.25">
      <c r="I7543" s="268"/>
      <c r="O7543" s="268"/>
    </row>
    <row r="7544" spans="9:15" x14ac:dyDescent="0.25">
      <c r="I7544" s="268"/>
      <c r="O7544" s="268"/>
    </row>
    <row r="7545" spans="9:15" x14ac:dyDescent="0.25">
      <c r="I7545" s="268"/>
      <c r="O7545" s="268"/>
    </row>
    <row r="7546" spans="9:15" x14ac:dyDescent="0.25">
      <c r="I7546" s="268"/>
      <c r="O7546" s="268"/>
    </row>
    <row r="7547" spans="9:15" x14ac:dyDescent="0.25">
      <c r="I7547" s="268"/>
      <c r="O7547" s="268"/>
    </row>
    <row r="7548" spans="9:15" x14ac:dyDescent="0.25">
      <c r="I7548" s="268"/>
      <c r="O7548" s="268"/>
    </row>
    <row r="7549" spans="9:15" x14ac:dyDescent="0.25">
      <c r="I7549" s="268"/>
      <c r="O7549" s="268"/>
    </row>
    <row r="7550" spans="9:15" x14ac:dyDescent="0.25">
      <c r="I7550" s="268"/>
      <c r="O7550" s="268"/>
    </row>
    <row r="7551" spans="9:15" x14ac:dyDescent="0.25">
      <c r="I7551" s="268"/>
      <c r="O7551" s="268"/>
    </row>
    <row r="7552" spans="9:15" x14ac:dyDescent="0.25">
      <c r="I7552" s="268"/>
      <c r="O7552" s="268"/>
    </row>
    <row r="7553" spans="9:15" x14ac:dyDescent="0.25">
      <c r="I7553" s="268"/>
      <c r="O7553" s="268"/>
    </row>
    <row r="7554" spans="9:15" x14ac:dyDescent="0.25">
      <c r="I7554" s="268"/>
      <c r="O7554" s="268"/>
    </row>
    <row r="7555" spans="9:15" x14ac:dyDescent="0.25">
      <c r="I7555" s="268"/>
      <c r="O7555" s="268"/>
    </row>
    <row r="7556" spans="9:15" x14ac:dyDescent="0.25">
      <c r="I7556" s="268"/>
      <c r="O7556" s="268"/>
    </row>
    <row r="7557" spans="9:15" x14ac:dyDescent="0.25">
      <c r="I7557" s="268"/>
      <c r="O7557" s="268"/>
    </row>
    <row r="7558" spans="9:15" x14ac:dyDescent="0.25">
      <c r="I7558" s="268"/>
      <c r="O7558" s="268"/>
    </row>
    <row r="7559" spans="9:15" x14ac:dyDescent="0.25">
      <c r="I7559" s="268"/>
      <c r="O7559" s="268"/>
    </row>
    <row r="7560" spans="9:15" x14ac:dyDescent="0.25">
      <c r="I7560" s="268"/>
      <c r="O7560" s="268"/>
    </row>
    <row r="7561" spans="9:15" x14ac:dyDescent="0.25">
      <c r="I7561" s="268"/>
      <c r="O7561" s="268"/>
    </row>
    <row r="7562" spans="9:15" x14ac:dyDescent="0.25">
      <c r="I7562" s="268"/>
      <c r="O7562" s="268"/>
    </row>
    <row r="7563" spans="9:15" x14ac:dyDescent="0.25">
      <c r="I7563" s="268"/>
      <c r="O7563" s="268"/>
    </row>
    <row r="7564" spans="9:15" x14ac:dyDescent="0.25">
      <c r="I7564" s="268"/>
      <c r="O7564" s="268"/>
    </row>
    <row r="7565" spans="9:15" x14ac:dyDescent="0.25">
      <c r="I7565" s="268"/>
      <c r="O7565" s="268"/>
    </row>
    <row r="7566" spans="9:15" x14ac:dyDescent="0.25">
      <c r="I7566" s="268"/>
      <c r="O7566" s="268"/>
    </row>
    <row r="7567" spans="9:15" x14ac:dyDescent="0.25">
      <c r="I7567" s="268"/>
      <c r="O7567" s="268"/>
    </row>
    <row r="7568" spans="9:15" x14ac:dyDescent="0.25">
      <c r="I7568" s="268"/>
      <c r="O7568" s="268"/>
    </row>
    <row r="7569" spans="9:15" x14ac:dyDescent="0.25">
      <c r="I7569" s="268"/>
      <c r="O7569" s="268"/>
    </row>
    <row r="7570" spans="9:15" x14ac:dyDescent="0.25">
      <c r="I7570" s="268"/>
      <c r="O7570" s="268"/>
    </row>
    <row r="7571" spans="9:15" x14ac:dyDescent="0.25">
      <c r="I7571" s="268"/>
      <c r="O7571" s="268"/>
    </row>
    <row r="7572" spans="9:15" x14ac:dyDescent="0.25">
      <c r="I7572" s="268"/>
      <c r="O7572" s="268"/>
    </row>
    <row r="7573" spans="9:15" x14ac:dyDescent="0.25">
      <c r="I7573" s="268"/>
      <c r="O7573" s="268"/>
    </row>
    <row r="7574" spans="9:15" x14ac:dyDescent="0.25">
      <c r="I7574" s="268"/>
      <c r="O7574" s="268"/>
    </row>
    <row r="7575" spans="9:15" x14ac:dyDescent="0.25">
      <c r="I7575" s="268"/>
      <c r="O7575" s="268"/>
    </row>
    <row r="7576" spans="9:15" x14ac:dyDescent="0.25">
      <c r="I7576" s="268"/>
      <c r="O7576" s="268"/>
    </row>
    <row r="7577" spans="9:15" x14ac:dyDescent="0.25">
      <c r="I7577" s="268"/>
      <c r="O7577" s="268"/>
    </row>
    <row r="7578" spans="9:15" x14ac:dyDescent="0.25">
      <c r="I7578" s="268"/>
      <c r="O7578" s="268"/>
    </row>
    <row r="7579" spans="9:15" x14ac:dyDescent="0.25">
      <c r="I7579" s="268"/>
      <c r="O7579" s="268"/>
    </row>
    <row r="7580" spans="9:15" x14ac:dyDescent="0.25">
      <c r="I7580" s="268"/>
      <c r="O7580" s="268"/>
    </row>
    <row r="7581" spans="9:15" x14ac:dyDescent="0.25">
      <c r="I7581" s="268"/>
      <c r="O7581" s="268"/>
    </row>
    <row r="7582" spans="9:15" x14ac:dyDescent="0.25">
      <c r="I7582" s="268"/>
      <c r="O7582" s="268"/>
    </row>
    <row r="7583" spans="9:15" x14ac:dyDescent="0.25">
      <c r="I7583" s="268"/>
      <c r="O7583" s="268"/>
    </row>
    <row r="7584" spans="9:15" x14ac:dyDescent="0.25">
      <c r="I7584" s="268"/>
      <c r="O7584" s="268"/>
    </row>
    <row r="7585" spans="9:15" x14ac:dyDescent="0.25">
      <c r="I7585" s="268"/>
      <c r="O7585" s="268"/>
    </row>
    <row r="7586" spans="9:15" x14ac:dyDescent="0.25">
      <c r="I7586" s="268"/>
      <c r="O7586" s="268"/>
    </row>
    <row r="7587" spans="9:15" x14ac:dyDescent="0.25">
      <c r="I7587" s="268"/>
      <c r="O7587" s="268"/>
    </row>
    <row r="7588" spans="9:15" x14ac:dyDescent="0.25">
      <c r="I7588" s="268"/>
      <c r="O7588" s="268"/>
    </row>
    <row r="7589" spans="9:15" x14ac:dyDescent="0.25">
      <c r="I7589" s="268"/>
      <c r="O7589" s="268"/>
    </row>
    <row r="7590" spans="9:15" x14ac:dyDescent="0.25">
      <c r="I7590" s="268"/>
      <c r="O7590" s="268"/>
    </row>
    <row r="7591" spans="9:15" x14ac:dyDescent="0.25">
      <c r="I7591" s="268"/>
      <c r="O7591" s="268"/>
    </row>
    <row r="7592" spans="9:15" x14ac:dyDescent="0.25">
      <c r="I7592" s="268"/>
      <c r="O7592" s="268"/>
    </row>
    <row r="7593" spans="9:15" x14ac:dyDescent="0.25">
      <c r="I7593" s="268"/>
      <c r="O7593" s="268"/>
    </row>
    <row r="7594" spans="9:15" x14ac:dyDescent="0.25">
      <c r="I7594" s="268"/>
      <c r="O7594" s="268"/>
    </row>
    <row r="7595" spans="9:15" x14ac:dyDescent="0.25">
      <c r="I7595" s="268"/>
      <c r="O7595" s="268"/>
    </row>
    <row r="7596" spans="9:15" x14ac:dyDescent="0.25">
      <c r="I7596" s="268"/>
      <c r="O7596" s="268"/>
    </row>
    <row r="7597" spans="9:15" x14ac:dyDescent="0.25">
      <c r="I7597" s="268"/>
      <c r="O7597" s="268"/>
    </row>
    <row r="7598" spans="9:15" x14ac:dyDescent="0.25">
      <c r="I7598" s="268"/>
      <c r="O7598" s="268"/>
    </row>
    <row r="7599" spans="9:15" x14ac:dyDescent="0.25">
      <c r="I7599" s="268"/>
      <c r="O7599" s="268"/>
    </row>
    <row r="7600" spans="9:15" x14ac:dyDescent="0.25">
      <c r="I7600" s="268"/>
      <c r="O7600" s="268"/>
    </row>
    <row r="7601" spans="9:15" x14ac:dyDescent="0.25">
      <c r="I7601" s="268"/>
      <c r="O7601" s="268"/>
    </row>
    <row r="7602" spans="9:15" x14ac:dyDescent="0.25">
      <c r="I7602" s="268"/>
      <c r="O7602" s="268"/>
    </row>
    <row r="7603" spans="9:15" x14ac:dyDescent="0.25">
      <c r="I7603" s="268"/>
      <c r="O7603" s="268"/>
    </row>
    <row r="7604" spans="9:15" x14ac:dyDescent="0.25">
      <c r="I7604" s="268"/>
      <c r="O7604" s="268"/>
    </row>
    <row r="7605" spans="9:15" x14ac:dyDescent="0.25">
      <c r="I7605" s="268"/>
      <c r="O7605" s="268"/>
    </row>
    <row r="7606" spans="9:15" x14ac:dyDescent="0.25">
      <c r="I7606" s="268"/>
      <c r="O7606" s="268"/>
    </row>
    <row r="7607" spans="9:15" x14ac:dyDescent="0.25">
      <c r="I7607" s="268"/>
      <c r="O7607" s="268"/>
    </row>
    <row r="7608" spans="9:15" x14ac:dyDescent="0.25">
      <c r="I7608" s="268"/>
      <c r="O7608" s="268"/>
    </row>
    <row r="7609" spans="9:15" x14ac:dyDescent="0.25">
      <c r="I7609" s="268"/>
      <c r="O7609" s="268"/>
    </row>
    <row r="7610" spans="9:15" x14ac:dyDescent="0.25">
      <c r="I7610" s="268"/>
      <c r="O7610" s="268"/>
    </row>
    <row r="7611" spans="9:15" x14ac:dyDescent="0.25">
      <c r="I7611" s="268"/>
      <c r="O7611" s="268"/>
    </row>
    <row r="7612" spans="9:15" x14ac:dyDescent="0.25">
      <c r="I7612" s="268"/>
      <c r="O7612" s="268"/>
    </row>
    <row r="7613" spans="9:15" x14ac:dyDescent="0.25">
      <c r="I7613" s="268"/>
      <c r="O7613" s="268"/>
    </row>
    <row r="7614" spans="9:15" x14ac:dyDescent="0.25">
      <c r="I7614" s="268"/>
      <c r="O7614" s="268"/>
    </row>
    <row r="7615" spans="9:15" x14ac:dyDescent="0.25">
      <c r="I7615" s="268"/>
      <c r="O7615" s="268"/>
    </row>
    <row r="7616" spans="9:15" x14ac:dyDescent="0.25">
      <c r="I7616" s="268"/>
      <c r="O7616" s="268"/>
    </row>
    <row r="7617" spans="9:15" x14ac:dyDescent="0.25">
      <c r="I7617" s="268"/>
      <c r="O7617" s="268"/>
    </row>
    <row r="7618" spans="9:15" x14ac:dyDescent="0.25">
      <c r="I7618" s="268"/>
      <c r="O7618" s="268"/>
    </row>
    <row r="7619" spans="9:15" x14ac:dyDescent="0.25">
      <c r="I7619" s="268"/>
      <c r="O7619" s="268"/>
    </row>
    <row r="7620" spans="9:15" x14ac:dyDescent="0.25">
      <c r="I7620" s="268"/>
      <c r="O7620" s="268"/>
    </row>
    <row r="7621" spans="9:15" x14ac:dyDescent="0.25">
      <c r="I7621" s="268"/>
      <c r="O7621" s="268"/>
    </row>
    <row r="7622" spans="9:15" x14ac:dyDescent="0.25">
      <c r="I7622" s="268"/>
      <c r="O7622" s="268"/>
    </row>
    <row r="7623" spans="9:15" x14ac:dyDescent="0.25">
      <c r="I7623" s="268"/>
      <c r="O7623" s="268"/>
    </row>
    <row r="7624" spans="9:15" x14ac:dyDescent="0.25">
      <c r="I7624" s="268"/>
      <c r="O7624" s="268"/>
    </row>
    <row r="7625" spans="9:15" x14ac:dyDescent="0.25">
      <c r="I7625" s="268"/>
      <c r="O7625" s="268"/>
    </row>
    <row r="7626" spans="9:15" x14ac:dyDescent="0.25">
      <c r="I7626" s="268"/>
      <c r="O7626" s="268"/>
    </row>
    <row r="7627" spans="9:15" x14ac:dyDescent="0.25">
      <c r="I7627" s="268"/>
      <c r="O7627" s="268"/>
    </row>
    <row r="7628" spans="9:15" x14ac:dyDescent="0.25">
      <c r="I7628" s="268"/>
      <c r="O7628" s="268"/>
    </row>
    <row r="7629" spans="9:15" x14ac:dyDescent="0.25">
      <c r="I7629" s="268"/>
      <c r="O7629" s="268"/>
    </row>
    <row r="7630" spans="9:15" x14ac:dyDescent="0.25">
      <c r="I7630" s="268"/>
      <c r="O7630" s="268"/>
    </row>
    <row r="7631" spans="9:15" x14ac:dyDescent="0.25">
      <c r="I7631" s="268"/>
      <c r="O7631" s="268"/>
    </row>
    <row r="7632" spans="9:15" x14ac:dyDescent="0.25">
      <c r="I7632" s="268"/>
      <c r="O7632" s="268"/>
    </row>
    <row r="7633" spans="9:15" x14ac:dyDescent="0.25">
      <c r="I7633" s="268"/>
      <c r="O7633" s="268"/>
    </row>
    <row r="7634" spans="9:15" x14ac:dyDescent="0.25">
      <c r="I7634" s="268"/>
      <c r="O7634" s="268"/>
    </row>
    <row r="7635" spans="9:15" x14ac:dyDescent="0.25">
      <c r="I7635" s="268"/>
      <c r="O7635" s="268"/>
    </row>
    <row r="7636" spans="9:15" x14ac:dyDescent="0.25">
      <c r="I7636" s="268"/>
      <c r="O7636" s="268"/>
    </row>
    <row r="7637" spans="9:15" x14ac:dyDescent="0.25">
      <c r="I7637" s="268"/>
      <c r="O7637" s="268"/>
    </row>
    <row r="7638" spans="9:15" x14ac:dyDescent="0.25">
      <c r="I7638" s="268"/>
      <c r="O7638" s="268"/>
    </row>
    <row r="7639" spans="9:15" x14ac:dyDescent="0.25">
      <c r="I7639" s="268"/>
      <c r="O7639" s="268"/>
    </row>
    <row r="7640" spans="9:15" x14ac:dyDescent="0.25">
      <c r="I7640" s="268"/>
      <c r="O7640" s="268"/>
    </row>
    <row r="7641" spans="9:15" x14ac:dyDescent="0.25">
      <c r="I7641" s="268"/>
      <c r="O7641" s="268"/>
    </row>
    <row r="7642" spans="9:15" x14ac:dyDescent="0.25">
      <c r="I7642" s="268"/>
      <c r="O7642" s="268"/>
    </row>
    <row r="7643" spans="9:15" x14ac:dyDescent="0.25">
      <c r="I7643" s="268"/>
      <c r="O7643" s="268"/>
    </row>
    <row r="7644" spans="9:15" x14ac:dyDescent="0.25">
      <c r="I7644" s="268"/>
      <c r="O7644" s="268"/>
    </row>
    <row r="7645" spans="9:15" x14ac:dyDescent="0.25">
      <c r="I7645" s="268"/>
      <c r="O7645" s="268"/>
    </row>
    <row r="7646" spans="9:15" x14ac:dyDescent="0.25">
      <c r="I7646" s="268"/>
      <c r="O7646" s="268"/>
    </row>
    <row r="7647" spans="9:15" x14ac:dyDescent="0.25">
      <c r="I7647" s="268"/>
      <c r="O7647" s="268"/>
    </row>
    <row r="7648" spans="9:15" x14ac:dyDescent="0.25">
      <c r="I7648" s="268"/>
      <c r="O7648" s="268"/>
    </row>
    <row r="7649" spans="9:15" x14ac:dyDescent="0.25">
      <c r="I7649" s="268"/>
      <c r="O7649" s="268"/>
    </row>
    <row r="7650" spans="9:15" x14ac:dyDescent="0.25">
      <c r="I7650" s="268"/>
      <c r="O7650" s="268"/>
    </row>
    <row r="7651" spans="9:15" x14ac:dyDescent="0.25">
      <c r="I7651" s="268"/>
      <c r="O7651" s="268"/>
    </row>
    <row r="7652" spans="9:15" x14ac:dyDescent="0.25">
      <c r="I7652" s="268"/>
      <c r="O7652" s="268"/>
    </row>
    <row r="7653" spans="9:15" x14ac:dyDescent="0.25">
      <c r="I7653" s="268"/>
      <c r="O7653" s="268"/>
    </row>
    <row r="7654" spans="9:15" x14ac:dyDescent="0.25">
      <c r="I7654" s="268"/>
      <c r="O7654" s="268"/>
    </row>
    <row r="7655" spans="9:15" x14ac:dyDescent="0.25">
      <c r="I7655" s="268"/>
      <c r="O7655" s="268"/>
    </row>
    <row r="7656" spans="9:15" x14ac:dyDescent="0.25">
      <c r="I7656" s="268"/>
      <c r="O7656" s="268"/>
    </row>
    <row r="7657" spans="9:15" x14ac:dyDescent="0.25">
      <c r="I7657" s="268"/>
      <c r="O7657" s="268"/>
    </row>
    <row r="7658" spans="9:15" x14ac:dyDescent="0.25">
      <c r="I7658" s="268"/>
      <c r="O7658" s="268"/>
    </row>
    <row r="7659" spans="9:15" x14ac:dyDescent="0.25">
      <c r="I7659" s="268"/>
      <c r="O7659" s="268"/>
    </row>
    <row r="7660" spans="9:15" x14ac:dyDescent="0.25">
      <c r="I7660" s="268"/>
      <c r="O7660" s="268"/>
    </row>
    <row r="7661" spans="9:15" x14ac:dyDescent="0.25">
      <c r="I7661" s="268"/>
      <c r="O7661" s="268"/>
    </row>
    <row r="7662" spans="9:15" x14ac:dyDescent="0.25">
      <c r="I7662" s="268"/>
      <c r="O7662" s="268"/>
    </row>
    <row r="7663" spans="9:15" x14ac:dyDescent="0.25">
      <c r="I7663" s="268"/>
      <c r="O7663" s="268"/>
    </row>
    <row r="7664" spans="9:15" x14ac:dyDescent="0.25">
      <c r="I7664" s="268"/>
      <c r="O7664" s="268"/>
    </row>
    <row r="7665" spans="9:15" x14ac:dyDescent="0.25">
      <c r="I7665" s="268"/>
      <c r="O7665" s="268"/>
    </row>
    <row r="7666" spans="9:15" x14ac:dyDescent="0.25">
      <c r="I7666" s="268"/>
      <c r="O7666" s="268"/>
    </row>
    <row r="7667" spans="9:15" x14ac:dyDescent="0.25">
      <c r="I7667" s="268"/>
      <c r="O7667" s="268"/>
    </row>
    <row r="7668" spans="9:15" x14ac:dyDescent="0.25">
      <c r="I7668" s="268"/>
      <c r="O7668" s="268"/>
    </row>
    <row r="7669" spans="9:15" x14ac:dyDescent="0.25">
      <c r="I7669" s="268"/>
      <c r="O7669" s="268"/>
    </row>
    <row r="7670" spans="9:15" x14ac:dyDescent="0.25">
      <c r="I7670" s="268"/>
      <c r="O7670" s="268"/>
    </row>
    <row r="7671" spans="9:15" x14ac:dyDescent="0.25">
      <c r="I7671" s="268"/>
      <c r="O7671" s="268"/>
    </row>
    <row r="7672" spans="9:15" x14ac:dyDescent="0.25">
      <c r="I7672" s="268"/>
      <c r="O7672" s="268"/>
    </row>
    <row r="7673" spans="9:15" x14ac:dyDescent="0.25">
      <c r="I7673" s="268"/>
      <c r="O7673" s="268"/>
    </row>
    <row r="7674" spans="9:15" x14ac:dyDescent="0.25">
      <c r="I7674" s="268"/>
      <c r="O7674" s="268"/>
    </row>
    <row r="7675" spans="9:15" x14ac:dyDescent="0.25">
      <c r="I7675" s="268"/>
      <c r="O7675" s="268"/>
    </row>
    <row r="7676" spans="9:15" x14ac:dyDescent="0.25">
      <c r="I7676" s="268"/>
      <c r="O7676" s="268"/>
    </row>
    <row r="7677" spans="9:15" x14ac:dyDescent="0.25">
      <c r="I7677" s="268"/>
      <c r="O7677" s="268"/>
    </row>
    <row r="7678" spans="9:15" x14ac:dyDescent="0.25">
      <c r="I7678" s="268"/>
      <c r="O7678" s="268"/>
    </row>
    <row r="7679" spans="9:15" x14ac:dyDescent="0.25">
      <c r="I7679" s="268"/>
      <c r="O7679" s="268"/>
    </row>
    <row r="7680" spans="9:15" x14ac:dyDescent="0.25">
      <c r="I7680" s="268"/>
      <c r="O7680" s="268"/>
    </row>
    <row r="7681" spans="9:15" x14ac:dyDescent="0.25">
      <c r="I7681" s="268"/>
      <c r="O7681" s="268"/>
    </row>
    <row r="7682" spans="9:15" x14ac:dyDescent="0.25">
      <c r="I7682" s="268"/>
      <c r="O7682" s="268"/>
    </row>
    <row r="7683" spans="9:15" x14ac:dyDescent="0.25">
      <c r="I7683" s="268"/>
      <c r="O7683" s="268"/>
    </row>
    <row r="7684" spans="9:15" x14ac:dyDescent="0.25">
      <c r="I7684" s="268"/>
      <c r="O7684" s="268"/>
    </row>
    <row r="7685" spans="9:15" x14ac:dyDescent="0.25">
      <c r="I7685" s="268"/>
      <c r="O7685" s="268"/>
    </row>
    <row r="7686" spans="9:15" x14ac:dyDescent="0.25">
      <c r="I7686" s="268"/>
      <c r="O7686" s="268"/>
    </row>
    <row r="7687" spans="9:15" x14ac:dyDescent="0.25">
      <c r="I7687" s="268"/>
      <c r="O7687" s="268"/>
    </row>
    <row r="7688" spans="9:15" x14ac:dyDescent="0.25">
      <c r="I7688" s="268"/>
      <c r="O7688" s="268"/>
    </row>
    <row r="7689" spans="9:15" x14ac:dyDescent="0.25">
      <c r="I7689" s="268"/>
      <c r="O7689" s="268"/>
    </row>
    <row r="7690" spans="9:15" x14ac:dyDescent="0.25">
      <c r="I7690" s="268"/>
      <c r="O7690" s="268"/>
    </row>
    <row r="7691" spans="9:15" x14ac:dyDescent="0.25">
      <c r="I7691" s="268"/>
      <c r="O7691" s="268"/>
    </row>
    <row r="7692" spans="9:15" x14ac:dyDescent="0.25">
      <c r="I7692" s="268"/>
      <c r="O7692" s="268"/>
    </row>
    <row r="7693" spans="9:15" x14ac:dyDescent="0.25">
      <c r="I7693" s="268"/>
      <c r="O7693" s="268"/>
    </row>
    <row r="7694" spans="9:15" x14ac:dyDescent="0.25">
      <c r="I7694" s="268"/>
      <c r="O7694" s="268"/>
    </row>
    <row r="7695" spans="9:15" x14ac:dyDescent="0.25">
      <c r="I7695" s="268"/>
      <c r="O7695" s="268"/>
    </row>
    <row r="7696" spans="9:15" x14ac:dyDescent="0.25">
      <c r="I7696" s="268"/>
      <c r="O7696" s="268"/>
    </row>
    <row r="7697" spans="9:15" x14ac:dyDescent="0.25">
      <c r="I7697" s="268"/>
      <c r="O7697" s="268"/>
    </row>
    <row r="7698" spans="9:15" x14ac:dyDescent="0.25">
      <c r="I7698" s="268"/>
      <c r="O7698" s="268"/>
    </row>
    <row r="7699" spans="9:15" x14ac:dyDescent="0.25">
      <c r="I7699" s="268"/>
      <c r="O7699" s="268"/>
    </row>
    <row r="7700" spans="9:15" x14ac:dyDescent="0.25">
      <c r="I7700" s="268"/>
      <c r="O7700" s="268"/>
    </row>
    <row r="7701" spans="9:15" x14ac:dyDescent="0.25">
      <c r="I7701" s="268"/>
      <c r="O7701" s="268"/>
    </row>
    <row r="7702" spans="9:15" x14ac:dyDescent="0.25">
      <c r="I7702" s="268"/>
      <c r="O7702" s="268"/>
    </row>
    <row r="7703" spans="9:15" x14ac:dyDescent="0.25">
      <c r="I7703" s="268"/>
      <c r="O7703" s="268"/>
    </row>
    <row r="7704" spans="9:15" x14ac:dyDescent="0.25">
      <c r="I7704" s="268"/>
      <c r="O7704" s="268"/>
    </row>
    <row r="7705" spans="9:15" x14ac:dyDescent="0.25">
      <c r="I7705" s="268"/>
      <c r="O7705" s="268"/>
    </row>
    <row r="7706" spans="9:15" x14ac:dyDescent="0.25">
      <c r="I7706" s="268"/>
      <c r="O7706" s="268"/>
    </row>
    <row r="7707" spans="9:15" x14ac:dyDescent="0.25">
      <c r="I7707" s="268"/>
      <c r="O7707" s="268"/>
    </row>
    <row r="7708" spans="9:15" x14ac:dyDescent="0.25">
      <c r="I7708" s="268"/>
      <c r="O7708" s="268"/>
    </row>
    <row r="7709" spans="9:15" x14ac:dyDescent="0.25">
      <c r="I7709" s="268"/>
      <c r="O7709" s="268"/>
    </row>
    <row r="7710" spans="9:15" x14ac:dyDescent="0.25">
      <c r="I7710" s="268"/>
      <c r="O7710" s="268"/>
    </row>
    <row r="7711" spans="9:15" x14ac:dyDescent="0.25">
      <c r="I7711" s="268"/>
      <c r="O7711" s="268"/>
    </row>
    <row r="7712" spans="9:15" x14ac:dyDescent="0.25">
      <c r="I7712" s="268"/>
      <c r="O7712" s="268"/>
    </row>
    <row r="7713" spans="9:15" x14ac:dyDescent="0.25">
      <c r="I7713" s="268"/>
      <c r="O7713" s="268"/>
    </row>
    <row r="7714" spans="9:15" x14ac:dyDescent="0.25">
      <c r="I7714" s="268"/>
      <c r="O7714" s="268"/>
    </row>
    <row r="7715" spans="9:15" x14ac:dyDescent="0.25">
      <c r="I7715" s="268"/>
      <c r="O7715" s="268"/>
    </row>
    <row r="7716" spans="9:15" x14ac:dyDescent="0.25">
      <c r="I7716" s="268"/>
      <c r="O7716" s="268"/>
    </row>
    <row r="7717" spans="9:15" x14ac:dyDescent="0.25">
      <c r="I7717" s="268"/>
      <c r="O7717" s="268"/>
    </row>
    <row r="7718" spans="9:15" x14ac:dyDescent="0.25">
      <c r="I7718" s="268"/>
      <c r="O7718" s="268"/>
    </row>
    <row r="7719" spans="9:15" x14ac:dyDescent="0.25">
      <c r="I7719" s="268"/>
      <c r="O7719" s="268"/>
    </row>
    <row r="7720" spans="9:15" x14ac:dyDescent="0.25">
      <c r="I7720" s="268"/>
      <c r="O7720" s="268"/>
    </row>
    <row r="7721" spans="9:15" x14ac:dyDescent="0.25">
      <c r="I7721" s="268"/>
      <c r="O7721" s="268"/>
    </row>
    <row r="7722" spans="9:15" x14ac:dyDescent="0.25">
      <c r="I7722" s="268"/>
      <c r="O7722" s="268"/>
    </row>
    <row r="7723" spans="9:15" x14ac:dyDescent="0.25">
      <c r="I7723" s="268"/>
      <c r="O7723" s="268"/>
    </row>
    <row r="7724" spans="9:15" x14ac:dyDescent="0.25">
      <c r="I7724" s="268"/>
      <c r="O7724" s="268"/>
    </row>
    <row r="7725" spans="9:15" x14ac:dyDescent="0.25">
      <c r="I7725" s="268"/>
      <c r="O7725" s="268"/>
    </row>
    <row r="7726" spans="9:15" x14ac:dyDescent="0.25">
      <c r="I7726" s="268"/>
      <c r="O7726" s="268"/>
    </row>
    <row r="7727" spans="9:15" x14ac:dyDescent="0.25">
      <c r="I7727" s="268"/>
      <c r="O7727" s="268"/>
    </row>
    <row r="7728" spans="9:15" x14ac:dyDescent="0.25">
      <c r="I7728" s="268"/>
      <c r="O7728" s="268"/>
    </row>
    <row r="7729" spans="9:15" x14ac:dyDescent="0.25">
      <c r="I7729" s="268"/>
      <c r="O7729" s="268"/>
    </row>
    <row r="7730" spans="9:15" x14ac:dyDescent="0.25">
      <c r="I7730" s="268"/>
      <c r="O7730" s="268"/>
    </row>
    <row r="7731" spans="9:15" x14ac:dyDescent="0.25">
      <c r="I7731" s="268"/>
      <c r="O7731" s="268"/>
    </row>
    <row r="7732" spans="9:15" x14ac:dyDescent="0.25">
      <c r="I7732" s="268"/>
      <c r="O7732" s="268"/>
    </row>
    <row r="7733" spans="9:15" x14ac:dyDescent="0.25">
      <c r="I7733" s="268"/>
      <c r="O7733" s="268"/>
    </row>
    <row r="7734" spans="9:15" x14ac:dyDescent="0.25">
      <c r="I7734" s="268"/>
      <c r="O7734" s="268"/>
    </row>
    <row r="7735" spans="9:15" x14ac:dyDescent="0.25">
      <c r="I7735" s="268"/>
      <c r="O7735" s="268"/>
    </row>
    <row r="7736" spans="9:15" x14ac:dyDescent="0.25">
      <c r="I7736" s="268"/>
      <c r="O7736" s="268"/>
    </row>
    <row r="7737" spans="9:15" x14ac:dyDescent="0.25">
      <c r="I7737" s="268"/>
      <c r="O7737" s="268"/>
    </row>
    <row r="7738" spans="9:15" x14ac:dyDescent="0.25">
      <c r="I7738" s="268"/>
      <c r="O7738" s="268"/>
    </row>
    <row r="7739" spans="9:15" x14ac:dyDescent="0.25">
      <c r="I7739" s="268"/>
      <c r="O7739" s="268"/>
    </row>
    <row r="7740" spans="9:15" x14ac:dyDescent="0.25">
      <c r="I7740" s="268"/>
      <c r="O7740" s="268"/>
    </row>
    <row r="7741" spans="9:15" x14ac:dyDescent="0.25">
      <c r="I7741" s="268"/>
      <c r="O7741" s="268"/>
    </row>
    <row r="7742" spans="9:15" x14ac:dyDescent="0.25">
      <c r="I7742" s="268"/>
      <c r="O7742" s="268"/>
    </row>
    <row r="7743" spans="9:15" x14ac:dyDescent="0.25">
      <c r="I7743" s="268"/>
      <c r="O7743" s="268"/>
    </row>
    <row r="7744" spans="9:15" x14ac:dyDescent="0.25">
      <c r="I7744" s="268"/>
      <c r="O7744" s="268"/>
    </row>
    <row r="7745" spans="9:15" x14ac:dyDescent="0.25">
      <c r="I7745" s="268"/>
      <c r="O7745" s="268"/>
    </row>
    <row r="7746" spans="9:15" x14ac:dyDescent="0.25">
      <c r="I7746" s="268"/>
      <c r="O7746" s="268"/>
    </row>
    <row r="7747" spans="9:15" x14ac:dyDescent="0.25">
      <c r="I7747" s="268"/>
      <c r="O7747" s="268"/>
    </row>
    <row r="7748" spans="9:15" x14ac:dyDescent="0.25">
      <c r="I7748" s="268"/>
      <c r="O7748" s="268"/>
    </row>
    <row r="7749" spans="9:15" x14ac:dyDescent="0.25">
      <c r="I7749" s="268"/>
      <c r="O7749" s="268"/>
    </row>
    <row r="7750" spans="9:15" x14ac:dyDescent="0.25">
      <c r="I7750" s="268"/>
      <c r="O7750" s="268"/>
    </row>
    <row r="7751" spans="9:15" x14ac:dyDescent="0.25">
      <c r="I7751" s="268"/>
      <c r="O7751" s="268"/>
    </row>
    <row r="7752" spans="9:15" x14ac:dyDescent="0.25">
      <c r="I7752" s="268"/>
      <c r="O7752" s="268"/>
    </row>
    <row r="7753" spans="9:15" x14ac:dyDescent="0.25">
      <c r="I7753" s="268"/>
      <c r="O7753" s="268"/>
    </row>
    <row r="7754" spans="9:15" x14ac:dyDescent="0.25">
      <c r="I7754" s="268"/>
      <c r="O7754" s="268"/>
    </row>
    <row r="7755" spans="9:15" x14ac:dyDescent="0.25">
      <c r="I7755" s="268"/>
      <c r="O7755" s="268"/>
    </row>
    <row r="7756" spans="9:15" x14ac:dyDescent="0.25">
      <c r="I7756" s="268"/>
      <c r="O7756" s="268"/>
    </row>
    <row r="7757" spans="9:15" x14ac:dyDescent="0.25">
      <c r="I7757" s="268"/>
      <c r="O7757" s="268"/>
    </row>
    <row r="7758" spans="9:15" x14ac:dyDescent="0.25">
      <c r="I7758" s="268"/>
      <c r="O7758" s="268"/>
    </row>
    <row r="7759" spans="9:15" x14ac:dyDescent="0.25">
      <c r="I7759" s="268"/>
      <c r="O7759" s="268"/>
    </row>
    <row r="7760" spans="9:15" x14ac:dyDescent="0.25">
      <c r="I7760" s="268"/>
      <c r="O7760" s="268"/>
    </row>
    <row r="7761" spans="9:15" x14ac:dyDescent="0.25">
      <c r="I7761" s="268"/>
      <c r="O7761" s="268"/>
    </row>
    <row r="7762" spans="9:15" x14ac:dyDescent="0.25">
      <c r="I7762" s="268"/>
      <c r="O7762" s="268"/>
    </row>
    <row r="7763" spans="9:15" x14ac:dyDescent="0.25">
      <c r="I7763" s="268"/>
      <c r="O7763" s="268"/>
    </row>
    <row r="7764" spans="9:15" x14ac:dyDescent="0.25">
      <c r="I7764" s="268"/>
      <c r="O7764" s="268"/>
    </row>
    <row r="7765" spans="9:15" x14ac:dyDescent="0.25">
      <c r="I7765" s="268"/>
      <c r="O7765" s="268"/>
    </row>
    <row r="7766" spans="9:15" x14ac:dyDescent="0.25">
      <c r="I7766" s="268"/>
      <c r="O7766" s="268"/>
    </row>
    <row r="7767" spans="9:15" x14ac:dyDescent="0.25">
      <c r="I7767" s="268"/>
      <c r="O7767" s="268"/>
    </row>
    <row r="7768" spans="9:15" x14ac:dyDescent="0.25">
      <c r="I7768" s="268"/>
      <c r="O7768" s="268"/>
    </row>
    <row r="7769" spans="9:15" x14ac:dyDescent="0.25">
      <c r="I7769" s="268"/>
      <c r="O7769" s="268"/>
    </row>
    <row r="7770" spans="9:15" x14ac:dyDescent="0.25">
      <c r="I7770" s="268"/>
      <c r="O7770" s="268"/>
    </row>
    <row r="7771" spans="9:15" x14ac:dyDescent="0.25">
      <c r="I7771" s="268"/>
      <c r="O7771" s="268"/>
    </row>
    <row r="7772" spans="9:15" x14ac:dyDescent="0.25">
      <c r="I7772" s="268"/>
      <c r="O7772" s="268"/>
    </row>
    <row r="7773" spans="9:15" x14ac:dyDescent="0.25">
      <c r="I7773" s="268"/>
      <c r="O7773" s="268"/>
    </row>
    <row r="7774" spans="9:15" x14ac:dyDescent="0.25">
      <c r="I7774" s="268"/>
      <c r="O7774" s="268"/>
    </row>
    <row r="7775" spans="9:15" x14ac:dyDescent="0.25">
      <c r="I7775" s="268"/>
      <c r="O7775" s="268"/>
    </row>
    <row r="7776" spans="9:15" x14ac:dyDescent="0.25">
      <c r="I7776" s="268"/>
      <c r="O7776" s="268"/>
    </row>
    <row r="7777" spans="9:15" x14ac:dyDescent="0.25">
      <c r="I7777" s="268"/>
      <c r="O7777" s="268"/>
    </row>
    <row r="7778" spans="9:15" x14ac:dyDescent="0.25">
      <c r="I7778" s="268"/>
      <c r="O7778" s="268"/>
    </row>
    <row r="7779" spans="9:15" x14ac:dyDescent="0.25">
      <c r="I7779" s="268"/>
      <c r="O7779" s="268"/>
    </row>
    <row r="7780" spans="9:15" x14ac:dyDescent="0.25">
      <c r="I7780" s="268"/>
      <c r="O7780" s="268"/>
    </row>
    <row r="7781" spans="9:15" x14ac:dyDescent="0.25">
      <c r="I7781" s="268"/>
      <c r="O7781" s="268"/>
    </row>
    <row r="7782" spans="9:15" x14ac:dyDescent="0.25">
      <c r="I7782" s="268"/>
      <c r="O7782" s="268"/>
    </row>
    <row r="7783" spans="9:15" x14ac:dyDescent="0.25">
      <c r="I7783" s="268"/>
      <c r="O7783" s="268"/>
    </row>
    <row r="7784" spans="9:15" x14ac:dyDescent="0.25">
      <c r="I7784" s="268"/>
      <c r="O7784" s="268"/>
    </row>
    <row r="7785" spans="9:15" x14ac:dyDescent="0.25">
      <c r="I7785" s="268"/>
      <c r="O7785" s="268"/>
    </row>
    <row r="7786" spans="9:15" x14ac:dyDescent="0.25">
      <c r="I7786" s="268"/>
      <c r="O7786" s="268"/>
    </row>
    <row r="7787" spans="9:15" x14ac:dyDescent="0.25">
      <c r="I7787" s="268"/>
      <c r="O7787" s="268"/>
    </row>
    <row r="7788" spans="9:15" x14ac:dyDescent="0.25">
      <c r="I7788" s="268"/>
      <c r="O7788" s="268"/>
    </row>
    <row r="7789" spans="9:15" x14ac:dyDescent="0.25">
      <c r="I7789" s="268"/>
      <c r="O7789" s="268"/>
    </row>
    <row r="7790" spans="9:15" x14ac:dyDescent="0.25">
      <c r="I7790" s="268"/>
      <c r="O7790" s="268"/>
    </row>
    <row r="7791" spans="9:15" x14ac:dyDescent="0.25">
      <c r="I7791" s="268"/>
      <c r="O7791" s="268"/>
    </row>
    <row r="7792" spans="9:15" x14ac:dyDescent="0.25">
      <c r="I7792" s="268"/>
      <c r="O7792" s="268"/>
    </row>
    <row r="7793" spans="9:15" x14ac:dyDescent="0.25">
      <c r="I7793" s="268"/>
      <c r="O7793" s="268"/>
    </row>
    <row r="7794" spans="9:15" x14ac:dyDescent="0.25">
      <c r="I7794" s="268"/>
      <c r="O7794" s="268"/>
    </row>
    <row r="7795" spans="9:15" x14ac:dyDescent="0.25">
      <c r="I7795" s="268"/>
      <c r="O7795" s="268"/>
    </row>
    <row r="7796" spans="9:15" x14ac:dyDescent="0.25">
      <c r="I7796" s="268"/>
      <c r="O7796" s="268"/>
    </row>
    <row r="7797" spans="9:15" x14ac:dyDescent="0.25">
      <c r="I7797" s="268"/>
      <c r="O7797" s="268"/>
    </row>
    <row r="7798" spans="9:15" x14ac:dyDescent="0.25">
      <c r="I7798" s="268"/>
      <c r="O7798" s="268"/>
    </row>
    <row r="7799" spans="9:15" x14ac:dyDescent="0.25">
      <c r="I7799" s="268"/>
      <c r="O7799" s="268"/>
    </row>
    <row r="7800" spans="9:15" x14ac:dyDescent="0.25">
      <c r="I7800" s="268"/>
      <c r="O7800" s="268"/>
    </row>
    <row r="7801" spans="9:15" x14ac:dyDescent="0.25">
      <c r="I7801" s="268"/>
      <c r="O7801" s="268"/>
    </row>
    <row r="7802" spans="9:15" x14ac:dyDescent="0.25">
      <c r="I7802" s="268"/>
      <c r="O7802" s="268"/>
    </row>
    <row r="7803" spans="9:15" x14ac:dyDescent="0.25">
      <c r="I7803" s="268"/>
      <c r="O7803" s="268"/>
    </row>
    <row r="7804" spans="9:15" x14ac:dyDescent="0.25">
      <c r="I7804" s="268"/>
      <c r="O7804" s="268"/>
    </row>
    <row r="7805" spans="9:15" x14ac:dyDescent="0.25">
      <c r="I7805" s="268"/>
      <c r="O7805" s="268"/>
    </row>
    <row r="7806" spans="9:15" x14ac:dyDescent="0.25">
      <c r="I7806" s="268"/>
      <c r="O7806" s="268"/>
    </row>
    <row r="7807" spans="9:15" x14ac:dyDescent="0.25">
      <c r="I7807" s="268"/>
      <c r="O7807" s="268"/>
    </row>
    <row r="7808" spans="9:15" x14ac:dyDescent="0.25">
      <c r="I7808" s="268"/>
      <c r="O7808" s="268"/>
    </row>
    <row r="7809" spans="9:15" x14ac:dyDescent="0.25">
      <c r="I7809" s="268"/>
      <c r="O7809" s="268"/>
    </row>
    <row r="7810" spans="9:15" x14ac:dyDescent="0.25">
      <c r="I7810" s="268"/>
      <c r="O7810" s="268"/>
    </row>
    <row r="7811" spans="9:15" x14ac:dyDescent="0.25">
      <c r="I7811" s="268"/>
      <c r="O7811" s="268"/>
    </row>
    <row r="7812" spans="9:15" x14ac:dyDescent="0.25">
      <c r="I7812" s="268"/>
      <c r="O7812" s="268"/>
    </row>
    <row r="7813" spans="9:15" x14ac:dyDescent="0.25">
      <c r="I7813" s="268"/>
      <c r="O7813" s="268"/>
    </row>
    <row r="7814" spans="9:15" x14ac:dyDescent="0.25">
      <c r="I7814" s="268"/>
      <c r="O7814" s="268"/>
    </row>
    <row r="7815" spans="9:15" x14ac:dyDescent="0.25">
      <c r="I7815" s="268"/>
      <c r="O7815" s="268"/>
    </row>
    <row r="7816" spans="9:15" x14ac:dyDescent="0.25">
      <c r="I7816" s="268"/>
      <c r="O7816" s="268"/>
    </row>
    <row r="7817" spans="9:15" x14ac:dyDescent="0.25">
      <c r="I7817" s="268"/>
      <c r="O7817" s="268"/>
    </row>
    <row r="7818" spans="9:15" x14ac:dyDescent="0.25">
      <c r="I7818" s="268"/>
      <c r="O7818" s="268"/>
    </row>
    <row r="7819" spans="9:15" x14ac:dyDescent="0.25">
      <c r="I7819" s="268"/>
      <c r="O7819" s="268"/>
    </row>
    <row r="7820" spans="9:15" x14ac:dyDescent="0.25">
      <c r="I7820" s="268"/>
      <c r="O7820" s="268"/>
    </row>
    <row r="7821" spans="9:15" x14ac:dyDescent="0.25">
      <c r="I7821" s="268"/>
      <c r="O7821" s="268"/>
    </row>
    <row r="7822" spans="9:15" x14ac:dyDescent="0.25">
      <c r="I7822" s="268"/>
      <c r="O7822" s="268"/>
    </row>
    <row r="7823" spans="9:15" x14ac:dyDescent="0.25">
      <c r="I7823" s="268"/>
      <c r="O7823" s="268"/>
    </row>
    <row r="7824" spans="9:15" x14ac:dyDescent="0.25">
      <c r="I7824" s="268"/>
      <c r="O7824" s="268"/>
    </row>
    <row r="7825" spans="9:15" x14ac:dyDescent="0.25">
      <c r="I7825" s="268"/>
      <c r="O7825" s="268"/>
    </row>
    <row r="7826" spans="9:15" x14ac:dyDescent="0.25">
      <c r="I7826" s="268"/>
      <c r="O7826" s="268"/>
    </row>
    <row r="7827" spans="9:15" x14ac:dyDescent="0.25">
      <c r="I7827" s="268"/>
      <c r="O7827" s="268"/>
    </row>
    <row r="7828" spans="9:15" x14ac:dyDescent="0.25">
      <c r="I7828" s="268"/>
      <c r="O7828" s="268"/>
    </row>
    <row r="7829" spans="9:15" x14ac:dyDescent="0.25">
      <c r="I7829" s="268"/>
      <c r="O7829" s="268"/>
    </row>
    <row r="7830" spans="9:15" x14ac:dyDescent="0.25">
      <c r="I7830" s="268"/>
      <c r="O7830" s="268"/>
    </row>
    <row r="7831" spans="9:15" x14ac:dyDescent="0.25">
      <c r="I7831" s="268"/>
      <c r="O7831" s="268"/>
    </row>
    <row r="7832" spans="9:15" x14ac:dyDescent="0.25">
      <c r="I7832" s="268"/>
      <c r="O7832" s="268"/>
    </row>
    <row r="7833" spans="9:15" x14ac:dyDescent="0.25">
      <c r="I7833" s="268"/>
      <c r="O7833" s="268"/>
    </row>
    <row r="7834" spans="9:15" x14ac:dyDescent="0.25">
      <c r="I7834" s="268"/>
      <c r="O7834" s="268"/>
    </row>
    <row r="7835" spans="9:15" x14ac:dyDescent="0.25">
      <c r="I7835" s="268"/>
      <c r="O7835" s="268"/>
    </row>
    <row r="7836" spans="9:15" x14ac:dyDescent="0.25">
      <c r="I7836" s="268"/>
      <c r="O7836" s="268"/>
    </row>
    <row r="7837" spans="9:15" x14ac:dyDescent="0.25">
      <c r="I7837" s="268"/>
      <c r="O7837" s="268"/>
    </row>
    <row r="7838" spans="9:15" x14ac:dyDescent="0.25">
      <c r="I7838" s="268"/>
      <c r="O7838" s="268"/>
    </row>
    <row r="7839" spans="9:15" x14ac:dyDescent="0.25">
      <c r="I7839" s="268"/>
      <c r="O7839" s="268"/>
    </row>
    <row r="7840" spans="9:15" x14ac:dyDescent="0.25">
      <c r="I7840" s="268"/>
      <c r="O7840" s="268"/>
    </row>
    <row r="7841" spans="9:15" x14ac:dyDescent="0.25">
      <c r="I7841" s="268"/>
      <c r="O7841" s="268"/>
    </row>
    <row r="7842" spans="9:15" x14ac:dyDescent="0.25">
      <c r="I7842" s="268"/>
      <c r="O7842" s="268"/>
    </row>
    <row r="7843" spans="9:15" x14ac:dyDescent="0.25">
      <c r="I7843" s="268"/>
      <c r="O7843" s="268"/>
    </row>
    <row r="7844" spans="9:15" x14ac:dyDescent="0.25">
      <c r="I7844" s="268"/>
      <c r="O7844" s="268"/>
    </row>
    <row r="7845" spans="9:15" x14ac:dyDescent="0.25">
      <c r="I7845" s="268"/>
      <c r="O7845" s="268"/>
    </row>
    <row r="7846" spans="9:15" x14ac:dyDescent="0.25">
      <c r="I7846" s="268"/>
      <c r="O7846" s="268"/>
    </row>
    <row r="7847" spans="9:15" x14ac:dyDescent="0.25">
      <c r="I7847" s="268"/>
      <c r="O7847" s="268"/>
    </row>
    <row r="7848" spans="9:15" x14ac:dyDescent="0.25">
      <c r="I7848" s="268"/>
      <c r="O7848" s="268"/>
    </row>
    <row r="7849" spans="9:15" x14ac:dyDescent="0.25">
      <c r="I7849" s="268"/>
      <c r="O7849" s="268"/>
    </row>
    <row r="7850" spans="9:15" x14ac:dyDescent="0.25">
      <c r="I7850" s="268"/>
      <c r="O7850" s="268"/>
    </row>
    <row r="7851" spans="9:15" x14ac:dyDescent="0.25">
      <c r="I7851" s="268"/>
      <c r="O7851" s="268"/>
    </row>
    <row r="7852" spans="9:15" x14ac:dyDescent="0.25">
      <c r="I7852" s="268"/>
      <c r="O7852" s="268"/>
    </row>
    <row r="7853" spans="9:15" x14ac:dyDescent="0.25">
      <c r="I7853" s="268"/>
      <c r="O7853" s="268"/>
    </row>
    <row r="7854" spans="9:15" x14ac:dyDescent="0.25">
      <c r="I7854" s="268"/>
      <c r="O7854" s="268"/>
    </row>
    <row r="7855" spans="9:15" x14ac:dyDescent="0.25">
      <c r="I7855" s="268"/>
      <c r="O7855" s="268"/>
    </row>
    <row r="7856" spans="9:15" x14ac:dyDescent="0.25">
      <c r="I7856" s="268"/>
      <c r="O7856" s="268"/>
    </row>
    <row r="7857" spans="9:15" x14ac:dyDescent="0.25">
      <c r="I7857" s="268"/>
      <c r="O7857" s="268"/>
    </row>
    <row r="7858" spans="9:15" x14ac:dyDescent="0.25">
      <c r="I7858" s="268"/>
      <c r="O7858" s="268"/>
    </row>
    <row r="7859" spans="9:15" x14ac:dyDescent="0.25">
      <c r="I7859" s="268"/>
      <c r="O7859" s="268"/>
    </row>
    <row r="7860" spans="9:15" x14ac:dyDescent="0.25">
      <c r="I7860" s="268"/>
      <c r="O7860" s="268"/>
    </row>
    <row r="7861" spans="9:15" x14ac:dyDescent="0.25">
      <c r="I7861" s="268"/>
      <c r="O7861" s="268"/>
    </row>
    <row r="7862" spans="9:15" x14ac:dyDescent="0.25">
      <c r="I7862" s="268"/>
      <c r="O7862" s="268"/>
    </row>
    <row r="7863" spans="9:15" x14ac:dyDescent="0.25">
      <c r="I7863" s="268"/>
      <c r="O7863" s="268"/>
    </row>
    <row r="7864" spans="9:15" x14ac:dyDescent="0.25">
      <c r="I7864" s="268"/>
      <c r="O7864" s="268"/>
    </row>
    <row r="7865" spans="9:15" x14ac:dyDescent="0.25">
      <c r="I7865" s="268"/>
      <c r="O7865" s="268"/>
    </row>
    <row r="7866" spans="9:15" x14ac:dyDescent="0.25">
      <c r="I7866" s="268"/>
      <c r="O7866" s="268"/>
    </row>
    <row r="7867" spans="9:15" x14ac:dyDescent="0.25">
      <c r="I7867" s="268"/>
      <c r="O7867" s="268"/>
    </row>
    <row r="7868" spans="9:15" x14ac:dyDescent="0.25">
      <c r="I7868" s="268"/>
      <c r="O7868" s="268"/>
    </row>
    <row r="7869" spans="9:15" x14ac:dyDescent="0.25">
      <c r="I7869" s="268"/>
      <c r="O7869" s="268"/>
    </row>
    <row r="7870" spans="9:15" x14ac:dyDescent="0.25">
      <c r="I7870" s="268"/>
      <c r="O7870" s="268"/>
    </row>
    <row r="7871" spans="9:15" x14ac:dyDescent="0.25">
      <c r="I7871" s="268"/>
      <c r="O7871" s="268"/>
    </row>
    <row r="7872" spans="9:15" x14ac:dyDescent="0.25">
      <c r="I7872" s="268"/>
      <c r="O7872" s="268"/>
    </row>
    <row r="7873" spans="9:15" x14ac:dyDescent="0.25">
      <c r="I7873" s="268"/>
      <c r="O7873" s="268"/>
    </row>
    <row r="7874" spans="9:15" x14ac:dyDescent="0.25">
      <c r="I7874" s="268"/>
      <c r="O7874" s="268"/>
    </row>
    <row r="7875" spans="9:15" x14ac:dyDescent="0.25">
      <c r="I7875" s="268"/>
      <c r="O7875" s="268"/>
    </row>
    <row r="7876" spans="9:15" x14ac:dyDescent="0.25">
      <c r="I7876" s="268"/>
      <c r="O7876" s="268"/>
    </row>
    <row r="7877" spans="9:15" x14ac:dyDescent="0.25">
      <c r="I7877" s="268"/>
      <c r="O7877" s="268"/>
    </row>
    <row r="7878" spans="9:15" x14ac:dyDescent="0.25">
      <c r="I7878" s="268"/>
      <c r="O7878" s="268"/>
    </row>
    <row r="7879" spans="9:15" x14ac:dyDescent="0.25">
      <c r="I7879" s="268"/>
      <c r="O7879" s="268"/>
    </row>
    <row r="7880" spans="9:15" x14ac:dyDescent="0.25">
      <c r="I7880" s="268"/>
      <c r="O7880" s="268"/>
    </row>
    <row r="7881" spans="9:15" x14ac:dyDescent="0.25">
      <c r="I7881" s="268"/>
      <c r="O7881" s="268"/>
    </row>
    <row r="7882" spans="9:15" x14ac:dyDescent="0.25">
      <c r="I7882" s="268"/>
      <c r="O7882" s="268"/>
    </row>
    <row r="7883" spans="9:15" x14ac:dyDescent="0.25">
      <c r="I7883" s="268"/>
      <c r="O7883" s="268"/>
    </row>
    <row r="7884" spans="9:15" x14ac:dyDescent="0.25">
      <c r="I7884" s="268"/>
      <c r="O7884" s="268"/>
    </row>
    <row r="7885" spans="9:15" x14ac:dyDescent="0.25">
      <c r="I7885" s="268"/>
      <c r="O7885" s="268"/>
    </row>
    <row r="7886" spans="9:15" x14ac:dyDescent="0.25">
      <c r="I7886" s="268"/>
      <c r="O7886" s="268"/>
    </row>
    <row r="7887" spans="9:15" x14ac:dyDescent="0.25">
      <c r="I7887" s="268"/>
      <c r="O7887" s="268"/>
    </row>
    <row r="7888" spans="9:15" x14ac:dyDescent="0.25">
      <c r="I7888" s="268"/>
      <c r="O7888" s="268"/>
    </row>
    <row r="7889" spans="9:15" x14ac:dyDescent="0.25">
      <c r="I7889" s="268"/>
      <c r="O7889" s="268"/>
    </row>
    <row r="7890" spans="9:15" x14ac:dyDescent="0.25">
      <c r="I7890" s="268"/>
      <c r="O7890" s="268"/>
    </row>
    <row r="7891" spans="9:15" x14ac:dyDescent="0.25">
      <c r="I7891" s="268"/>
      <c r="O7891" s="268"/>
    </row>
    <row r="7892" spans="9:15" x14ac:dyDescent="0.25">
      <c r="I7892" s="268"/>
      <c r="O7892" s="268"/>
    </row>
    <row r="7893" spans="9:15" x14ac:dyDescent="0.25">
      <c r="I7893" s="268"/>
      <c r="O7893" s="268"/>
    </row>
    <row r="7894" spans="9:15" x14ac:dyDescent="0.25">
      <c r="I7894" s="268"/>
      <c r="O7894" s="268"/>
    </row>
    <row r="7895" spans="9:15" x14ac:dyDescent="0.25">
      <c r="I7895" s="268"/>
      <c r="O7895" s="268"/>
    </row>
    <row r="7896" spans="9:15" x14ac:dyDescent="0.25">
      <c r="I7896" s="268"/>
      <c r="O7896" s="268"/>
    </row>
    <row r="7897" spans="9:15" x14ac:dyDescent="0.25">
      <c r="I7897" s="268"/>
      <c r="O7897" s="268"/>
    </row>
    <row r="7898" spans="9:15" x14ac:dyDescent="0.25">
      <c r="I7898" s="268"/>
      <c r="O7898" s="268"/>
    </row>
    <row r="7899" spans="9:15" x14ac:dyDescent="0.25">
      <c r="I7899" s="268"/>
      <c r="O7899" s="268"/>
    </row>
    <row r="7900" spans="9:15" x14ac:dyDescent="0.25">
      <c r="I7900" s="268"/>
      <c r="O7900" s="268"/>
    </row>
    <row r="7901" spans="9:15" x14ac:dyDescent="0.25">
      <c r="I7901" s="268"/>
      <c r="O7901" s="268"/>
    </row>
    <row r="7902" spans="9:15" x14ac:dyDescent="0.25">
      <c r="I7902" s="268"/>
      <c r="O7902" s="268"/>
    </row>
    <row r="7903" spans="9:15" x14ac:dyDescent="0.25">
      <c r="I7903" s="268"/>
      <c r="O7903" s="268"/>
    </row>
    <row r="7904" spans="9:15" x14ac:dyDescent="0.25">
      <c r="I7904" s="268"/>
      <c r="O7904" s="268"/>
    </row>
    <row r="7905" spans="9:15" x14ac:dyDescent="0.25">
      <c r="I7905" s="268"/>
      <c r="O7905" s="268"/>
    </row>
    <row r="7906" spans="9:15" x14ac:dyDescent="0.25">
      <c r="I7906" s="268"/>
      <c r="O7906" s="268"/>
    </row>
    <row r="7907" spans="9:15" x14ac:dyDescent="0.25">
      <c r="I7907" s="268"/>
      <c r="O7907" s="268"/>
    </row>
    <row r="7908" spans="9:15" x14ac:dyDescent="0.25">
      <c r="I7908" s="268"/>
      <c r="O7908" s="268"/>
    </row>
    <row r="7909" spans="9:15" x14ac:dyDescent="0.25">
      <c r="I7909" s="268"/>
      <c r="O7909" s="268"/>
    </row>
    <row r="7910" spans="9:15" x14ac:dyDescent="0.25">
      <c r="I7910" s="268"/>
      <c r="O7910" s="268"/>
    </row>
    <row r="7911" spans="9:15" x14ac:dyDescent="0.25">
      <c r="I7911" s="268"/>
      <c r="O7911" s="268"/>
    </row>
    <row r="7912" spans="9:15" x14ac:dyDescent="0.25">
      <c r="I7912" s="268"/>
      <c r="O7912" s="268"/>
    </row>
    <row r="7913" spans="9:15" x14ac:dyDescent="0.25">
      <c r="I7913" s="268"/>
      <c r="O7913" s="268"/>
    </row>
    <row r="7914" spans="9:15" x14ac:dyDescent="0.25">
      <c r="I7914" s="268"/>
      <c r="O7914" s="268"/>
    </row>
    <row r="7915" spans="9:15" x14ac:dyDescent="0.25">
      <c r="I7915" s="268"/>
      <c r="O7915" s="268"/>
    </row>
    <row r="7916" spans="9:15" x14ac:dyDescent="0.25">
      <c r="I7916" s="268"/>
      <c r="O7916" s="268"/>
    </row>
    <row r="7917" spans="9:15" x14ac:dyDescent="0.25">
      <c r="I7917" s="268"/>
      <c r="O7917" s="268"/>
    </row>
    <row r="7918" spans="9:15" x14ac:dyDescent="0.25">
      <c r="I7918" s="268"/>
      <c r="O7918" s="268"/>
    </row>
    <row r="7919" spans="9:15" x14ac:dyDescent="0.25">
      <c r="I7919" s="268"/>
      <c r="O7919" s="268"/>
    </row>
    <row r="7920" spans="9:15" x14ac:dyDescent="0.25">
      <c r="I7920" s="268"/>
      <c r="O7920" s="268"/>
    </row>
    <row r="7921" spans="9:15" x14ac:dyDescent="0.25">
      <c r="I7921" s="268"/>
      <c r="O7921" s="268"/>
    </row>
    <row r="7922" spans="9:15" x14ac:dyDescent="0.25">
      <c r="I7922" s="268"/>
      <c r="O7922" s="268"/>
    </row>
    <row r="7923" spans="9:15" x14ac:dyDescent="0.25">
      <c r="I7923" s="268"/>
      <c r="O7923" s="268"/>
    </row>
    <row r="7924" spans="9:15" x14ac:dyDescent="0.25">
      <c r="I7924" s="268"/>
      <c r="O7924" s="268"/>
    </row>
    <row r="7925" spans="9:15" x14ac:dyDescent="0.25">
      <c r="I7925" s="268"/>
      <c r="O7925" s="268"/>
    </row>
    <row r="7926" spans="9:15" x14ac:dyDescent="0.25">
      <c r="I7926" s="268"/>
      <c r="O7926" s="268"/>
    </row>
    <row r="7927" spans="9:15" x14ac:dyDescent="0.25">
      <c r="I7927" s="268"/>
      <c r="O7927" s="268"/>
    </row>
    <row r="7928" spans="9:15" x14ac:dyDescent="0.25">
      <c r="I7928" s="268"/>
      <c r="O7928" s="268"/>
    </row>
    <row r="7929" spans="9:15" x14ac:dyDescent="0.25">
      <c r="I7929" s="268"/>
      <c r="O7929" s="268"/>
    </row>
    <row r="7930" spans="9:15" x14ac:dyDescent="0.25">
      <c r="I7930" s="268"/>
      <c r="O7930" s="268"/>
    </row>
    <row r="7931" spans="9:15" x14ac:dyDescent="0.25">
      <c r="I7931" s="268"/>
      <c r="O7931" s="268"/>
    </row>
    <row r="7932" spans="9:15" x14ac:dyDescent="0.25">
      <c r="I7932" s="268"/>
      <c r="O7932" s="268"/>
    </row>
    <row r="7933" spans="9:15" x14ac:dyDescent="0.25">
      <c r="I7933" s="268"/>
      <c r="O7933" s="268"/>
    </row>
    <row r="7934" spans="9:15" x14ac:dyDescent="0.25">
      <c r="I7934" s="268"/>
      <c r="O7934" s="268"/>
    </row>
    <row r="7935" spans="9:15" x14ac:dyDescent="0.25">
      <c r="I7935" s="268"/>
      <c r="O7935" s="268"/>
    </row>
    <row r="7936" spans="9:15" x14ac:dyDescent="0.25">
      <c r="I7936" s="268"/>
      <c r="O7936" s="268"/>
    </row>
    <row r="7937" spans="9:15" x14ac:dyDescent="0.25">
      <c r="I7937" s="268"/>
      <c r="O7937" s="268"/>
    </row>
    <row r="7938" spans="9:15" x14ac:dyDescent="0.25">
      <c r="I7938" s="268"/>
      <c r="O7938" s="268"/>
    </row>
    <row r="7939" spans="9:15" x14ac:dyDescent="0.25">
      <c r="I7939" s="268"/>
      <c r="O7939" s="268"/>
    </row>
    <row r="7940" spans="9:15" x14ac:dyDescent="0.25">
      <c r="I7940" s="268"/>
      <c r="O7940" s="268"/>
    </row>
    <row r="7941" spans="9:15" x14ac:dyDescent="0.25">
      <c r="I7941" s="268"/>
      <c r="O7941" s="268"/>
    </row>
    <row r="7942" spans="9:15" x14ac:dyDescent="0.25">
      <c r="I7942" s="268"/>
      <c r="O7942" s="268"/>
    </row>
    <row r="7943" spans="9:15" x14ac:dyDescent="0.25">
      <c r="I7943" s="268"/>
      <c r="O7943" s="268"/>
    </row>
    <row r="7944" spans="9:15" x14ac:dyDescent="0.25">
      <c r="I7944" s="268"/>
      <c r="O7944" s="268"/>
    </row>
    <row r="7945" spans="9:15" x14ac:dyDescent="0.25">
      <c r="I7945" s="268"/>
      <c r="O7945" s="268"/>
    </row>
    <row r="7946" spans="9:15" x14ac:dyDescent="0.25">
      <c r="I7946" s="268"/>
      <c r="O7946" s="268"/>
    </row>
    <row r="7947" spans="9:15" x14ac:dyDescent="0.25">
      <c r="I7947" s="268"/>
      <c r="O7947" s="268"/>
    </row>
    <row r="7948" spans="9:15" x14ac:dyDescent="0.25">
      <c r="I7948" s="268"/>
      <c r="O7948" s="268"/>
    </row>
    <row r="7949" spans="9:15" x14ac:dyDescent="0.25">
      <c r="I7949" s="268"/>
      <c r="O7949" s="268"/>
    </row>
    <row r="7950" spans="9:15" x14ac:dyDescent="0.25">
      <c r="I7950" s="268"/>
      <c r="O7950" s="268"/>
    </row>
    <row r="7951" spans="9:15" x14ac:dyDescent="0.25">
      <c r="I7951" s="268"/>
      <c r="O7951" s="268"/>
    </row>
    <row r="7952" spans="9:15" x14ac:dyDescent="0.25">
      <c r="I7952" s="268"/>
      <c r="O7952" s="268"/>
    </row>
    <row r="7953" spans="9:15" x14ac:dyDescent="0.25">
      <c r="I7953" s="268"/>
      <c r="O7953" s="268"/>
    </row>
    <row r="7954" spans="9:15" x14ac:dyDescent="0.25">
      <c r="I7954" s="268"/>
      <c r="O7954" s="268"/>
    </row>
    <row r="7955" spans="9:15" x14ac:dyDescent="0.25">
      <c r="I7955" s="268"/>
      <c r="O7955" s="268"/>
    </row>
    <row r="7956" spans="9:15" x14ac:dyDescent="0.25">
      <c r="I7956" s="268"/>
      <c r="O7956" s="268"/>
    </row>
    <row r="7957" spans="9:15" x14ac:dyDescent="0.25">
      <c r="I7957" s="268"/>
      <c r="O7957" s="268"/>
    </row>
    <row r="7958" spans="9:15" x14ac:dyDescent="0.25">
      <c r="I7958" s="268"/>
      <c r="O7958" s="268"/>
    </row>
    <row r="7959" spans="9:15" x14ac:dyDescent="0.25">
      <c r="I7959" s="268"/>
      <c r="O7959" s="268"/>
    </row>
    <row r="7960" spans="9:15" x14ac:dyDescent="0.25">
      <c r="I7960" s="268"/>
      <c r="O7960" s="268"/>
    </row>
    <row r="7961" spans="9:15" x14ac:dyDescent="0.25">
      <c r="I7961" s="268"/>
      <c r="O7961" s="268"/>
    </row>
    <row r="7962" spans="9:15" x14ac:dyDescent="0.25">
      <c r="I7962" s="268"/>
      <c r="O7962" s="268"/>
    </row>
    <row r="7963" spans="9:15" x14ac:dyDescent="0.25">
      <c r="I7963" s="268"/>
      <c r="O7963" s="268"/>
    </row>
    <row r="7964" spans="9:15" x14ac:dyDescent="0.25">
      <c r="I7964" s="268"/>
      <c r="O7964" s="268"/>
    </row>
    <row r="7965" spans="9:15" x14ac:dyDescent="0.25">
      <c r="I7965" s="268"/>
      <c r="O7965" s="268"/>
    </row>
    <row r="7966" spans="9:15" x14ac:dyDescent="0.25">
      <c r="I7966" s="268"/>
      <c r="O7966" s="268"/>
    </row>
    <row r="7967" spans="9:15" x14ac:dyDescent="0.25">
      <c r="I7967" s="268"/>
      <c r="O7967" s="268"/>
    </row>
    <row r="7968" spans="9:15" x14ac:dyDescent="0.25">
      <c r="I7968" s="268"/>
      <c r="O7968" s="268"/>
    </row>
    <row r="7969" spans="9:15" x14ac:dyDescent="0.25">
      <c r="I7969" s="268"/>
      <c r="O7969" s="268"/>
    </row>
    <row r="7970" spans="9:15" x14ac:dyDescent="0.25">
      <c r="I7970" s="268"/>
      <c r="O7970" s="268"/>
    </row>
    <row r="7971" spans="9:15" x14ac:dyDescent="0.25">
      <c r="I7971" s="268"/>
      <c r="O7971" s="268"/>
    </row>
    <row r="7972" spans="9:15" x14ac:dyDescent="0.25">
      <c r="I7972" s="268"/>
      <c r="O7972" s="268"/>
    </row>
    <row r="7973" spans="9:15" x14ac:dyDescent="0.25">
      <c r="I7973" s="268"/>
      <c r="O7973" s="268"/>
    </row>
    <row r="7974" spans="9:15" x14ac:dyDescent="0.25">
      <c r="I7974" s="268"/>
      <c r="O7974" s="268"/>
    </row>
    <row r="7975" spans="9:15" x14ac:dyDescent="0.25">
      <c r="I7975" s="268"/>
      <c r="O7975" s="268"/>
    </row>
    <row r="7976" spans="9:15" x14ac:dyDescent="0.25">
      <c r="I7976" s="268"/>
      <c r="O7976" s="268"/>
    </row>
    <row r="7977" spans="9:15" x14ac:dyDescent="0.25">
      <c r="I7977" s="268"/>
      <c r="O7977" s="268"/>
    </row>
    <row r="7978" spans="9:15" x14ac:dyDescent="0.25">
      <c r="I7978" s="268"/>
      <c r="O7978" s="268"/>
    </row>
    <row r="7979" spans="9:15" x14ac:dyDescent="0.25">
      <c r="I7979" s="268"/>
      <c r="O7979" s="268"/>
    </row>
    <row r="7980" spans="9:15" x14ac:dyDescent="0.25">
      <c r="I7980" s="268"/>
      <c r="O7980" s="268"/>
    </row>
    <row r="7981" spans="9:15" x14ac:dyDescent="0.25">
      <c r="I7981" s="268"/>
      <c r="O7981" s="268"/>
    </row>
    <row r="7982" spans="9:15" x14ac:dyDescent="0.25">
      <c r="I7982" s="268"/>
      <c r="O7982" s="268"/>
    </row>
    <row r="7983" spans="9:15" x14ac:dyDescent="0.25">
      <c r="I7983" s="268"/>
      <c r="O7983" s="268"/>
    </row>
    <row r="7984" spans="9:15" x14ac:dyDescent="0.25">
      <c r="I7984" s="268"/>
      <c r="O7984" s="268"/>
    </row>
    <row r="7985" spans="9:15" x14ac:dyDescent="0.25">
      <c r="I7985" s="268"/>
      <c r="O7985" s="268"/>
    </row>
    <row r="7986" spans="9:15" x14ac:dyDescent="0.25">
      <c r="I7986" s="268"/>
      <c r="O7986" s="268"/>
    </row>
    <row r="7987" spans="9:15" x14ac:dyDescent="0.25">
      <c r="I7987" s="268"/>
      <c r="O7987" s="268"/>
    </row>
    <row r="7988" spans="9:15" x14ac:dyDescent="0.25">
      <c r="I7988" s="268"/>
      <c r="O7988" s="268"/>
    </row>
    <row r="7989" spans="9:15" x14ac:dyDescent="0.25">
      <c r="I7989" s="268"/>
      <c r="O7989" s="268"/>
    </row>
    <row r="7990" spans="9:15" x14ac:dyDescent="0.25">
      <c r="I7990" s="268"/>
      <c r="O7990" s="268"/>
    </row>
    <row r="7991" spans="9:15" x14ac:dyDescent="0.25">
      <c r="I7991" s="268"/>
      <c r="O7991" s="268"/>
    </row>
    <row r="7992" spans="9:15" x14ac:dyDescent="0.25">
      <c r="I7992" s="268"/>
      <c r="O7992" s="268"/>
    </row>
    <row r="7993" spans="9:15" x14ac:dyDescent="0.25">
      <c r="I7993" s="268"/>
      <c r="O7993" s="268"/>
    </row>
    <row r="7994" spans="9:15" x14ac:dyDescent="0.25">
      <c r="I7994" s="268"/>
      <c r="O7994" s="268"/>
    </row>
    <row r="7995" spans="9:15" x14ac:dyDescent="0.25">
      <c r="I7995" s="268"/>
      <c r="O7995" s="268"/>
    </row>
    <row r="7996" spans="9:15" x14ac:dyDescent="0.25">
      <c r="I7996" s="268"/>
      <c r="O7996" s="268"/>
    </row>
    <row r="7997" spans="9:15" x14ac:dyDescent="0.25">
      <c r="I7997" s="268"/>
      <c r="O7997" s="268"/>
    </row>
    <row r="7998" spans="9:15" x14ac:dyDescent="0.25">
      <c r="I7998" s="268"/>
      <c r="O7998" s="268"/>
    </row>
    <row r="7999" spans="9:15" x14ac:dyDescent="0.25">
      <c r="I7999" s="268"/>
      <c r="O7999" s="268"/>
    </row>
    <row r="8000" spans="9:15" x14ac:dyDescent="0.25">
      <c r="I8000" s="268"/>
      <c r="O8000" s="268"/>
    </row>
    <row r="8001" spans="9:15" x14ac:dyDescent="0.25">
      <c r="I8001" s="268"/>
      <c r="O8001" s="268"/>
    </row>
    <row r="8002" spans="9:15" x14ac:dyDescent="0.25">
      <c r="I8002" s="268"/>
      <c r="O8002" s="268"/>
    </row>
    <row r="8003" spans="9:15" x14ac:dyDescent="0.25">
      <c r="I8003" s="268"/>
      <c r="O8003" s="268"/>
    </row>
    <row r="8004" spans="9:15" x14ac:dyDescent="0.25">
      <c r="I8004" s="268"/>
      <c r="O8004" s="268"/>
    </row>
    <row r="8005" spans="9:15" x14ac:dyDescent="0.25">
      <c r="I8005" s="268"/>
      <c r="O8005" s="268"/>
    </row>
    <row r="8006" spans="9:15" x14ac:dyDescent="0.25">
      <c r="I8006" s="268"/>
      <c r="O8006" s="268"/>
    </row>
    <row r="8007" spans="9:15" x14ac:dyDescent="0.25">
      <c r="I8007" s="268"/>
      <c r="O8007" s="268"/>
    </row>
    <row r="8008" spans="9:15" x14ac:dyDescent="0.25">
      <c r="I8008" s="268"/>
      <c r="O8008" s="268"/>
    </row>
    <row r="8009" spans="9:15" x14ac:dyDescent="0.25">
      <c r="I8009" s="268"/>
      <c r="O8009" s="268"/>
    </row>
    <row r="8010" spans="9:15" x14ac:dyDescent="0.25">
      <c r="I8010" s="268"/>
      <c r="O8010" s="268"/>
    </row>
    <row r="8011" spans="9:15" x14ac:dyDescent="0.25">
      <c r="I8011" s="268"/>
      <c r="O8011" s="268"/>
    </row>
    <row r="8012" spans="9:15" x14ac:dyDescent="0.25">
      <c r="I8012" s="268"/>
      <c r="O8012" s="268"/>
    </row>
    <row r="8013" spans="9:15" x14ac:dyDescent="0.25">
      <c r="I8013" s="268"/>
      <c r="O8013" s="268"/>
    </row>
    <row r="8014" spans="9:15" x14ac:dyDescent="0.25">
      <c r="I8014" s="268"/>
      <c r="O8014" s="268"/>
    </row>
    <row r="8015" spans="9:15" x14ac:dyDescent="0.25">
      <c r="I8015" s="268"/>
      <c r="O8015" s="268"/>
    </row>
    <row r="8016" spans="9:15" x14ac:dyDescent="0.25">
      <c r="I8016" s="268"/>
      <c r="O8016" s="268"/>
    </row>
    <row r="8017" spans="9:15" x14ac:dyDescent="0.25">
      <c r="I8017" s="268"/>
      <c r="O8017" s="268"/>
    </row>
    <row r="8018" spans="9:15" x14ac:dyDescent="0.25">
      <c r="I8018" s="268"/>
      <c r="O8018" s="268"/>
    </row>
    <row r="8019" spans="9:15" x14ac:dyDescent="0.25">
      <c r="I8019" s="268"/>
      <c r="O8019" s="268"/>
    </row>
    <row r="8020" spans="9:15" x14ac:dyDescent="0.25">
      <c r="I8020" s="268"/>
      <c r="O8020" s="268"/>
    </row>
    <row r="8021" spans="9:15" x14ac:dyDescent="0.25">
      <c r="I8021" s="268"/>
      <c r="O8021" s="268"/>
    </row>
    <row r="8022" spans="9:15" x14ac:dyDescent="0.25">
      <c r="I8022" s="268"/>
      <c r="O8022" s="268"/>
    </row>
    <row r="8023" spans="9:15" x14ac:dyDescent="0.25">
      <c r="I8023" s="268"/>
      <c r="O8023" s="268"/>
    </row>
    <row r="8024" spans="9:15" x14ac:dyDescent="0.25">
      <c r="I8024" s="268"/>
      <c r="O8024" s="268"/>
    </row>
    <row r="8025" spans="9:15" x14ac:dyDescent="0.25">
      <c r="I8025" s="268"/>
      <c r="O8025" s="268"/>
    </row>
    <row r="8026" spans="9:15" x14ac:dyDescent="0.25">
      <c r="I8026" s="268"/>
      <c r="O8026" s="268"/>
    </row>
    <row r="8027" spans="9:15" x14ac:dyDescent="0.25">
      <c r="I8027" s="268"/>
      <c r="O8027" s="268"/>
    </row>
    <row r="8028" spans="9:15" x14ac:dyDescent="0.25">
      <c r="I8028" s="268"/>
      <c r="O8028" s="268"/>
    </row>
    <row r="8029" spans="9:15" x14ac:dyDescent="0.25">
      <c r="I8029" s="268"/>
      <c r="O8029" s="268"/>
    </row>
    <row r="8030" spans="9:15" x14ac:dyDescent="0.25">
      <c r="I8030" s="268"/>
      <c r="O8030" s="268"/>
    </row>
    <row r="8031" spans="9:15" x14ac:dyDescent="0.25">
      <c r="I8031" s="268"/>
      <c r="O8031" s="268"/>
    </row>
    <row r="8032" spans="9:15" x14ac:dyDescent="0.25">
      <c r="I8032" s="268"/>
      <c r="O8032" s="268"/>
    </row>
    <row r="8033" spans="9:15" x14ac:dyDescent="0.25">
      <c r="I8033" s="268"/>
      <c r="O8033" s="268"/>
    </row>
    <row r="8034" spans="9:15" x14ac:dyDescent="0.25">
      <c r="I8034" s="268"/>
      <c r="O8034" s="268"/>
    </row>
    <row r="8035" spans="9:15" x14ac:dyDescent="0.25">
      <c r="I8035" s="268"/>
      <c r="O8035" s="268"/>
    </row>
    <row r="8036" spans="9:15" x14ac:dyDescent="0.25">
      <c r="I8036" s="268"/>
      <c r="O8036" s="268"/>
    </row>
    <row r="8037" spans="9:15" x14ac:dyDescent="0.25">
      <c r="I8037" s="268"/>
      <c r="O8037" s="268"/>
    </row>
    <row r="8038" spans="9:15" x14ac:dyDescent="0.25">
      <c r="I8038" s="268"/>
      <c r="O8038" s="268"/>
    </row>
    <row r="8039" spans="9:15" x14ac:dyDescent="0.25">
      <c r="I8039" s="268"/>
      <c r="O8039" s="268"/>
    </row>
    <row r="8040" spans="9:15" x14ac:dyDescent="0.25">
      <c r="I8040" s="268"/>
      <c r="O8040" s="268"/>
    </row>
    <row r="8041" spans="9:15" x14ac:dyDescent="0.25">
      <c r="I8041" s="268"/>
      <c r="O8041" s="268"/>
    </row>
    <row r="8042" spans="9:15" x14ac:dyDescent="0.25">
      <c r="I8042" s="268"/>
      <c r="O8042" s="268"/>
    </row>
    <row r="8043" spans="9:15" x14ac:dyDescent="0.25">
      <c r="I8043" s="268"/>
      <c r="O8043" s="268"/>
    </row>
    <row r="8044" spans="9:15" x14ac:dyDescent="0.25">
      <c r="I8044" s="268"/>
      <c r="O8044" s="268"/>
    </row>
    <row r="8045" spans="9:15" x14ac:dyDescent="0.25">
      <c r="I8045" s="268"/>
      <c r="O8045" s="268"/>
    </row>
    <row r="8046" spans="9:15" x14ac:dyDescent="0.25">
      <c r="I8046" s="268"/>
      <c r="O8046" s="268"/>
    </row>
    <row r="8047" spans="9:15" x14ac:dyDescent="0.25">
      <c r="I8047" s="268"/>
      <c r="O8047" s="268"/>
    </row>
    <row r="8048" spans="9:15" x14ac:dyDescent="0.25">
      <c r="I8048" s="268"/>
      <c r="O8048" s="268"/>
    </row>
    <row r="8049" spans="9:15" x14ac:dyDescent="0.25">
      <c r="I8049" s="268"/>
      <c r="O8049" s="268"/>
    </row>
    <row r="8050" spans="9:15" x14ac:dyDescent="0.25">
      <c r="I8050" s="268"/>
      <c r="O8050" s="268"/>
    </row>
    <row r="8051" spans="9:15" x14ac:dyDescent="0.25">
      <c r="I8051" s="268"/>
      <c r="O8051" s="268"/>
    </row>
    <row r="8052" spans="9:15" x14ac:dyDescent="0.25">
      <c r="I8052" s="268"/>
      <c r="O8052" s="268"/>
    </row>
    <row r="8053" spans="9:15" x14ac:dyDescent="0.25">
      <c r="I8053" s="268"/>
      <c r="O8053" s="268"/>
    </row>
    <row r="8054" spans="9:15" x14ac:dyDescent="0.25">
      <c r="I8054" s="268"/>
      <c r="O8054" s="268"/>
    </row>
    <row r="8055" spans="9:15" x14ac:dyDescent="0.25">
      <c r="I8055" s="268"/>
      <c r="O8055" s="268"/>
    </row>
    <row r="8056" spans="9:15" x14ac:dyDescent="0.25">
      <c r="I8056" s="268"/>
      <c r="O8056" s="268"/>
    </row>
    <row r="8057" spans="9:15" x14ac:dyDescent="0.25">
      <c r="I8057" s="268"/>
      <c r="O8057" s="268"/>
    </row>
    <row r="8058" spans="9:15" x14ac:dyDescent="0.25">
      <c r="I8058" s="268"/>
      <c r="O8058" s="268"/>
    </row>
    <row r="8059" spans="9:15" x14ac:dyDescent="0.25">
      <c r="I8059" s="268"/>
      <c r="O8059" s="268"/>
    </row>
    <row r="8060" spans="9:15" x14ac:dyDescent="0.25">
      <c r="I8060" s="268"/>
      <c r="O8060" s="268"/>
    </row>
    <row r="8061" spans="9:15" x14ac:dyDescent="0.25">
      <c r="I8061" s="268"/>
      <c r="O8061" s="268"/>
    </row>
    <row r="8062" spans="9:15" x14ac:dyDescent="0.25">
      <c r="I8062" s="268"/>
      <c r="O8062" s="268"/>
    </row>
    <row r="8063" spans="9:15" x14ac:dyDescent="0.25">
      <c r="I8063" s="268"/>
      <c r="O8063" s="268"/>
    </row>
    <row r="8064" spans="9:15" x14ac:dyDescent="0.25">
      <c r="I8064" s="268"/>
      <c r="O8064" s="268"/>
    </row>
    <row r="8065" spans="9:15" x14ac:dyDescent="0.25">
      <c r="I8065" s="268"/>
      <c r="O8065" s="268"/>
    </row>
    <row r="8066" spans="9:15" x14ac:dyDescent="0.25">
      <c r="I8066" s="268"/>
      <c r="O8066" s="268"/>
    </row>
    <row r="8067" spans="9:15" x14ac:dyDescent="0.25">
      <c r="I8067" s="268"/>
      <c r="O8067" s="268"/>
    </row>
    <row r="8068" spans="9:15" x14ac:dyDescent="0.25">
      <c r="I8068" s="268"/>
      <c r="O8068" s="268"/>
    </row>
    <row r="8069" spans="9:15" x14ac:dyDescent="0.25">
      <c r="I8069" s="268"/>
      <c r="O8069" s="268"/>
    </row>
    <row r="8070" spans="9:15" x14ac:dyDescent="0.25">
      <c r="I8070" s="268"/>
      <c r="O8070" s="268"/>
    </row>
    <row r="8071" spans="9:15" x14ac:dyDescent="0.25">
      <c r="I8071" s="268"/>
      <c r="O8071" s="268"/>
    </row>
    <row r="8072" spans="9:15" x14ac:dyDescent="0.25">
      <c r="I8072" s="268"/>
      <c r="O8072" s="268"/>
    </row>
    <row r="8073" spans="9:15" x14ac:dyDescent="0.25">
      <c r="I8073" s="268"/>
      <c r="O8073" s="268"/>
    </row>
    <row r="8074" spans="9:15" x14ac:dyDescent="0.25">
      <c r="I8074" s="268"/>
      <c r="O8074" s="268"/>
    </row>
    <row r="8075" spans="9:15" x14ac:dyDescent="0.25">
      <c r="I8075" s="268"/>
      <c r="O8075" s="268"/>
    </row>
    <row r="8076" spans="9:15" x14ac:dyDescent="0.25">
      <c r="I8076" s="268"/>
      <c r="O8076" s="268"/>
    </row>
    <row r="8077" spans="9:15" x14ac:dyDescent="0.25">
      <c r="I8077" s="268"/>
      <c r="O8077" s="268"/>
    </row>
    <row r="8078" spans="9:15" x14ac:dyDescent="0.25">
      <c r="I8078" s="268"/>
      <c r="O8078" s="268"/>
    </row>
    <row r="8079" spans="9:15" x14ac:dyDescent="0.25">
      <c r="I8079" s="268"/>
      <c r="O8079" s="268"/>
    </row>
    <row r="8080" spans="9:15" x14ac:dyDescent="0.25">
      <c r="I8080" s="268"/>
      <c r="O8080" s="268"/>
    </row>
    <row r="8081" spans="9:15" x14ac:dyDescent="0.25">
      <c r="I8081" s="268"/>
      <c r="O8081" s="268"/>
    </row>
    <row r="8082" spans="9:15" x14ac:dyDescent="0.25">
      <c r="I8082" s="268"/>
      <c r="O8082" s="268"/>
    </row>
    <row r="8083" spans="9:15" x14ac:dyDescent="0.25">
      <c r="I8083" s="268"/>
      <c r="O8083" s="268"/>
    </row>
    <row r="8084" spans="9:15" x14ac:dyDescent="0.25">
      <c r="I8084" s="268"/>
      <c r="O8084" s="268"/>
    </row>
    <row r="8085" spans="9:15" x14ac:dyDescent="0.25">
      <c r="I8085" s="268"/>
      <c r="O8085" s="268"/>
    </row>
    <row r="8086" spans="9:15" x14ac:dyDescent="0.25">
      <c r="I8086" s="268"/>
      <c r="O8086" s="268"/>
    </row>
    <row r="8087" spans="9:15" x14ac:dyDescent="0.25">
      <c r="I8087" s="268"/>
      <c r="O8087" s="268"/>
    </row>
    <row r="8088" spans="9:15" x14ac:dyDescent="0.25">
      <c r="I8088" s="268"/>
      <c r="O8088" s="268"/>
    </row>
    <row r="8089" spans="9:15" x14ac:dyDescent="0.25">
      <c r="I8089" s="268"/>
      <c r="O8089" s="268"/>
    </row>
    <row r="8090" spans="9:15" x14ac:dyDescent="0.25">
      <c r="I8090" s="268"/>
      <c r="O8090" s="268"/>
    </row>
    <row r="8091" spans="9:15" x14ac:dyDescent="0.25">
      <c r="I8091" s="268"/>
      <c r="O8091" s="268"/>
    </row>
    <row r="8092" spans="9:15" x14ac:dyDescent="0.25">
      <c r="I8092" s="268"/>
      <c r="O8092" s="268"/>
    </row>
    <row r="8093" spans="9:15" x14ac:dyDescent="0.25">
      <c r="I8093" s="268"/>
      <c r="O8093" s="268"/>
    </row>
    <row r="8094" spans="9:15" x14ac:dyDescent="0.25">
      <c r="I8094" s="268"/>
      <c r="O8094" s="268"/>
    </row>
    <row r="8095" spans="9:15" x14ac:dyDescent="0.25">
      <c r="I8095" s="268"/>
      <c r="O8095" s="268"/>
    </row>
    <row r="8096" spans="9:15" x14ac:dyDescent="0.25">
      <c r="I8096" s="268"/>
      <c r="O8096" s="268"/>
    </row>
    <row r="8097" spans="9:15" x14ac:dyDescent="0.25">
      <c r="I8097" s="268"/>
      <c r="O8097" s="268"/>
    </row>
    <row r="8098" spans="9:15" x14ac:dyDescent="0.25">
      <c r="I8098" s="268"/>
      <c r="O8098" s="268"/>
    </row>
    <row r="8099" spans="9:15" x14ac:dyDescent="0.25">
      <c r="I8099" s="268"/>
      <c r="O8099" s="268"/>
    </row>
    <row r="8100" spans="9:15" x14ac:dyDescent="0.25">
      <c r="I8100" s="268"/>
      <c r="O8100" s="268"/>
    </row>
    <row r="8101" spans="9:15" x14ac:dyDescent="0.25">
      <c r="I8101" s="268"/>
      <c r="O8101" s="268"/>
    </row>
    <row r="8102" spans="9:15" x14ac:dyDescent="0.25">
      <c r="I8102" s="268"/>
      <c r="O8102" s="268"/>
    </row>
    <row r="8103" spans="9:15" x14ac:dyDescent="0.25">
      <c r="I8103" s="268"/>
      <c r="O8103" s="268"/>
    </row>
    <row r="8104" spans="9:15" x14ac:dyDescent="0.25">
      <c r="I8104" s="268"/>
      <c r="O8104" s="268"/>
    </row>
    <row r="8105" spans="9:15" x14ac:dyDescent="0.25">
      <c r="I8105" s="268"/>
      <c r="O8105" s="268"/>
    </row>
    <row r="8106" spans="9:15" x14ac:dyDescent="0.25">
      <c r="I8106" s="268"/>
      <c r="O8106" s="268"/>
    </row>
    <row r="8107" spans="9:15" x14ac:dyDescent="0.25">
      <c r="I8107" s="268"/>
      <c r="O8107" s="268"/>
    </row>
    <row r="8108" spans="9:15" x14ac:dyDescent="0.25">
      <c r="I8108" s="268"/>
      <c r="O8108" s="268"/>
    </row>
    <row r="8109" spans="9:15" x14ac:dyDescent="0.25">
      <c r="I8109" s="268"/>
      <c r="O8109" s="268"/>
    </row>
    <row r="8110" spans="9:15" x14ac:dyDescent="0.25">
      <c r="I8110" s="268"/>
      <c r="O8110" s="268"/>
    </row>
    <row r="8111" spans="9:15" x14ac:dyDescent="0.25">
      <c r="I8111" s="268"/>
      <c r="O8111" s="268"/>
    </row>
    <row r="8112" spans="9:15" x14ac:dyDescent="0.25">
      <c r="I8112" s="268"/>
      <c r="O8112" s="268"/>
    </row>
    <row r="8113" spans="9:15" x14ac:dyDescent="0.25">
      <c r="I8113" s="268"/>
      <c r="O8113" s="268"/>
    </row>
    <row r="8114" spans="9:15" x14ac:dyDescent="0.25">
      <c r="I8114" s="268"/>
      <c r="O8114" s="268"/>
    </row>
    <row r="8115" spans="9:15" x14ac:dyDescent="0.25">
      <c r="I8115" s="268"/>
      <c r="O8115" s="268"/>
    </row>
    <row r="8116" spans="9:15" x14ac:dyDescent="0.25">
      <c r="I8116" s="268"/>
      <c r="O8116" s="268"/>
    </row>
    <row r="8117" spans="9:15" x14ac:dyDescent="0.25">
      <c r="I8117" s="268"/>
      <c r="O8117" s="268"/>
    </row>
    <row r="8118" spans="9:15" x14ac:dyDescent="0.25">
      <c r="I8118" s="268"/>
      <c r="O8118" s="268"/>
    </row>
    <row r="8119" spans="9:15" x14ac:dyDescent="0.25">
      <c r="I8119" s="268"/>
      <c r="O8119" s="268"/>
    </row>
    <row r="8120" spans="9:15" x14ac:dyDescent="0.25">
      <c r="I8120" s="268"/>
      <c r="O8120" s="268"/>
    </row>
    <row r="8121" spans="9:15" x14ac:dyDescent="0.25">
      <c r="I8121" s="268"/>
      <c r="O8121" s="268"/>
    </row>
    <row r="8122" spans="9:15" x14ac:dyDescent="0.25">
      <c r="I8122" s="268"/>
      <c r="O8122" s="268"/>
    </row>
    <row r="8123" spans="9:15" x14ac:dyDescent="0.25">
      <c r="I8123" s="268"/>
      <c r="O8123" s="268"/>
    </row>
    <row r="8124" spans="9:15" x14ac:dyDescent="0.25">
      <c r="I8124" s="268"/>
      <c r="O8124" s="268"/>
    </row>
    <row r="8125" spans="9:15" x14ac:dyDescent="0.25">
      <c r="I8125" s="268"/>
      <c r="O8125" s="268"/>
    </row>
    <row r="8126" spans="9:15" x14ac:dyDescent="0.25">
      <c r="I8126" s="268"/>
      <c r="O8126" s="268"/>
    </row>
    <row r="8127" spans="9:15" x14ac:dyDescent="0.25">
      <c r="I8127" s="268"/>
      <c r="O8127" s="268"/>
    </row>
    <row r="8128" spans="9:15" x14ac:dyDescent="0.25">
      <c r="I8128" s="268"/>
      <c r="O8128" s="268"/>
    </row>
    <row r="8129" spans="9:15" x14ac:dyDescent="0.25">
      <c r="I8129" s="268"/>
      <c r="O8129" s="268"/>
    </row>
    <row r="8130" spans="9:15" x14ac:dyDescent="0.25">
      <c r="I8130" s="268"/>
      <c r="O8130" s="268"/>
    </row>
    <row r="8131" spans="9:15" x14ac:dyDescent="0.25">
      <c r="I8131" s="268"/>
      <c r="O8131" s="268"/>
    </row>
    <row r="8132" spans="9:15" x14ac:dyDescent="0.25">
      <c r="I8132" s="268"/>
      <c r="O8132" s="268"/>
    </row>
    <row r="8133" spans="9:15" x14ac:dyDescent="0.25">
      <c r="I8133" s="268"/>
      <c r="O8133" s="268"/>
    </row>
    <row r="8134" spans="9:15" x14ac:dyDescent="0.25">
      <c r="I8134" s="268"/>
      <c r="O8134" s="268"/>
    </row>
    <row r="8135" spans="9:15" x14ac:dyDescent="0.25">
      <c r="I8135" s="268"/>
      <c r="O8135" s="268"/>
    </row>
    <row r="8136" spans="9:15" x14ac:dyDescent="0.25">
      <c r="I8136" s="268"/>
      <c r="O8136" s="268"/>
    </row>
    <row r="8137" spans="9:15" x14ac:dyDescent="0.25">
      <c r="I8137" s="268"/>
      <c r="O8137" s="268"/>
    </row>
    <row r="8138" spans="9:15" x14ac:dyDescent="0.25">
      <c r="I8138" s="268"/>
      <c r="O8138" s="268"/>
    </row>
    <row r="8139" spans="9:15" x14ac:dyDescent="0.25">
      <c r="I8139" s="268"/>
      <c r="O8139" s="268"/>
    </row>
    <row r="8140" spans="9:15" x14ac:dyDescent="0.25">
      <c r="I8140" s="268"/>
      <c r="O8140" s="268"/>
    </row>
    <row r="8141" spans="9:15" x14ac:dyDescent="0.25">
      <c r="I8141" s="268"/>
      <c r="O8141" s="268"/>
    </row>
    <row r="8142" spans="9:15" x14ac:dyDescent="0.25">
      <c r="I8142" s="268"/>
      <c r="O8142" s="268"/>
    </row>
    <row r="8143" spans="9:15" x14ac:dyDescent="0.25">
      <c r="I8143" s="268"/>
      <c r="O8143" s="268"/>
    </row>
    <row r="8144" spans="9:15" x14ac:dyDescent="0.25">
      <c r="I8144" s="268"/>
      <c r="O8144" s="268"/>
    </row>
    <row r="8145" spans="9:15" x14ac:dyDescent="0.25">
      <c r="I8145" s="268"/>
      <c r="O8145" s="268"/>
    </row>
    <row r="8146" spans="9:15" x14ac:dyDescent="0.25">
      <c r="I8146" s="268"/>
      <c r="O8146" s="268"/>
    </row>
    <row r="8147" spans="9:15" x14ac:dyDescent="0.25">
      <c r="I8147" s="268"/>
      <c r="O8147" s="268"/>
    </row>
    <row r="8148" spans="9:15" x14ac:dyDescent="0.25">
      <c r="I8148" s="268"/>
      <c r="O8148" s="268"/>
    </row>
    <row r="8149" spans="9:15" x14ac:dyDescent="0.25">
      <c r="I8149" s="268"/>
      <c r="O8149" s="268"/>
    </row>
    <row r="8150" spans="9:15" x14ac:dyDescent="0.25">
      <c r="I8150" s="268"/>
      <c r="O8150" s="268"/>
    </row>
    <row r="8151" spans="9:15" x14ac:dyDescent="0.25">
      <c r="I8151" s="268"/>
      <c r="O8151" s="268"/>
    </row>
    <row r="8152" spans="9:15" x14ac:dyDescent="0.25">
      <c r="I8152" s="268"/>
      <c r="O8152" s="268"/>
    </row>
    <row r="8153" spans="9:15" x14ac:dyDescent="0.25">
      <c r="I8153" s="268"/>
      <c r="O8153" s="268"/>
    </row>
    <row r="8154" spans="9:15" x14ac:dyDescent="0.25">
      <c r="I8154" s="268"/>
      <c r="O8154" s="268"/>
    </row>
    <row r="8155" spans="9:15" x14ac:dyDescent="0.25">
      <c r="I8155" s="268"/>
      <c r="O8155" s="268"/>
    </row>
    <row r="8156" spans="9:15" x14ac:dyDescent="0.25">
      <c r="I8156" s="268"/>
      <c r="O8156" s="268"/>
    </row>
    <row r="8157" spans="9:15" x14ac:dyDescent="0.25">
      <c r="I8157" s="268"/>
      <c r="O8157" s="268"/>
    </row>
    <row r="8158" spans="9:15" x14ac:dyDescent="0.25">
      <c r="I8158" s="268"/>
      <c r="O8158" s="268"/>
    </row>
    <row r="8159" spans="9:15" x14ac:dyDescent="0.25">
      <c r="I8159" s="268"/>
      <c r="O8159" s="268"/>
    </row>
    <row r="8160" spans="9:15" x14ac:dyDescent="0.25">
      <c r="I8160" s="268"/>
      <c r="O8160" s="268"/>
    </row>
    <row r="8161" spans="9:15" x14ac:dyDescent="0.25">
      <c r="I8161" s="268"/>
      <c r="O8161" s="268"/>
    </row>
    <row r="8162" spans="9:15" x14ac:dyDescent="0.25">
      <c r="I8162" s="268"/>
      <c r="O8162" s="268"/>
    </row>
    <row r="8163" spans="9:15" x14ac:dyDescent="0.25">
      <c r="I8163" s="268"/>
      <c r="O8163" s="268"/>
    </row>
    <row r="8164" spans="9:15" x14ac:dyDescent="0.25">
      <c r="I8164" s="268"/>
      <c r="O8164" s="268"/>
    </row>
    <row r="8165" spans="9:15" x14ac:dyDescent="0.25">
      <c r="I8165" s="268"/>
      <c r="O8165" s="268"/>
    </row>
    <row r="8166" spans="9:15" x14ac:dyDescent="0.25">
      <c r="I8166" s="268"/>
      <c r="O8166" s="268"/>
    </row>
    <row r="8167" spans="9:15" x14ac:dyDescent="0.25">
      <c r="I8167" s="268"/>
      <c r="O8167" s="268"/>
    </row>
    <row r="8168" spans="9:15" x14ac:dyDescent="0.25">
      <c r="I8168" s="268"/>
      <c r="O8168" s="268"/>
    </row>
    <row r="8169" spans="9:15" x14ac:dyDescent="0.25">
      <c r="I8169" s="268"/>
      <c r="O8169" s="268"/>
    </row>
    <row r="8170" spans="9:15" x14ac:dyDescent="0.25">
      <c r="I8170" s="268"/>
      <c r="O8170" s="268"/>
    </row>
    <row r="8171" spans="9:15" x14ac:dyDescent="0.25">
      <c r="I8171" s="268"/>
      <c r="O8171" s="268"/>
    </row>
    <row r="8172" spans="9:15" x14ac:dyDescent="0.25">
      <c r="I8172" s="268"/>
      <c r="O8172" s="268"/>
    </row>
    <row r="8173" spans="9:15" x14ac:dyDescent="0.25">
      <c r="I8173" s="268"/>
      <c r="O8173" s="268"/>
    </row>
    <row r="8174" spans="9:15" x14ac:dyDescent="0.25">
      <c r="I8174" s="268"/>
      <c r="O8174" s="268"/>
    </row>
    <row r="8175" spans="9:15" x14ac:dyDescent="0.25">
      <c r="I8175" s="268"/>
      <c r="O8175" s="268"/>
    </row>
    <row r="8176" spans="9:15" x14ac:dyDescent="0.25">
      <c r="I8176" s="268"/>
      <c r="O8176" s="268"/>
    </row>
    <row r="8177" spans="9:15" x14ac:dyDescent="0.25">
      <c r="I8177" s="268"/>
      <c r="O8177" s="268"/>
    </row>
    <row r="8178" spans="9:15" x14ac:dyDescent="0.25">
      <c r="I8178" s="268"/>
      <c r="O8178" s="268"/>
    </row>
    <row r="8179" spans="9:15" x14ac:dyDescent="0.25">
      <c r="I8179" s="268"/>
      <c r="O8179" s="268"/>
    </row>
    <row r="8180" spans="9:15" x14ac:dyDescent="0.25">
      <c r="I8180" s="268"/>
      <c r="O8180" s="268"/>
    </row>
    <row r="8181" spans="9:15" x14ac:dyDescent="0.25">
      <c r="I8181" s="268"/>
      <c r="O8181" s="268"/>
    </row>
    <row r="8182" spans="9:15" x14ac:dyDescent="0.25">
      <c r="I8182" s="268"/>
      <c r="O8182" s="268"/>
    </row>
    <row r="8183" spans="9:15" x14ac:dyDescent="0.25">
      <c r="I8183" s="268"/>
      <c r="O8183" s="268"/>
    </row>
    <row r="8184" spans="9:15" x14ac:dyDescent="0.25">
      <c r="I8184" s="268"/>
      <c r="O8184" s="268"/>
    </row>
    <row r="8185" spans="9:15" x14ac:dyDescent="0.25">
      <c r="I8185" s="268"/>
      <c r="O8185" s="268"/>
    </row>
    <row r="8186" spans="9:15" x14ac:dyDescent="0.25">
      <c r="I8186" s="268"/>
      <c r="O8186" s="268"/>
    </row>
    <row r="8187" spans="9:15" x14ac:dyDescent="0.25">
      <c r="I8187" s="268"/>
      <c r="O8187" s="268"/>
    </row>
    <row r="8188" spans="9:15" x14ac:dyDescent="0.25">
      <c r="I8188" s="268"/>
      <c r="O8188" s="268"/>
    </row>
    <row r="8189" spans="9:15" x14ac:dyDescent="0.25">
      <c r="I8189" s="268"/>
      <c r="O8189" s="268"/>
    </row>
    <row r="8190" spans="9:15" x14ac:dyDescent="0.25">
      <c r="I8190" s="268"/>
      <c r="O8190" s="268"/>
    </row>
    <row r="8191" spans="9:15" x14ac:dyDescent="0.25">
      <c r="I8191" s="268"/>
      <c r="O8191" s="268"/>
    </row>
    <row r="8192" spans="9:15" x14ac:dyDescent="0.25">
      <c r="I8192" s="268"/>
      <c r="O8192" s="268"/>
    </row>
    <row r="8193" spans="9:15" x14ac:dyDescent="0.25">
      <c r="I8193" s="268"/>
      <c r="O8193" s="268"/>
    </row>
    <row r="8194" spans="9:15" x14ac:dyDescent="0.25">
      <c r="I8194" s="268"/>
      <c r="O8194" s="268"/>
    </row>
    <row r="8195" spans="9:15" x14ac:dyDescent="0.25">
      <c r="I8195" s="268"/>
      <c r="O8195" s="268"/>
    </row>
    <row r="8196" spans="9:15" x14ac:dyDescent="0.25">
      <c r="I8196" s="268"/>
      <c r="O8196" s="268"/>
    </row>
    <row r="8197" spans="9:15" x14ac:dyDescent="0.25">
      <c r="I8197" s="268"/>
      <c r="O8197" s="268"/>
    </row>
    <row r="8198" spans="9:15" x14ac:dyDescent="0.25">
      <c r="I8198" s="268"/>
      <c r="O8198" s="268"/>
    </row>
    <row r="8199" spans="9:15" x14ac:dyDescent="0.25">
      <c r="I8199" s="268"/>
      <c r="O8199" s="268"/>
    </row>
    <row r="8200" spans="9:15" x14ac:dyDescent="0.25">
      <c r="I8200" s="268"/>
      <c r="O8200" s="268"/>
    </row>
    <row r="8201" spans="9:15" x14ac:dyDescent="0.25">
      <c r="I8201" s="268"/>
      <c r="O8201" s="268"/>
    </row>
    <row r="8202" spans="9:15" x14ac:dyDescent="0.25">
      <c r="I8202" s="268"/>
      <c r="O8202" s="268"/>
    </row>
    <row r="8203" spans="9:15" x14ac:dyDescent="0.25">
      <c r="I8203" s="268"/>
      <c r="O8203" s="268"/>
    </row>
    <row r="8204" spans="9:15" x14ac:dyDescent="0.25">
      <c r="I8204" s="268"/>
      <c r="O8204" s="268"/>
    </row>
    <row r="8205" spans="9:15" x14ac:dyDescent="0.25">
      <c r="I8205" s="268"/>
      <c r="O8205" s="268"/>
    </row>
    <row r="8206" spans="9:15" x14ac:dyDescent="0.25">
      <c r="I8206" s="268"/>
      <c r="O8206" s="268"/>
    </row>
    <row r="8207" spans="9:15" x14ac:dyDescent="0.25">
      <c r="I8207" s="268"/>
      <c r="O8207" s="268"/>
    </row>
    <row r="8208" spans="9:15" x14ac:dyDescent="0.25">
      <c r="I8208" s="268"/>
      <c r="O8208" s="268"/>
    </row>
    <row r="8209" spans="9:15" x14ac:dyDescent="0.25">
      <c r="I8209" s="268"/>
      <c r="O8209" s="268"/>
    </row>
    <row r="8210" spans="9:15" x14ac:dyDescent="0.25">
      <c r="I8210" s="268"/>
      <c r="O8210" s="268"/>
    </row>
    <row r="8211" spans="9:15" x14ac:dyDescent="0.25">
      <c r="I8211" s="268"/>
      <c r="O8211" s="268"/>
    </row>
    <row r="8212" spans="9:15" x14ac:dyDescent="0.25">
      <c r="I8212" s="268"/>
      <c r="O8212" s="268"/>
    </row>
    <row r="8213" spans="9:15" x14ac:dyDescent="0.25">
      <c r="I8213" s="268"/>
      <c r="O8213" s="268"/>
    </row>
    <row r="8214" spans="9:15" x14ac:dyDescent="0.25">
      <c r="I8214" s="268"/>
      <c r="O8214" s="268"/>
    </row>
    <row r="8215" spans="9:15" x14ac:dyDescent="0.25">
      <c r="I8215" s="268"/>
      <c r="O8215" s="268"/>
    </row>
    <row r="8216" spans="9:15" x14ac:dyDescent="0.25">
      <c r="I8216" s="268"/>
      <c r="O8216" s="268"/>
    </row>
    <row r="8217" spans="9:15" x14ac:dyDescent="0.25">
      <c r="I8217" s="268"/>
      <c r="O8217" s="268"/>
    </row>
    <row r="8218" spans="9:15" x14ac:dyDescent="0.25">
      <c r="I8218" s="268"/>
      <c r="O8218" s="268"/>
    </row>
    <row r="8219" spans="9:15" x14ac:dyDescent="0.25">
      <c r="I8219" s="268"/>
      <c r="O8219" s="268"/>
    </row>
    <row r="8220" spans="9:15" x14ac:dyDescent="0.25">
      <c r="I8220" s="268"/>
      <c r="O8220" s="268"/>
    </row>
    <row r="8221" spans="9:15" x14ac:dyDescent="0.25">
      <c r="I8221" s="268"/>
      <c r="O8221" s="268"/>
    </row>
    <row r="8222" spans="9:15" x14ac:dyDescent="0.25">
      <c r="I8222" s="268"/>
      <c r="O8222" s="268"/>
    </row>
    <row r="8223" spans="9:15" x14ac:dyDescent="0.25">
      <c r="I8223" s="268"/>
      <c r="O8223" s="268"/>
    </row>
    <row r="8224" spans="9:15" x14ac:dyDescent="0.25">
      <c r="I8224" s="268"/>
      <c r="O8224" s="268"/>
    </row>
    <row r="8225" spans="9:15" x14ac:dyDescent="0.25">
      <c r="I8225" s="268"/>
      <c r="O8225" s="268"/>
    </row>
    <row r="8226" spans="9:15" x14ac:dyDescent="0.25">
      <c r="I8226" s="268"/>
      <c r="O8226" s="268"/>
    </row>
    <row r="8227" spans="9:15" x14ac:dyDescent="0.25">
      <c r="I8227" s="268"/>
      <c r="O8227" s="268"/>
    </row>
    <row r="8228" spans="9:15" x14ac:dyDescent="0.25">
      <c r="I8228" s="268"/>
      <c r="O8228" s="268"/>
    </row>
    <row r="8229" spans="9:15" x14ac:dyDescent="0.25">
      <c r="I8229" s="268"/>
      <c r="O8229" s="268"/>
    </row>
    <row r="8230" spans="9:15" x14ac:dyDescent="0.25">
      <c r="I8230" s="268"/>
      <c r="O8230" s="268"/>
    </row>
    <row r="8231" spans="9:15" x14ac:dyDescent="0.25">
      <c r="I8231" s="268"/>
      <c r="O8231" s="268"/>
    </row>
    <row r="8232" spans="9:15" x14ac:dyDescent="0.25">
      <c r="I8232" s="268"/>
      <c r="O8232" s="268"/>
    </row>
    <row r="8233" spans="9:15" x14ac:dyDescent="0.25">
      <c r="I8233" s="268"/>
      <c r="O8233" s="268"/>
    </row>
    <row r="8234" spans="9:15" x14ac:dyDescent="0.25">
      <c r="I8234" s="268"/>
      <c r="O8234" s="268"/>
    </row>
    <row r="8235" spans="9:15" x14ac:dyDescent="0.25">
      <c r="I8235" s="268"/>
      <c r="O8235" s="268"/>
    </row>
    <row r="8236" spans="9:15" x14ac:dyDescent="0.25">
      <c r="I8236" s="268"/>
      <c r="O8236" s="268"/>
    </row>
    <row r="8237" spans="9:15" x14ac:dyDescent="0.25">
      <c r="I8237" s="268"/>
      <c r="O8237" s="268"/>
    </row>
    <row r="8238" spans="9:15" x14ac:dyDescent="0.25">
      <c r="I8238" s="268"/>
      <c r="O8238" s="268"/>
    </row>
    <row r="8239" spans="9:15" x14ac:dyDescent="0.25">
      <c r="I8239" s="268"/>
      <c r="O8239" s="268"/>
    </row>
    <row r="8240" spans="9:15" x14ac:dyDescent="0.25">
      <c r="I8240" s="268"/>
      <c r="O8240" s="268"/>
    </row>
    <row r="8241" spans="9:15" x14ac:dyDescent="0.25">
      <c r="I8241" s="268"/>
      <c r="O8241" s="268"/>
    </row>
    <row r="8242" spans="9:15" x14ac:dyDescent="0.25">
      <c r="I8242" s="268"/>
      <c r="O8242" s="268"/>
    </row>
    <row r="8243" spans="9:15" x14ac:dyDescent="0.25">
      <c r="I8243" s="268"/>
      <c r="O8243" s="268"/>
    </row>
    <row r="8244" spans="9:15" x14ac:dyDescent="0.25">
      <c r="I8244" s="268"/>
      <c r="O8244" s="268"/>
    </row>
    <row r="8245" spans="9:15" x14ac:dyDescent="0.25">
      <c r="I8245" s="268"/>
      <c r="O8245" s="268"/>
    </row>
    <row r="8246" spans="9:15" x14ac:dyDescent="0.25">
      <c r="I8246" s="268"/>
      <c r="O8246" s="268"/>
    </row>
    <row r="8247" spans="9:15" x14ac:dyDescent="0.25">
      <c r="I8247" s="268"/>
      <c r="O8247" s="268"/>
    </row>
    <row r="8248" spans="9:15" x14ac:dyDescent="0.25">
      <c r="I8248" s="268"/>
      <c r="O8248" s="268"/>
    </row>
    <row r="8249" spans="9:15" x14ac:dyDescent="0.25">
      <c r="I8249" s="268"/>
      <c r="O8249" s="268"/>
    </row>
    <row r="8250" spans="9:15" x14ac:dyDescent="0.25">
      <c r="I8250" s="268"/>
      <c r="O8250" s="268"/>
    </row>
    <row r="8251" spans="9:15" x14ac:dyDescent="0.25">
      <c r="I8251" s="268"/>
      <c r="O8251" s="268"/>
    </row>
    <row r="8252" spans="9:15" x14ac:dyDescent="0.25">
      <c r="I8252" s="268"/>
      <c r="O8252" s="268"/>
    </row>
    <row r="8253" spans="9:15" x14ac:dyDescent="0.25">
      <c r="I8253" s="268"/>
      <c r="O8253" s="268"/>
    </row>
    <row r="8254" spans="9:15" x14ac:dyDescent="0.25">
      <c r="I8254" s="268"/>
      <c r="O8254" s="268"/>
    </row>
    <row r="8255" spans="9:15" x14ac:dyDescent="0.25">
      <c r="I8255" s="268"/>
      <c r="O8255" s="268"/>
    </row>
    <row r="8256" spans="9:15" x14ac:dyDescent="0.25">
      <c r="I8256" s="268"/>
      <c r="O8256" s="268"/>
    </row>
    <row r="8257" spans="9:15" x14ac:dyDescent="0.25">
      <c r="I8257" s="268"/>
      <c r="O8257" s="268"/>
    </row>
    <row r="8258" spans="9:15" x14ac:dyDescent="0.25">
      <c r="I8258" s="268"/>
      <c r="O8258" s="268"/>
    </row>
    <row r="8259" spans="9:15" x14ac:dyDescent="0.25">
      <c r="I8259" s="268"/>
      <c r="O8259" s="268"/>
    </row>
    <row r="8260" spans="9:15" x14ac:dyDescent="0.25">
      <c r="I8260" s="268"/>
      <c r="O8260" s="268"/>
    </row>
    <row r="8261" spans="9:15" x14ac:dyDescent="0.25">
      <c r="I8261" s="268"/>
      <c r="O8261" s="268"/>
    </row>
    <row r="8262" spans="9:15" x14ac:dyDescent="0.25">
      <c r="I8262" s="268"/>
      <c r="O8262" s="268"/>
    </row>
    <row r="8263" spans="9:15" x14ac:dyDescent="0.25">
      <c r="I8263" s="268"/>
      <c r="O8263" s="268"/>
    </row>
    <row r="8264" spans="9:15" x14ac:dyDescent="0.25">
      <c r="I8264" s="268"/>
      <c r="O8264" s="268"/>
    </row>
    <row r="8265" spans="9:15" x14ac:dyDescent="0.25">
      <c r="I8265" s="268"/>
      <c r="O8265" s="268"/>
    </row>
    <row r="8266" spans="9:15" x14ac:dyDescent="0.25">
      <c r="I8266" s="268"/>
      <c r="O8266" s="268"/>
    </row>
    <row r="8267" spans="9:15" x14ac:dyDescent="0.25">
      <c r="I8267" s="268"/>
      <c r="O8267" s="268"/>
    </row>
    <row r="8268" spans="9:15" x14ac:dyDescent="0.25">
      <c r="I8268" s="268"/>
      <c r="O8268" s="268"/>
    </row>
    <row r="8269" spans="9:15" x14ac:dyDescent="0.25">
      <c r="I8269" s="268"/>
      <c r="O8269" s="268"/>
    </row>
    <row r="8270" spans="9:15" x14ac:dyDescent="0.25">
      <c r="I8270" s="268"/>
      <c r="O8270" s="268"/>
    </row>
    <row r="8271" spans="9:15" x14ac:dyDescent="0.25">
      <c r="I8271" s="268"/>
      <c r="O8271" s="268"/>
    </row>
    <row r="8272" spans="9:15" x14ac:dyDescent="0.25">
      <c r="I8272" s="268"/>
      <c r="O8272" s="268"/>
    </row>
    <row r="8273" spans="9:15" x14ac:dyDescent="0.25">
      <c r="I8273" s="268"/>
      <c r="O8273" s="268"/>
    </row>
    <row r="8274" spans="9:15" x14ac:dyDescent="0.25">
      <c r="I8274" s="268"/>
      <c r="O8274" s="268"/>
    </row>
    <row r="8275" spans="9:15" x14ac:dyDescent="0.25">
      <c r="I8275" s="268"/>
      <c r="O8275" s="268"/>
    </row>
    <row r="8276" spans="9:15" x14ac:dyDescent="0.25">
      <c r="I8276" s="268"/>
      <c r="O8276" s="268"/>
    </row>
    <row r="8277" spans="9:15" x14ac:dyDescent="0.25">
      <c r="I8277" s="268"/>
      <c r="O8277" s="268"/>
    </row>
    <row r="8278" spans="9:15" x14ac:dyDescent="0.25">
      <c r="I8278" s="268"/>
      <c r="O8278" s="268"/>
    </row>
    <row r="8279" spans="9:15" x14ac:dyDescent="0.25">
      <c r="I8279" s="268"/>
      <c r="O8279" s="268"/>
    </row>
    <row r="8280" spans="9:15" x14ac:dyDescent="0.25">
      <c r="I8280" s="268"/>
      <c r="O8280" s="268"/>
    </row>
    <row r="8281" spans="9:15" x14ac:dyDescent="0.25">
      <c r="I8281" s="268"/>
      <c r="O8281" s="268"/>
    </row>
    <row r="8282" spans="9:15" x14ac:dyDescent="0.25">
      <c r="I8282" s="268"/>
      <c r="O8282" s="268"/>
    </row>
    <row r="8283" spans="9:15" x14ac:dyDescent="0.25">
      <c r="I8283" s="268"/>
      <c r="O8283" s="268"/>
    </row>
    <row r="8284" spans="9:15" x14ac:dyDescent="0.25">
      <c r="I8284" s="268"/>
      <c r="O8284" s="268"/>
    </row>
    <row r="8285" spans="9:15" x14ac:dyDescent="0.25">
      <c r="I8285" s="268"/>
      <c r="O8285" s="268"/>
    </row>
    <row r="8286" spans="9:15" x14ac:dyDescent="0.25">
      <c r="I8286" s="268"/>
      <c r="O8286" s="268"/>
    </row>
    <row r="8287" spans="9:15" x14ac:dyDescent="0.25">
      <c r="I8287" s="268"/>
      <c r="O8287" s="268"/>
    </row>
    <row r="8288" spans="9:15" x14ac:dyDescent="0.25">
      <c r="I8288" s="268"/>
      <c r="O8288" s="268"/>
    </row>
    <row r="8289" spans="9:15" x14ac:dyDescent="0.25">
      <c r="I8289" s="268"/>
      <c r="O8289" s="268"/>
    </row>
    <row r="8290" spans="9:15" x14ac:dyDescent="0.25">
      <c r="I8290" s="268"/>
      <c r="O8290" s="268"/>
    </row>
    <row r="8291" spans="9:15" x14ac:dyDescent="0.25">
      <c r="I8291" s="268"/>
      <c r="O8291" s="268"/>
    </row>
    <row r="8292" spans="9:15" x14ac:dyDescent="0.25">
      <c r="I8292" s="268"/>
      <c r="O8292" s="268"/>
    </row>
    <row r="8293" spans="9:15" x14ac:dyDescent="0.25">
      <c r="I8293" s="268"/>
      <c r="O8293" s="268"/>
    </row>
    <row r="8294" spans="9:15" x14ac:dyDescent="0.25">
      <c r="I8294" s="268"/>
      <c r="O8294" s="268"/>
    </row>
    <row r="8295" spans="9:15" x14ac:dyDescent="0.25">
      <c r="I8295" s="268"/>
      <c r="O8295" s="268"/>
    </row>
    <row r="8296" spans="9:15" x14ac:dyDescent="0.25">
      <c r="I8296" s="268"/>
      <c r="O8296" s="268"/>
    </row>
    <row r="8297" spans="9:15" x14ac:dyDescent="0.25">
      <c r="I8297" s="268"/>
      <c r="O8297" s="268"/>
    </row>
    <row r="8298" spans="9:15" x14ac:dyDescent="0.25">
      <c r="I8298" s="268"/>
      <c r="O8298" s="268"/>
    </row>
    <row r="8299" spans="9:15" x14ac:dyDescent="0.25">
      <c r="I8299" s="268"/>
      <c r="O8299" s="268"/>
    </row>
    <row r="8300" spans="9:15" x14ac:dyDescent="0.25">
      <c r="I8300" s="268"/>
      <c r="O8300" s="268"/>
    </row>
    <row r="8301" spans="9:15" x14ac:dyDescent="0.25">
      <c r="I8301" s="268"/>
      <c r="O8301" s="268"/>
    </row>
    <row r="8302" spans="9:15" x14ac:dyDescent="0.25">
      <c r="I8302" s="268"/>
      <c r="O8302" s="268"/>
    </row>
    <row r="8303" spans="9:15" x14ac:dyDescent="0.25">
      <c r="I8303" s="268"/>
      <c r="O8303" s="268"/>
    </row>
    <row r="8304" spans="9:15" x14ac:dyDescent="0.25">
      <c r="I8304" s="268"/>
      <c r="O8304" s="268"/>
    </row>
    <row r="8305" spans="9:15" x14ac:dyDescent="0.25">
      <c r="I8305" s="268"/>
      <c r="O8305" s="268"/>
    </row>
    <row r="8306" spans="9:15" x14ac:dyDescent="0.25">
      <c r="I8306" s="268"/>
      <c r="O8306" s="268"/>
    </row>
    <row r="8307" spans="9:15" x14ac:dyDescent="0.25">
      <c r="I8307" s="268"/>
      <c r="O8307" s="268"/>
    </row>
    <row r="8308" spans="9:15" x14ac:dyDescent="0.25">
      <c r="I8308" s="268"/>
      <c r="O8308" s="268"/>
    </row>
    <row r="8309" spans="9:15" x14ac:dyDescent="0.25">
      <c r="I8309" s="268"/>
      <c r="O8309" s="268"/>
    </row>
    <row r="8310" spans="9:15" x14ac:dyDescent="0.25">
      <c r="I8310" s="268"/>
      <c r="O8310" s="268"/>
    </row>
    <row r="8311" spans="9:15" x14ac:dyDescent="0.25">
      <c r="I8311" s="268"/>
      <c r="O8311" s="268"/>
    </row>
    <row r="8312" spans="9:15" x14ac:dyDescent="0.25">
      <c r="I8312" s="268"/>
      <c r="O8312" s="268"/>
    </row>
    <row r="8313" spans="9:15" x14ac:dyDescent="0.25">
      <c r="I8313" s="268"/>
      <c r="O8313" s="268"/>
    </row>
    <row r="8314" spans="9:15" x14ac:dyDescent="0.25">
      <c r="I8314" s="268"/>
      <c r="O8314" s="268"/>
    </row>
    <row r="8315" spans="9:15" x14ac:dyDescent="0.25">
      <c r="I8315" s="268"/>
      <c r="O8315" s="268"/>
    </row>
    <row r="8316" spans="9:15" x14ac:dyDescent="0.25">
      <c r="I8316" s="268"/>
      <c r="O8316" s="268"/>
    </row>
    <row r="8317" spans="9:15" x14ac:dyDescent="0.25">
      <c r="I8317" s="268"/>
      <c r="O8317" s="268"/>
    </row>
    <row r="8318" spans="9:15" x14ac:dyDescent="0.25">
      <c r="I8318" s="268"/>
      <c r="O8318" s="268"/>
    </row>
    <row r="8319" spans="9:15" x14ac:dyDescent="0.25">
      <c r="I8319" s="268"/>
      <c r="O8319" s="268"/>
    </row>
    <row r="8320" spans="9:15" x14ac:dyDescent="0.25">
      <c r="I8320" s="268"/>
      <c r="O8320" s="268"/>
    </row>
    <row r="8321" spans="9:15" x14ac:dyDescent="0.25">
      <c r="I8321" s="268"/>
      <c r="O8321" s="268"/>
    </row>
    <row r="8322" spans="9:15" x14ac:dyDescent="0.25">
      <c r="I8322" s="268"/>
      <c r="O8322" s="268"/>
    </row>
    <row r="8323" spans="9:15" x14ac:dyDescent="0.25">
      <c r="I8323" s="268"/>
      <c r="O8323" s="268"/>
    </row>
    <row r="8324" spans="9:15" x14ac:dyDescent="0.25">
      <c r="I8324" s="268"/>
      <c r="O8324" s="268"/>
    </row>
    <row r="8325" spans="9:15" x14ac:dyDescent="0.25">
      <c r="I8325" s="268"/>
      <c r="O8325" s="268"/>
    </row>
    <row r="8326" spans="9:15" x14ac:dyDescent="0.25">
      <c r="I8326" s="268"/>
      <c r="O8326" s="268"/>
    </row>
    <row r="8327" spans="9:15" x14ac:dyDescent="0.25">
      <c r="I8327" s="268"/>
      <c r="O8327" s="268"/>
    </row>
    <row r="8328" spans="9:15" x14ac:dyDescent="0.25">
      <c r="I8328" s="268"/>
      <c r="O8328" s="268"/>
    </row>
    <row r="8329" spans="9:15" x14ac:dyDescent="0.25">
      <c r="I8329" s="268"/>
      <c r="O8329" s="268"/>
    </row>
    <row r="8330" spans="9:15" x14ac:dyDescent="0.25">
      <c r="I8330" s="268"/>
      <c r="O8330" s="268"/>
    </row>
    <row r="8331" spans="9:15" x14ac:dyDescent="0.25">
      <c r="I8331" s="268"/>
      <c r="O8331" s="268"/>
    </row>
    <row r="8332" spans="9:15" x14ac:dyDescent="0.25">
      <c r="I8332" s="268"/>
      <c r="O8332" s="268"/>
    </row>
    <row r="8333" spans="9:15" x14ac:dyDescent="0.25">
      <c r="I8333" s="268"/>
      <c r="O8333" s="268"/>
    </row>
    <row r="8334" spans="9:15" x14ac:dyDescent="0.25">
      <c r="I8334" s="268"/>
      <c r="O8334" s="268"/>
    </row>
    <row r="8335" spans="9:15" x14ac:dyDescent="0.25">
      <c r="I8335" s="268"/>
      <c r="O8335" s="268"/>
    </row>
    <row r="8336" spans="9:15" x14ac:dyDescent="0.25">
      <c r="I8336" s="268"/>
      <c r="O8336" s="268"/>
    </row>
    <row r="8337" spans="9:15" x14ac:dyDescent="0.25">
      <c r="I8337" s="268"/>
      <c r="O8337" s="268"/>
    </row>
    <row r="8338" spans="9:15" x14ac:dyDescent="0.25">
      <c r="I8338" s="268"/>
      <c r="O8338" s="268"/>
    </row>
    <row r="8339" spans="9:15" x14ac:dyDescent="0.25">
      <c r="I8339" s="268"/>
      <c r="O8339" s="268"/>
    </row>
    <row r="8340" spans="9:15" x14ac:dyDescent="0.25">
      <c r="I8340" s="268"/>
      <c r="O8340" s="268"/>
    </row>
    <row r="8341" spans="9:15" x14ac:dyDescent="0.25">
      <c r="I8341" s="268"/>
      <c r="O8341" s="268"/>
    </row>
    <row r="8342" spans="9:15" x14ac:dyDescent="0.25">
      <c r="I8342" s="268"/>
      <c r="O8342" s="268"/>
    </row>
    <row r="8343" spans="9:15" x14ac:dyDescent="0.25">
      <c r="I8343" s="268"/>
      <c r="O8343" s="268"/>
    </row>
    <row r="8344" spans="9:15" x14ac:dyDescent="0.25">
      <c r="I8344" s="268"/>
      <c r="O8344" s="268"/>
    </row>
    <row r="8345" spans="9:15" x14ac:dyDescent="0.25">
      <c r="I8345" s="268"/>
      <c r="O8345" s="268"/>
    </row>
    <row r="8346" spans="9:15" x14ac:dyDescent="0.25">
      <c r="I8346" s="268"/>
      <c r="O8346" s="268"/>
    </row>
    <row r="8347" spans="9:15" x14ac:dyDescent="0.25">
      <c r="I8347" s="268"/>
      <c r="O8347" s="268"/>
    </row>
    <row r="8348" spans="9:15" x14ac:dyDescent="0.25">
      <c r="I8348" s="268"/>
      <c r="O8348" s="268"/>
    </row>
    <row r="8349" spans="9:15" x14ac:dyDescent="0.25">
      <c r="I8349" s="268"/>
      <c r="O8349" s="268"/>
    </row>
    <row r="8350" spans="9:15" x14ac:dyDescent="0.25">
      <c r="I8350" s="268"/>
      <c r="O8350" s="268"/>
    </row>
    <row r="8351" spans="9:15" x14ac:dyDescent="0.25">
      <c r="I8351" s="268"/>
      <c r="O8351" s="268"/>
    </row>
    <row r="8352" spans="9:15" x14ac:dyDescent="0.25">
      <c r="I8352" s="268"/>
      <c r="O8352" s="268"/>
    </row>
    <row r="8353" spans="9:15" x14ac:dyDescent="0.25">
      <c r="I8353" s="268"/>
      <c r="O8353" s="268"/>
    </row>
    <row r="8354" spans="9:15" x14ac:dyDescent="0.25">
      <c r="I8354" s="268"/>
      <c r="O8354" s="268"/>
    </row>
    <row r="8355" spans="9:15" x14ac:dyDescent="0.25">
      <c r="I8355" s="268"/>
      <c r="O8355" s="268"/>
    </row>
    <row r="8356" spans="9:15" x14ac:dyDescent="0.25">
      <c r="I8356" s="268"/>
      <c r="O8356" s="268"/>
    </row>
    <row r="8357" spans="9:15" x14ac:dyDescent="0.25">
      <c r="I8357" s="268"/>
      <c r="O8357" s="268"/>
    </row>
    <row r="8358" spans="9:15" x14ac:dyDescent="0.25">
      <c r="I8358" s="268"/>
      <c r="O8358" s="268"/>
    </row>
    <row r="8359" spans="9:15" x14ac:dyDescent="0.25">
      <c r="I8359" s="268"/>
      <c r="O8359" s="268"/>
    </row>
    <row r="8360" spans="9:15" x14ac:dyDescent="0.25">
      <c r="I8360" s="268"/>
      <c r="O8360" s="268"/>
    </row>
    <row r="8361" spans="9:15" x14ac:dyDescent="0.25">
      <c r="I8361" s="268"/>
      <c r="O8361" s="268"/>
    </row>
    <row r="8362" spans="9:15" x14ac:dyDescent="0.25">
      <c r="I8362" s="268"/>
      <c r="O8362" s="268"/>
    </row>
    <row r="8363" spans="9:15" x14ac:dyDescent="0.25">
      <c r="I8363" s="268"/>
      <c r="O8363" s="268"/>
    </row>
    <row r="8364" spans="9:15" x14ac:dyDescent="0.25">
      <c r="I8364" s="268"/>
      <c r="O8364" s="268"/>
    </row>
    <row r="8365" spans="9:15" x14ac:dyDescent="0.25">
      <c r="I8365" s="268"/>
      <c r="O8365" s="268"/>
    </row>
    <row r="8366" spans="9:15" x14ac:dyDescent="0.25">
      <c r="I8366" s="268"/>
      <c r="O8366" s="268"/>
    </row>
    <row r="8367" spans="9:15" x14ac:dyDescent="0.25">
      <c r="I8367" s="268"/>
      <c r="O8367" s="268"/>
    </row>
    <row r="8368" spans="9:15" x14ac:dyDescent="0.25">
      <c r="I8368" s="268"/>
      <c r="O8368" s="268"/>
    </row>
    <row r="8369" spans="9:15" x14ac:dyDescent="0.25">
      <c r="I8369" s="268"/>
      <c r="O8369" s="268"/>
    </row>
    <row r="8370" spans="9:15" x14ac:dyDescent="0.25">
      <c r="I8370" s="268"/>
      <c r="O8370" s="268"/>
    </row>
    <row r="8371" spans="9:15" x14ac:dyDescent="0.25">
      <c r="I8371" s="268"/>
      <c r="O8371" s="268"/>
    </row>
    <row r="8372" spans="9:15" x14ac:dyDescent="0.25">
      <c r="I8372" s="268"/>
      <c r="O8372" s="268"/>
    </row>
    <row r="8373" spans="9:15" x14ac:dyDescent="0.25">
      <c r="I8373" s="268"/>
      <c r="O8373" s="268"/>
    </row>
    <row r="8374" spans="9:15" x14ac:dyDescent="0.25">
      <c r="I8374" s="268"/>
      <c r="O8374" s="268"/>
    </row>
    <row r="8375" spans="9:15" x14ac:dyDescent="0.25">
      <c r="I8375" s="268"/>
      <c r="O8375" s="268"/>
    </row>
    <row r="8376" spans="9:15" x14ac:dyDescent="0.25">
      <c r="I8376" s="268"/>
      <c r="O8376" s="268"/>
    </row>
    <row r="8377" spans="9:15" x14ac:dyDescent="0.25">
      <c r="I8377" s="268"/>
      <c r="O8377" s="268"/>
    </row>
    <row r="8378" spans="9:15" x14ac:dyDescent="0.25">
      <c r="I8378" s="268"/>
      <c r="O8378" s="268"/>
    </row>
    <row r="8379" spans="9:15" x14ac:dyDescent="0.25">
      <c r="I8379" s="268"/>
      <c r="O8379" s="268"/>
    </row>
    <row r="8380" spans="9:15" x14ac:dyDescent="0.25">
      <c r="I8380" s="268"/>
      <c r="O8380" s="268"/>
    </row>
    <row r="8381" spans="9:15" x14ac:dyDescent="0.25">
      <c r="I8381" s="268"/>
      <c r="O8381" s="268"/>
    </row>
    <row r="8382" spans="9:15" x14ac:dyDescent="0.25">
      <c r="I8382" s="268"/>
      <c r="O8382" s="268"/>
    </row>
    <row r="8383" spans="9:15" x14ac:dyDescent="0.25">
      <c r="I8383" s="268"/>
      <c r="O8383" s="268"/>
    </row>
    <row r="8384" spans="9:15" x14ac:dyDescent="0.25">
      <c r="I8384" s="268"/>
      <c r="O8384" s="268"/>
    </row>
    <row r="8385" spans="9:15" x14ac:dyDescent="0.25">
      <c r="I8385" s="268"/>
      <c r="O8385" s="268"/>
    </row>
    <row r="8386" spans="9:15" x14ac:dyDescent="0.25">
      <c r="I8386" s="268"/>
      <c r="O8386" s="268"/>
    </row>
    <row r="8387" spans="9:15" x14ac:dyDescent="0.25">
      <c r="I8387" s="268"/>
      <c r="O8387" s="268"/>
    </row>
    <row r="8388" spans="9:15" x14ac:dyDescent="0.25">
      <c r="I8388" s="268"/>
      <c r="O8388" s="268"/>
    </row>
    <row r="8389" spans="9:15" x14ac:dyDescent="0.25">
      <c r="I8389" s="268"/>
      <c r="O8389" s="268"/>
    </row>
    <row r="8390" spans="9:15" x14ac:dyDescent="0.25">
      <c r="I8390" s="268"/>
      <c r="O8390" s="268"/>
    </row>
    <row r="8391" spans="9:15" x14ac:dyDescent="0.25">
      <c r="I8391" s="268"/>
      <c r="O8391" s="268"/>
    </row>
    <row r="8392" spans="9:15" x14ac:dyDescent="0.25">
      <c r="I8392" s="268"/>
      <c r="O8392" s="268"/>
    </row>
    <row r="8393" spans="9:15" x14ac:dyDescent="0.25">
      <c r="I8393" s="268"/>
      <c r="O8393" s="268"/>
    </row>
    <row r="8394" spans="9:15" x14ac:dyDescent="0.25">
      <c r="I8394" s="268"/>
      <c r="O8394" s="268"/>
    </row>
    <row r="8395" spans="9:15" x14ac:dyDescent="0.25">
      <c r="I8395" s="268"/>
      <c r="O8395" s="268"/>
    </row>
    <row r="8396" spans="9:15" x14ac:dyDescent="0.25">
      <c r="I8396" s="268"/>
      <c r="O8396" s="268"/>
    </row>
    <row r="8397" spans="9:15" x14ac:dyDescent="0.25">
      <c r="I8397" s="268"/>
      <c r="O8397" s="268"/>
    </row>
    <row r="8398" spans="9:15" x14ac:dyDescent="0.25">
      <c r="I8398" s="268"/>
      <c r="O8398" s="268"/>
    </row>
    <row r="8399" spans="9:15" x14ac:dyDescent="0.25">
      <c r="I8399" s="268"/>
      <c r="O8399" s="268"/>
    </row>
    <row r="8400" spans="9:15" x14ac:dyDescent="0.25">
      <c r="I8400" s="268"/>
      <c r="O8400" s="268"/>
    </row>
    <row r="8401" spans="9:15" x14ac:dyDescent="0.25">
      <c r="I8401" s="268"/>
      <c r="O8401" s="268"/>
    </row>
    <row r="8402" spans="9:15" x14ac:dyDescent="0.25">
      <c r="I8402" s="268"/>
      <c r="O8402" s="268"/>
    </row>
    <row r="8403" spans="9:15" x14ac:dyDescent="0.25">
      <c r="I8403" s="268"/>
      <c r="O8403" s="268"/>
    </row>
    <row r="8404" spans="9:15" x14ac:dyDescent="0.25">
      <c r="I8404" s="268"/>
      <c r="O8404" s="268"/>
    </row>
    <row r="8405" spans="9:15" x14ac:dyDescent="0.25">
      <c r="I8405" s="268"/>
      <c r="O8405" s="268"/>
    </row>
    <row r="8406" spans="9:15" x14ac:dyDescent="0.25">
      <c r="I8406" s="268"/>
      <c r="O8406" s="268"/>
    </row>
    <row r="8407" spans="9:15" x14ac:dyDescent="0.25">
      <c r="I8407" s="268"/>
      <c r="O8407" s="268"/>
    </row>
    <row r="8408" spans="9:15" x14ac:dyDescent="0.25">
      <c r="I8408" s="268"/>
      <c r="O8408" s="268"/>
    </row>
    <row r="8409" spans="9:15" x14ac:dyDescent="0.25">
      <c r="I8409" s="268"/>
      <c r="O8409" s="268"/>
    </row>
    <row r="8410" spans="9:15" x14ac:dyDescent="0.25">
      <c r="I8410" s="268"/>
      <c r="O8410" s="268"/>
    </row>
    <row r="8411" spans="9:15" x14ac:dyDescent="0.25">
      <c r="I8411" s="268"/>
      <c r="O8411" s="268"/>
    </row>
    <row r="8412" spans="9:15" x14ac:dyDescent="0.25">
      <c r="I8412" s="268"/>
      <c r="O8412" s="268"/>
    </row>
    <row r="8413" spans="9:15" x14ac:dyDescent="0.25">
      <c r="I8413" s="268"/>
      <c r="O8413" s="268"/>
    </row>
    <row r="8414" spans="9:15" x14ac:dyDescent="0.25">
      <c r="I8414" s="268"/>
      <c r="O8414" s="268"/>
    </row>
    <row r="8415" spans="9:15" x14ac:dyDescent="0.25">
      <c r="I8415" s="268"/>
      <c r="O8415" s="268"/>
    </row>
    <row r="8416" spans="9:15" x14ac:dyDescent="0.25">
      <c r="I8416" s="268"/>
      <c r="O8416" s="268"/>
    </row>
    <row r="8417" spans="9:15" x14ac:dyDescent="0.25">
      <c r="I8417" s="268"/>
      <c r="O8417" s="268"/>
    </row>
    <row r="8418" spans="9:15" x14ac:dyDescent="0.25">
      <c r="I8418" s="268"/>
      <c r="O8418" s="268"/>
    </row>
    <row r="8419" spans="9:15" x14ac:dyDescent="0.25">
      <c r="I8419" s="268"/>
      <c r="O8419" s="268"/>
    </row>
    <row r="8420" spans="9:15" x14ac:dyDescent="0.25">
      <c r="I8420" s="268"/>
      <c r="O8420" s="268"/>
    </row>
    <row r="8421" spans="9:15" x14ac:dyDescent="0.25">
      <c r="I8421" s="268"/>
      <c r="O8421" s="268"/>
    </row>
    <row r="8422" spans="9:15" x14ac:dyDescent="0.25">
      <c r="I8422" s="268"/>
      <c r="O8422" s="268"/>
    </row>
    <row r="8423" spans="9:15" x14ac:dyDescent="0.25">
      <c r="I8423" s="268"/>
      <c r="O8423" s="268"/>
    </row>
    <row r="8424" spans="9:15" x14ac:dyDescent="0.25">
      <c r="I8424" s="268"/>
      <c r="O8424" s="268"/>
    </row>
    <row r="8425" spans="9:15" x14ac:dyDescent="0.25">
      <c r="I8425" s="268"/>
      <c r="O8425" s="268"/>
    </row>
    <row r="8426" spans="9:15" x14ac:dyDescent="0.25">
      <c r="I8426" s="268"/>
      <c r="O8426" s="268"/>
    </row>
    <row r="8427" spans="9:15" x14ac:dyDescent="0.25">
      <c r="I8427" s="268"/>
      <c r="O8427" s="268"/>
    </row>
    <row r="8428" spans="9:15" x14ac:dyDescent="0.25">
      <c r="I8428" s="268"/>
      <c r="O8428" s="268"/>
    </row>
    <row r="8429" spans="9:15" x14ac:dyDescent="0.25">
      <c r="I8429" s="268"/>
      <c r="O8429" s="268"/>
    </row>
    <row r="8430" spans="9:15" x14ac:dyDescent="0.25">
      <c r="I8430" s="268"/>
      <c r="O8430" s="268"/>
    </row>
    <row r="8431" spans="9:15" x14ac:dyDescent="0.25">
      <c r="I8431" s="268"/>
      <c r="O8431" s="268"/>
    </row>
    <row r="8432" spans="9:15" x14ac:dyDescent="0.25">
      <c r="I8432" s="268"/>
      <c r="O8432" s="268"/>
    </row>
    <row r="8433" spans="9:15" x14ac:dyDescent="0.25">
      <c r="I8433" s="268"/>
      <c r="O8433" s="268"/>
    </row>
    <row r="8434" spans="9:15" x14ac:dyDescent="0.25">
      <c r="I8434" s="268"/>
      <c r="O8434" s="268"/>
    </row>
    <row r="8435" spans="9:15" x14ac:dyDescent="0.25">
      <c r="I8435" s="268"/>
      <c r="O8435" s="268"/>
    </row>
    <row r="8436" spans="9:15" x14ac:dyDescent="0.25">
      <c r="I8436" s="268"/>
      <c r="O8436" s="268"/>
    </row>
    <row r="8437" spans="9:15" x14ac:dyDescent="0.25">
      <c r="I8437" s="268"/>
      <c r="O8437" s="268"/>
    </row>
    <row r="8438" spans="9:15" x14ac:dyDescent="0.25">
      <c r="I8438" s="268"/>
      <c r="O8438" s="268"/>
    </row>
    <row r="8439" spans="9:15" x14ac:dyDescent="0.25">
      <c r="I8439" s="268"/>
      <c r="O8439" s="268"/>
    </row>
    <row r="8440" spans="9:15" x14ac:dyDescent="0.25">
      <c r="I8440" s="268"/>
      <c r="O8440" s="268"/>
    </row>
    <row r="8441" spans="9:15" x14ac:dyDescent="0.25">
      <c r="I8441" s="268"/>
      <c r="O8441" s="268"/>
    </row>
    <row r="8442" spans="9:15" x14ac:dyDescent="0.25">
      <c r="I8442" s="268"/>
      <c r="O8442" s="268"/>
    </row>
    <row r="8443" spans="9:15" x14ac:dyDescent="0.25">
      <c r="I8443" s="268"/>
      <c r="O8443" s="268"/>
    </row>
    <row r="8444" spans="9:15" x14ac:dyDescent="0.25">
      <c r="I8444" s="268"/>
      <c r="O8444" s="268"/>
    </row>
    <row r="8445" spans="9:15" x14ac:dyDescent="0.25">
      <c r="I8445" s="268"/>
      <c r="O8445" s="268"/>
    </row>
    <row r="8446" spans="9:15" x14ac:dyDescent="0.25">
      <c r="I8446" s="268"/>
      <c r="O8446" s="268"/>
    </row>
    <row r="8447" spans="9:15" x14ac:dyDescent="0.25">
      <c r="I8447" s="268"/>
      <c r="O8447" s="268"/>
    </row>
    <row r="8448" spans="9:15" x14ac:dyDescent="0.25">
      <c r="I8448" s="268"/>
      <c r="O8448" s="268"/>
    </row>
    <row r="8449" spans="9:15" x14ac:dyDescent="0.25">
      <c r="I8449" s="268"/>
      <c r="O8449" s="268"/>
    </row>
    <row r="8450" spans="9:15" x14ac:dyDescent="0.25">
      <c r="I8450" s="268"/>
      <c r="O8450" s="268"/>
    </row>
    <row r="8451" spans="9:15" x14ac:dyDescent="0.25">
      <c r="I8451" s="268"/>
      <c r="O8451" s="268"/>
    </row>
    <row r="8452" spans="9:15" x14ac:dyDescent="0.25">
      <c r="I8452" s="268"/>
      <c r="O8452" s="268"/>
    </row>
    <row r="8453" spans="9:15" x14ac:dyDescent="0.25">
      <c r="I8453" s="268"/>
      <c r="O8453" s="268"/>
    </row>
    <row r="8454" spans="9:15" x14ac:dyDescent="0.25">
      <c r="I8454" s="268"/>
      <c r="O8454" s="268"/>
    </row>
    <row r="8455" spans="9:15" x14ac:dyDescent="0.25">
      <c r="I8455" s="268"/>
      <c r="O8455" s="268"/>
    </row>
    <row r="8456" spans="9:15" x14ac:dyDescent="0.25">
      <c r="I8456" s="268"/>
      <c r="O8456" s="268"/>
    </row>
    <row r="8457" spans="9:15" x14ac:dyDescent="0.25">
      <c r="I8457" s="268"/>
      <c r="O8457" s="268"/>
    </row>
    <row r="8458" spans="9:15" x14ac:dyDescent="0.25">
      <c r="I8458" s="268"/>
      <c r="O8458" s="268"/>
    </row>
    <row r="8459" spans="9:15" x14ac:dyDescent="0.25">
      <c r="I8459" s="268"/>
      <c r="O8459" s="268"/>
    </row>
    <row r="8460" spans="9:15" x14ac:dyDescent="0.25">
      <c r="I8460" s="268"/>
      <c r="O8460" s="268"/>
    </row>
    <row r="8461" spans="9:15" x14ac:dyDescent="0.25">
      <c r="I8461" s="268"/>
      <c r="O8461" s="268"/>
    </row>
    <row r="8462" spans="9:15" x14ac:dyDescent="0.25">
      <c r="I8462" s="268"/>
      <c r="O8462" s="268"/>
    </row>
    <row r="8463" spans="9:15" x14ac:dyDescent="0.25">
      <c r="I8463" s="268"/>
      <c r="O8463" s="268"/>
    </row>
    <row r="8464" spans="9:15" x14ac:dyDescent="0.25">
      <c r="I8464" s="268"/>
      <c r="O8464" s="268"/>
    </row>
    <row r="8465" spans="9:15" x14ac:dyDescent="0.25">
      <c r="I8465" s="268"/>
      <c r="O8465" s="268"/>
    </row>
    <row r="8466" spans="9:15" x14ac:dyDescent="0.25">
      <c r="I8466" s="268"/>
      <c r="O8466" s="268"/>
    </row>
    <row r="8467" spans="9:15" x14ac:dyDescent="0.25">
      <c r="I8467" s="268"/>
      <c r="O8467" s="268"/>
    </row>
    <row r="8468" spans="9:15" x14ac:dyDescent="0.25">
      <c r="I8468" s="268"/>
      <c r="O8468" s="268"/>
    </row>
    <row r="8469" spans="9:15" x14ac:dyDescent="0.25">
      <c r="I8469" s="268"/>
      <c r="O8469" s="268"/>
    </row>
    <row r="8470" spans="9:15" x14ac:dyDescent="0.25">
      <c r="I8470" s="268"/>
      <c r="O8470" s="268"/>
    </row>
    <row r="8471" spans="9:15" x14ac:dyDescent="0.25">
      <c r="I8471" s="268"/>
      <c r="O8471" s="268"/>
    </row>
    <row r="8472" spans="9:15" x14ac:dyDescent="0.25">
      <c r="I8472" s="268"/>
      <c r="O8472" s="268"/>
    </row>
    <row r="8473" spans="9:15" x14ac:dyDescent="0.25">
      <c r="I8473" s="268"/>
      <c r="O8473" s="268"/>
    </row>
    <row r="8474" spans="9:15" x14ac:dyDescent="0.25">
      <c r="I8474" s="268"/>
      <c r="O8474" s="268"/>
    </row>
    <row r="8475" spans="9:15" x14ac:dyDescent="0.25">
      <c r="I8475" s="268"/>
      <c r="O8475" s="268"/>
    </row>
    <row r="8476" spans="9:15" x14ac:dyDescent="0.25">
      <c r="I8476" s="268"/>
      <c r="O8476" s="268"/>
    </row>
    <row r="8477" spans="9:15" x14ac:dyDescent="0.25">
      <c r="I8477" s="268"/>
      <c r="O8477" s="268"/>
    </row>
    <row r="8478" spans="9:15" x14ac:dyDescent="0.25">
      <c r="I8478" s="268"/>
      <c r="O8478" s="268"/>
    </row>
    <row r="8479" spans="9:15" x14ac:dyDescent="0.25">
      <c r="I8479" s="268"/>
      <c r="O8479" s="268"/>
    </row>
    <row r="8480" spans="9:15" x14ac:dyDescent="0.25">
      <c r="I8480" s="268"/>
      <c r="O8480" s="268"/>
    </row>
    <row r="8481" spans="9:15" x14ac:dyDescent="0.25">
      <c r="I8481" s="268"/>
      <c r="O8481" s="268"/>
    </row>
    <row r="8482" spans="9:15" x14ac:dyDescent="0.25">
      <c r="I8482" s="268"/>
      <c r="O8482" s="268"/>
    </row>
    <row r="8483" spans="9:15" x14ac:dyDescent="0.25">
      <c r="I8483" s="268"/>
      <c r="O8483" s="268"/>
    </row>
    <row r="8484" spans="9:15" x14ac:dyDescent="0.25">
      <c r="I8484" s="268"/>
      <c r="O8484" s="268"/>
    </row>
    <row r="8485" spans="9:15" x14ac:dyDescent="0.25">
      <c r="I8485" s="268"/>
      <c r="O8485" s="268"/>
    </row>
    <row r="8486" spans="9:15" x14ac:dyDescent="0.25">
      <c r="I8486" s="268"/>
      <c r="O8486" s="268"/>
    </row>
    <row r="8487" spans="9:15" x14ac:dyDescent="0.25">
      <c r="I8487" s="268"/>
      <c r="O8487" s="268"/>
    </row>
    <row r="8488" spans="9:15" x14ac:dyDescent="0.25">
      <c r="I8488" s="268"/>
      <c r="O8488" s="268"/>
    </row>
    <row r="8489" spans="9:15" x14ac:dyDescent="0.25">
      <c r="I8489" s="268"/>
      <c r="O8489" s="268"/>
    </row>
    <row r="8490" spans="9:15" x14ac:dyDescent="0.25">
      <c r="I8490" s="268"/>
      <c r="O8490" s="268"/>
    </row>
    <row r="8491" spans="9:15" x14ac:dyDescent="0.25">
      <c r="I8491" s="268"/>
      <c r="O8491" s="268"/>
    </row>
    <row r="8492" spans="9:15" x14ac:dyDescent="0.25">
      <c r="I8492" s="268"/>
      <c r="O8492" s="268"/>
    </row>
    <row r="8493" spans="9:15" x14ac:dyDescent="0.25">
      <c r="I8493" s="268"/>
      <c r="O8493" s="268"/>
    </row>
    <row r="8494" spans="9:15" x14ac:dyDescent="0.25">
      <c r="I8494" s="268"/>
      <c r="O8494" s="268"/>
    </row>
    <row r="8495" spans="9:15" x14ac:dyDescent="0.25">
      <c r="I8495" s="268"/>
      <c r="O8495" s="268"/>
    </row>
    <row r="8496" spans="9:15" x14ac:dyDescent="0.25">
      <c r="I8496" s="268"/>
      <c r="O8496" s="268"/>
    </row>
    <row r="8497" spans="9:15" x14ac:dyDescent="0.25">
      <c r="I8497" s="268"/>
      <c r="O8497" s="268"/>
    </row>
    <row r="8498" spans="9:15" x14ac:dyDescent="0.25">
      <c r="I8498" s="268"/>
      <c r="O8498" s="268"/>
    </row>
    <row r="8499" spans="9:15" x14ac:dyDescent="0.25">
      <c r="I8499" s="268"/>
      <c r="O8499" s="268"/>
    </row>
    <row r="8500" spans="9:15" x14ac:dyDescent="0.25">
      <c r="I8500" s="268"/>
      <c r="O8500" s="268"/>
    </row>
    <row r="8501" spans="9:15" x14ac:dyDescent="0.25">
      <c r="I8501" s="268"/>
      <c r="O8501" s="268"/>
    </row>
    <row r="8502" spans="9:15" x14ac:dyDescent="0.25">
      <c r="I8502" s="268"/>
      <c r="O8502" s="268"/>
    </row>
    <row r="8503" spans="9:15" x14ac:dyDescent="0.25">
      <c r="I8503" s="268"/>
      <c r="O8503" s="268"/>
    </row>
    <row r="8504" spans="9:15" x14ac:dyDescent="0.25">
      <c r="I8504" s="268"/>
      <c r="O8504" s="268"/>
    </row>
    <row r="8505" spans="9:15" x14ac:dyDescent="0.25">
      <c r="I8505" s="268"/>
      <c r="O8505" s="268"/>
    </row>
    <row r="8506" spans="9:15" x14ac:dyDescent="0.25">
      <c r="I8506" s="268"/>
      <c r="O8506" s="268"/>
    </row>
    <row r="8507" spans="9:15" x14ac:dyDescent="0.25">
      <c r="I8507" s="268"/>
      <c r="O8507" s="268"/>
    </row>
    <row r="8508" spans="9:15" x14ac:dyDescent="0.25">
      <c r="I8508" s="268"/>
      <c r="O8508" s="268"/>
    </row>
    <row r="8509" spans="9:15" x14ac:dyDescent="0.25">
      <c r="I8509" s="268"/>
      <c r="O8509" s="268"/>
    </row>
    <row r="8510" spans="9:15" x14ac:dyDescent="0.25">
      <c r="I8510" s="268"/>
      <c r="O8510" s="268"/>
    </row>
    <row r="8511" spans="9:15" x14ac:dyDescent="0.25">
      <c r="I8511" s="268"/>
      <c r="O8511" s="268"/>
    </row>
    <row r="8512" spans="9:15" x14ac:dyDescent="0.25">
      <c r="I8512" s="268"/>
      <c r="O8512" s="268"/>
    </row>
    <row r="8513" spans="9:15" x14ac:dyDescent="0.25">
      <c r="I8513" s="268"/>
      <c r="O8513" s="268"/>
    </row>
    <row r="8514" spans="9:15" x14ac:dyDescent="0.25">
      <c r="I8514" s="268"/>
      <c r="O8514" s="268"/>
    </row>
    <row r="8515" spans="9:15" x14ac:dyDescent="0.25">
      <c r="I8515" s="268"/>
      <c r="O8515" s="268"/>
    </row>
    <row r="8516" spans="9:15" x14ac:dyDescent="0.25">
      <c r="I8516" s="268"/>
      <c r="O8516" s="268"/>
    </row>
    <row r="8517" spans="9:15" x14ac:dyDescent="0.25">
      <c r="I8517" s="268"/>
      <c r="O8517" s="268"/>
    </row>
    <row r="8518" spans="9:15" x14ac:dyDescent="0.25">
      <c r="I8518" s="268"/>
      <c r="O8518" s="268"/>
    </row>
    <row r="8519" spans="9:15" x14ac:dyDescent="0.25">
      <c r="I8519" s="268"/>
      <c r="O8519" s="268"/>
    </row>
    <row r="8520" spans="9:15" x14ac:dyDescent="0.25">
      <c r="I8520" s="268"/>
      <c r="O8520" s="268"/>
    </row>
    <row r="8521" spans="9:15" x14ac:dyDescent="0.25">
      <c r="I8521" s="268"/>
      <c r="O8521" s="268"/>
    </row>
    <row r="8522" spans="9:15" x14ac:dyDescent="0.25">
      <c r="I8522" s="268"/>
      <c r="O8522" s="268"/>
    </row>
    <row r="8523" spans="9:15" x14ac:dyDescent="0.25">
      <c r="I8523" s="268"/>
      <c r="O8523" s="268"/>
    </row>
    <row r="8524" spans="9:15" x14ac:dyDescent="0.25">
      <c r="I8524" s="268"/>
      <c r="O8524" s="268"/>
    </row>
    <row r="8525" spans="9:15" x14ac:dyDescent="0.25">
      <c r="I8525" s="268"/>
      <c r="O8525" s="268"/>
    </row>
    <row r="8526" spans="9:15" x14ac:dyDescent="0.25">
      <c r="I8526" s="268"/>
      <c r="O8526" s="268"/>
    </row>
    <row r="8527" spans="9:15" x14ac:dyDescent="0.25">
      <c r="I8527" s="268"/>
      <c r="O8527" s="268"/>
    </row>
    <row r="8528" spans="9:15" x14ac:dyDescent="0.25">
      <c r="I8528" s="268"/>
      <c r="O8528" s="268"/>
    </row>
    <row r="8529" spans="9:15" x14ac:dyDescent="0.25">
      <c r="I8529" s="268"/>
      <c r="O8529" s="268"/>
    </row>
    <row r="8530" spans="9:15" x14ac:dyDescent="0.25">
      <c r="I8530" s="268"/>
      <c r="O8530" s="268"/>
    </row>
    <row r="8531" spans="9:15" x14ac:dyDescent="0.25">
      <c r="I8531" s="268"/>
      <c r="O8531" s="268"/>
    </row>
    <row r="8532" spans="9:15" x14ac:dyDescent="0.25">
      <c r="I8532" s="268"/>
      <c r="O8532" s="268"/>
    </row>
    <row r="8533" spans="9:15" x14ac:dyDescent="0.25">
      <c r="I8533" s="268"/>
      <c r="O8533" s="268"/>
    </row>
    <row r="8534" spans="9:15" x14ac:dyDescent="0.25">
      <c r="I8534" s="268"/>
      <c r="O8534" s="268"/>
    </row>
    <row r="8535" spans="9:15" x14ac:dyDescent="0.25">
      <c r="I8535" s="268"/>
      <c r="O8535" s="268"/>
    </row>
    <row r="8536" spans="9:15" x14ac:dyDescent="0.25">
      <c r="I8536" s="268"/>
      <c r="O8536" s="268"/>
    </row>
    <row r="8537" spans="9:15" x14ac:dyDescent="0.25">
      <c r="I8537" s="268"/>
      <c r="O8537" s="268"/>
    </row>
    <row r="8538" spans="9:15" x14ac:dyDescent="0.25">
      <c r="I8538" s="268"/>
      <c r="O8538" s="268"/>
    </row>
    <row r="8539" spans="9:15" x14ac:dyDescent="0.25">
      <c r="I8539" s="268"/>
      <c r="O8539" s="268"/>
    </row>
    <row r="8540" spans="9:15" x14ac:dyDescent="0.25">
      <c r="I8540" s="268"/>
      <c r="O8540" s="268"/>
    </row>
    <row r="8541" spans="9:15" x14ac:dyDescent="0.25">
      <c r="I8541" s="268"/>
      <c r="O8541" s="268"/>
    </row>
    <row r="8542" spans="9:15" x14ac:dyDescent="0.25">
      <c r="I8542" s="268"/>
      <c r="O8542" s="268"/>
    </row>
    <row r="8543" spans="9:15" x14ac:dyDescent="0.25">
      <c r="I8543" s="268"/>
      <c r="O8543" s="268"/>
    </row>
    <row r="8544" spans="9:15" x14ac:dyDescent="0.25">
      <c r="I8544" s="268"/>
      <c r="O8544" s="268"/>
    </row>
    <row r="8545" spans="9:15" x14ac:dyDescent="0.25">
      <c r="I8545" s="268"/>
      <c r="O8545" s="268"/>
    </row>
    <row r="8546" spans="9:15" x14ac:dyDescent="0.25">
      <c r="I8546" s="268"/>
      <c r="O8546" s="268"/>
    </row>
    <row r="8547" spans="9:15" x14ac:dyDescent="0.25">
      <c r="I8547" s="268"/>
      <c r="O8547" s="268"/>
    </row>
    <row r="8548" spans="9:15" x14ac:dyDescent="0.25">
      <c r="I8548" s="268"/>
      <c r="O8548" s="268"/>
    </row>
    <row r="8549" spans="9:15" x14ac:dyDescent="0.25">
      <c r="I8549" s="268"/>
      <c r="O8549" s="268"/>
    </row>
    <row r="8550" spans="9:15" x14ac:dyDescent="0.25">
      <c r="I8550" s="268"/>
      <c r="O8550" s="268"/>
    </row>
    <row r="8551" spans="9:15" x14ac:dyDescent="0.25">
      <c r="I8551" s="268"/>
      <c r="O8551" s="268"/>
    </row>
    <row r="8552" spans="9:15" x14ac:dyDescent="0.25">
      <c r="I8552" s="268"/>
      <c r="O8552" s="268"/>
    </row>
    <row r="8553" spans="9:15" x14ac:dyDescent="0.25">
      <c r="I8553" s="268"/>
      <c r="O8553" s="268"/>
    </row>
    <row r="8554" spans="9:15" x14ac:dyDescent="0.25">
      <c r="I8554" s="268"/>
      <c r="O8554" s="268"/>
    </row>
    <row r="8555" spans="9:15" x14ac:dyDescent="0.25">
      <c r="I8555" s="268"/>
      <c r="O8555" s="268"/>
    </row>
    <row r="8556" spans="9:15" x14ac:dyDescent="0.25">
      <c r="I8556" s="268"/>
      <c r="O8556" s="268"/>
    </row>
    <row r="8557" spans="9:15" x14ac:dyDescent="0.25">
      <c r="I8557" s="268"/>
      <c r="O8557" s="268"/>
    </row>
    <row r="8558" spans="9:15" x14ac:dyDescent="0.25">
      <c r="I8558" s="268"/>
      <c r="O8558" s="268"/>
    </row>
    <row r="8559" spans="9:15" x14ac:dyDescent="0.25">
      <c r="I8559" s="268"/>
      <c r="O8559" s="268"/>
    </row>
    <row r="8560" spans="9:15" x14ac:dyDescent="0.25">
      <c r="I8560" s="268"/>
      <c r="O8560" s="268"/>
    </row>
    <row r="8561" spans="9:15" x14ac:dyDescent="0.25">
      <c r="I8561" s="268"/>
      <c r="O8561" s="268"/>
    </row>
    <row r="8562" spans="9:15" x14ac:dyDescent="0.25">
      <c r="I8562" s="268"/>
      <c r="O8562" s="268"/>
    </row>
    <row r="8563" spans="9:15" x14ac:dyDescent="0.25">
      <c r="I8563" s="268"/>
      <c r="O8563" s="268"/>
    </row>
    <row r="8564" spans="9:15" x14ac:dyDescent="0.25">
      <c r="I8564" s="268"/>
      <c r="O8564" s="268"/>
    </row>
    <row r="8565" spans="9:15" x14ac:dyDescent="0.25">
      <c r="I8565" s="268"/>
      <c r="O8565" s="268"/>
    </row>
    <row r="8566" spans="9:15" x14ac:dyDescent="0.25">
      <c r="I8566" s="268"/>
      <c r="O8566" s="268"/>
    </row>
    <row r="8567" spans="9:15" x14ac:dyDescent="0.25">
      <c r="I8567" s="268"/>
      <c r="O8567" s="268"/>
    </row>
    <row r="8568" spans="9:15" x14ac:dyDescent="0.25">
      <c r="I8568" s="268"/>
      <c r="O8568" s="268"/>
    </row>
    <row r="8569" spans="9:15" x14ac:dyDescent="0.25">
      <c r="I8569" s="268"/>
      <c r="O8569" s="268"/>
    </row>
    <row r="8570" spans="9:15" x14ac:dyDescent="0.25">
      <c r="I8570" s="268"/>
      <c r="O8570" s="268"/>
    </row>
    <row r="8571" spans="9:15" x14ac:dyDescent="0.25">
      <c r="I8571" s="268"/>
      <c r="O8571" s="268"/>
    </row>
    <row r="8572" spans="9:15" x14ac:dyDescent="0.25">
      <c r="I8572" s="268"/>
      <c r="O8572" s="268"/>
    </row>
    <row r="8573" spans="9:15" x14ac:dyDescent="0.25">
      <c r="I8573" s="268"/>
      <c r="O8573" s="268"/>
    </row>
    <row r="8574" spans="9:15" x14ac:dyDescent="0.25">
      <c r="I8574" s="268"/>
      <c r="O8574" s="268"/>
    </row>
    <row r="8575" spans="9:15" x14ac:dyDescent="0.25">
      <c r="I8575" s="268"/>
      <c r="O8575" s="268"/>
    </row>
    <row r="8576" spans="9:15" x14ac:dyDescent="0.25">
      <c r="I8576" s="268"/>
      <c r="O8576" s="268"/>
    </row>
    <row r="8577" spans="9:15" x14ac:dyDescent="0.25">
      <c r="I8577" s="268"/>
      <c r="O8577" s="268"/>
    </row>
    <row r="8578" spans="9:15" x14ac:dyDescent="0.25">
      <c r="I8578" s="268"/>
      <c r="O8578" s="268"/>
    </row>
    <row r="8579" spans="9:15" x14ac:dyDescent="0.25">
      <c r="I8579" s="268"/>
      <c r="O8579" s="268"/>
    </row>
    <row r="8580" spans="9:15" x14ac:dyDescent="0.25">
      <c r="I8580" s="268"/>
      <c r="O8580" s="268"/>
    </row>
    <row r="8581" spans="9:15" x14ac:dyDescent="0.25">
      <c r="I8581" s="268"/>
      <c r="O8581" s="268"/>
    </row>
    <row r="8582" spans="9:15" x14ac:dyDescent="0.25">
      <c r="I8582" s="268"/>
      <c r="O8582" s="268"/>
    </row>
    <row r="8583" spans="9:15" x14ac:dyDescent="0.25">
      <c r="I8583" s="268"/>
      <c r="O8583" s="268"/>
    </row>
    <row r="8584" spans="9:15" x14ac:dyDescent="0.25">
      <c r="I8584" s="268"/>
      <c r="O8584" s="268"/>
    </row>
    <row r="8585" spans="9:15" x14ac:dyDescent="0.25">
      <c r="I8585" s="268"/>
      <c r="O8585" s="268"/>
    </row>
    <row r="8586" spans="9:15" x14ac:dyDescent="0.25">
      <c r="I8586" s="268"/>
      <c r="O8586" s="268"/>
    </row>
    <row r="8587" spans="9:15" x14ac:dyDescent="0.25">
      <c r="I8587" s="268"/>
      <c r="O8587" s="268"/>
    </row>
    <row r="8588" spans="9:15" x14ac:dyDescent="0.25">
      <c r="I8588" s="268"/>
      <c r="O8588" s="268"/>
    </row>
    <row r="8589" spans="9:15" x14ac:dyDescent="0.25">
      <c r="I8589" s="268"/>
      <c r="O8589" s="268"/>
    </row>
    <row r="8590" spans="9:15" x14ac:dyDescent="0.25">
      <c r="I8590" s="268"/>
      <c r="O8590" s="268"/>
    </row>
    <row r="8591" spans="9:15" x14ac:dyDescent="0.25">
      <c r="I8591" s="268"/>
      <c r="O8591" s="268"/>
    </row>
    <row r="8592" spans="9:15" x14ac:dyDescent="0.25">
      <c r="I8592" s="268"/>
      <c r="O8592" s="268"/>
    </row>
    <row r="8593" spans="9:15" x14ac:dyDescent="0.25">
      <c r="I8593" s="268"/>
      <c r="O8593" s="268"/>
    </row>
    <row r="8594" spans="9:15" x14ac:dyDescent="0.25">
      <c r="I8594" s="268"/>
      <c r="O8594" s="268"/>
    </row>
    <row r="8595" spans="9:15" x14ac:dyDescent="0.25">
      <c r="I8595" s="268"/>
      <c r="O8595" s="268"/>
    </row>
    <row r="8596" spans="9:15" x14ac:dyDescent="0.25">
      <c r="I8596" s="268"/>
      <c r="O8596" s="268"/>
    </row>
    <row r="8597" spans="9:15" x14ac:dyDescent="0.25">
      <c r="I8597" s="268"/>
      <c r="O8597" s="268"/>
    </row>
    <row r="8598" spans="9:15" x14ac:dyDescent="0.25">
      <c r="I8598" s="268"/>
      <c r="O8598" s="268"/>
    </row>
    <row r="8599" spans="9:15" x14ac:dyDescent="0.25">
      <c r="I8599" s="268"/>
      <c r="O8599" s="268"/>
    </row>
    <row r="8600" spans="9:15" x14ac:dyDescent="0.25">
      <c r="I8600" s="268"/>
      <c r="O8600" s="268"/>
    </row>
    <row r="8601" spans="9:15" x14ac:dyDescent="0.25">
      <c r="I8601" s="268"/>
      <c r="O8601" s="268"/>
    </row>
    <row r="8602" spans="9:15" x14ac:dyDescent="0.25">
      <c r="I8602" s="268"/>
      <c r="O8602" s="268"/>
    </row>
    <row r="8603" spans="9:15" x14ac:dyDescent="0.25">
      <c r="I8603" s="268"/>
      <c r="O8603" s="268"/>
    </row>
    <row r="8604" spans="9:15" x14ac:dyDescent="0.25">
      <c r="I8604" s="268"/>
      <c r="O8604" s="268"/>
    </row>
    <row r="8605" spans="9:15" x14ac:dyDescent="0.25">
      <c r="I8605" s="268"/>
      <c r="O8605" s="268"/>
    </row>
    <row r="8606" spans="9:15" x14ac:dyDescent="0.25">
      <c r="I8606" s="268"/>
      <c r="O8606" s="268"/>
    </row>
    <row r="8607" spans="9:15" x14ac:dyDescent="0.25">
      <c r="I8607" s="268"/>
      <c r="O8607" s="268"/>
    </row>
    <row r="8608" spans="9:15" x14ac:dyDescent="0.25">
      <c r="I8608" s="268"/>
      <c r="O8608" s="268"/>
    </row>
    <row r="8609" spans="9:15" x14ac:dyDescent="0.25">
      <c r="I8609" s="268"/>
      <c r="O8609" s="268"/>
    </row>
    <row r="8610" spans="9:15" x14ac:dyDescent="0.25">
      <c r="I8610" s="268"/>
      <c r="O8610" s="268"/>
    </row>
    <row r="8611" spans="9:15" x14ac:dyDescent="0.25">
      <c r="I8611" s="268"/>
      <c r="O8611" s="268"/>
    </row>
    <row r="8612" spans="9:15" x14ac:dyDescent="0.25">
      <c r="I8612" s="268"/>
      <c r="O8612" s="268"/>
    </row>
    <row r="8613" spans="9:15" x14ac:dyDescent="0.25">
      <c r="I8613" s="268"/>
      <c r="O8613" s="268"/>
    </row>
    <row r="8614" spans="9:15" x14ac:dyDescent="0.25">
      <c r="I8614" s="268"/>
      <c r="O8614" s="268"/>
    </row>
    <row r="8615" spans="9:15" x14ac:dyDescent="0.25">
      <c r="I8615" s="268"/>
      <c r="O8615" s="268"/>
    </row>
    <row r="8616" spans="9:15" x14ac:dyDescent="0.25">
      <c r="I8616" s="268"/>
      <c r="O8616" s="268"/>
    </row>
    <row r="8617" spans="9:15" x14ac:dyDescent="0.25">
      <c r="I8617" s="268"/>
      <c r="O8617" s="268"/>
    </row>
    <row r="8618" spans="9:15" x14ac:dyDescent="0.25">
      <c r="I8618" s="268"/>
      <c r="O8618" s="268"/>
    </row>
    <row r="8619" spans="9:15" x14ac:dyDescent="0.25">
      <c r="I8619" s="268"/>
      <c r="O8619" s="268"/>
    </row>
    <row r="8620" spans="9:15" x14ac:dyDescent="0.25">
      <c r="I8620" s="268"/>
      <c r="O8620" s="268"/>
    </row>
    <row r="8621" spans="9:15" x14ac:dyDescent="0.25">
      <c r="I8621" s="268"/>
      <c r="O8621" s="268"/>
    </row>
    <row r="8622" spans="9:15" x14ac:dyDescent="0.25">
      <c r="I8622" s="268"/>
      <c r="O8622" s="268"/>
    </row>
    <row r="8623" spans="9:15" x14ac:dyDescent="0.25">
      <c r="I8623" s="268"/>
      <c r="O8623" s="268"/>
    </row>
    <row r="8624" spans="9:15" x14ac:dyDescent="0.25">
      <c r="I8624" s="268"/>
      <c r="O8624" s="268"/>
    </row>
    <row r="8625" spans="9:15" x14ac:dyDescent="0.25">
      <c r="I8625" s="268"/>
      <c r="O8625" s="268"/>
    </row>
    <row r="8626" spans="9:15" x14ac:dyDescent="0.25">
      <c r="I8626" s="268"/>
      <c r="O8626" s="268"/>
    </row>
    <row r="8627" spans="9:15" x14ac:dyDescent="0.25">
      <c r="I8627" s="268"/>
      <c r="O8627" s="268"/>
    </row>
    <row r="8628" spans="9:15" x14ac:dyDescent="0.25">
      <c r="I8628" s="268"/>
      <c r="O8628" s="268"/>
    </row>
    <row r="8629" spans="9:15" x14ac:dyDescent="0.25">
      <c r="I8629" s="268"/>
      <c r="O8629" s="268"/>
    </row>
    <row r="8630" spans="9:15" x14ac:dyDescent="0.25">
      <c r="I8630" s="268"/>
      <c r="O8630" s="268"/>
    </row>
    <row r="8631" spans="9:15" x14ac:dyDescent="0.25">
      <c r="I8631" s="268"/>
      <c r="O8631" s="268"/>
    </row>
    <row r="8632" spans="9:15" x14ac:dyDescent="0.25">
      <c r="I8632" s="268"/>
      <c r="O8632" s="268"/>
    </row>
    <row r="8633" spans="9:15" x14ac:dyDescent="0.25">
      <c r="I8633" s="268"/>
      <c r="O8633" s="268"/>
    </row>
    <row r="8634" spans="9:15" x14ac:dyDescent="0.25">
      <c r="I8634" s="268"/>
      <c r="O8634" s="268"/>
    </row>
    <row r="8635" spans="9:15" x14ac:dyDescent="0.25">
      <c r="I8635" s="268"/>
      <c r="O8635" s="268"/>
    </row>
    <row r="8636" spans="9:15" x14ac:dyDescent="0.25">
      <c r="I8636" s="268"/>
      <c r="O8636" s="268"/>
    </row>
    <row r="8637" spans="9:15" x14ac:dyDescent="0.25">
      <c r="I8637" s="268"/>
      <c r="O8637" s="268"/>
    </row>
    <row r="8638" spans="9:15" x14ac:dyDescent="0.25">
      <c r="I8638" s="268"/>
      <c r="O8638" s="268"/>
    </row>
    <row r="8639" spans="9:15" x14ac:dyDescent="0.25">
      <c r="I8639" s="268"/>
      <c r="O8639" s="268"/>
    </row>
    <row r="8640" spans="9:15" x14ac:dyDescent="0.25">
      <c r="I8640" s="268"/>
      <c r="O8640" s="268"/>
    </row>
    <row r="8641" spans="9:15" x14ac:dyDescent="0.25">
      <c r="I8641" s="268"/>
      <c r="O8641" s="268"/>
    </row>
    <row r="8642" spans="9:15" x14ac:dyDescent="0.25">
      <c r="I8642" s="268"/>
      <c r="O8642" s="268"/>
    </row>
    <row r="8643" spans="9:15" x14ac:dyDescent="0.25">
      <c r="I8643" s="268"/>
      <c r="O8643" s="268"/>
    </row>
    <row r="8644" spans="9:15" x14ac:dyDescent="0.25">
      <c r="I8644" s="268"/>
      <c r="O8644" s="268"/>
    </row>
    <row r="8645" spans="9:15" x14ac:dyDescent="0.25">
      <c r="I8645" s="268"/>
      <c r="O8645" s="268"/>
    </row>
    <row r="8646" spans="9:15" x14ac:dyDescent="0.25">
      <c r="I8646" s="268"/>
      <c r="O8646" s="268"/>
    </row>
    <row r="8647" spans="9:15" x14ac:dyDescent="0.25">
      <c r="I8647" s="268"/>
      <c r="O8647" s="268"/>
    </row>
    <row r="8648" spans="9:15" x14ac:dyDescent="0.25">
      <c r="I8648" s="268"/>
      <c r="O8648" s="268"/>
    </row>
    <row r="8649" spans="9:15" x14ac:dyDescent="0.25">
      <c r="I8649" s="268"/>
      <c r="O8649" s="268"/>
    </row>
    <row r="8650" spans="9:15" x14ac:dyDescent="0.25">
      <c r="I8650" s="268"/>
      <c r="O8650" s="268"/>
    </row>
    <row r="8651" spans="9:15" x14ac:dyDescent="0.25">
      <c r="I8651" s="268"/>
      <c r="O8651" s="268"/>
    </row>
    <row r="8652" spans="9:15" x14ac:dyDescent="0.25">
      <c r="I8652" s="268"/>
      <c r="O8652" s="268"/>
    </row>
    <row r="8653" spans="9:15" x14ac:dyDescent="0.25">
      <c r="I8653" s="268"/>
      <c r="O8653" s="268"/>
    </row>
    <row r="8654" spans="9:15" x14ac:dyDescent="0.25">
      <c r="I8654" s="268"/>
      <c r="O8654" s="268"/>
    </row>
    <row r="8655" spans="9:15" x14ac:dyDescent="0.25">
      <c r="I8655" s="268"/>
      <c r="O8655" s="268"/>
    </row>
    <row r="8656" spans="9:15" x14ac:dyDescent="0.25">
      <c r="I8656" s="268"/>
      <c r="O8656" s="268"/>
    </row>
    <row r="8657" spans="9:15" x14ac:dyDescent="0.25">
      <c r="I8657" s="268"/>
      <c r="O8657" s="268"/>
    </row>
    <row r="8658" spans="9:15" x14ac:dyDescent="0.25">
      <c r="I8658" s="268"/>
      <c r="O8658" s="268"/>
    </row>
    <row r="8659" spans="9:15" x14ac:dyDescent="0.25">
      <c r="I8659" s="268"/>
      <c r="O8659" s="268"/>
    </row>
    <row r="8660" spans="9:15" x14ac:dyDescent="0.25">
      <c r="I8660" s="268"/>
      <c r="O8660" s="268"/>
    </row>
    <row r="8661" spans="9:15" x14ac:dyDescent="0.25">
      <c r="I8661" s="268"/>
      <c r="O8661" s="268"/>
    </row>
    <row r="8662" spans="9:15" x14ac:dyDescent="0.25">
      <c r="I8662" s="268"/>
      <c r="O8662" s="268"/>
    </row>
    <row r="8663" spans="9:15" x14ac:dyDescent="0.25">
      <c r="I8663" s="268"/>
      <c r="O8663" s="268"/>
    </row>
    <row r="8664" spans="9:15" x14ac:dyDescent="0.25">
      <c r="I8664" s="268"/>
      <c r="O8664" s="268"/>
    </row>
    <row r="8665" spans="9:15" x14ac:dyDescent="0.25">
      <c r="I8665" s="268"/>
      <c r="O8665" s="268"/>
    </row>
    <row r="8666" spans="9:15" x14ac:dyDescent="0.25">
      <c r="I8666" s="268"/>
      <c r="O8666" s="268"/>
    </row>
    <row r="8667" spans="9:15" x14ac:dyDescent="0.25">
      <c r="I8667" s="268"/>
      <c r="O8667" s="268"/>
    </row>
    <row r="8668" spans="9:15" x14ac:dyDescent="0.25">
      <c r="I8668" s="268"/>
      <c r="O8668" s="268"/>
    </row>
    <row r="8669" spans="9:15" x14ac:dyDescent="0.25">
      <c r="I8669" s="268"/>
      <c r="O8669" s="268"/>
    </row>
    <row r="8670" spans="9:15" x14ac:dyDescent="0.25">
      <c r="I8670" s="268"/>
      <c r="O8670" s="268"/>
    </row>
    <row r="8671" spans="9:15" x14ac:dyDescent="0.25">
      <c r="I8671" s="268"/>
      <c r="O8671" s="268"/>
    </row>
    <row r="8672" spans="9:15" x14ac:dyDescent="0.25">
      <c r="I8672" s="268"/>
      <c r="O8672" s="268"/>
    </row>
    <row r="8673" spans="9:15" x14ac:dyDescent="0.25">
      <c r="I8673" s="268"/>
      <c r="O8673" s="268"/>
    </row>
    <row r="8674" spans="9:15" x14ac:dyDescent="0.25">
      <c r="I8674" s="268"/>
      <c r="O8674" s="268"/>
    </row>
    <row r="8675" spans="9:15" x14ac:dyDescent="0.25">
      <c r="I8675" s="268"/>
      <c r="O8675" s="268"/>
    </row>
    <row r="8676" spans="9:15" x14ac:dyDescent="0.25">
      <c r="I8676" s="268"/>
      <c r="O8676" s="268"/>
    </row>
    <row r="8677" spans="9:15" x14ac:dyDescent="0.25">
      <c r="I8677" s="268"/>
      <c r="O8677" s="268"/>
    </row>
    <row r="8678" spans="9:15" x14ac:dyDescent="0.25">
      <c r="I8678" s="268"/>
      <c r="O8678" s="268"/>
    </row>
    <row r="8679" spans="9:15" x14ac:dyDescent="0.25">
      <c r="I8679" s="268"/>
      <c r="O8679" s="268"/>
    </row>
    <row r="8680" spans="9:15" x14ac:dyDescent="0.25">
      <c r="I8680" s="268"/>
      <c r="O8680" s="268"/>
    </row>
    <row r="8681" spans="9:15" x14ac:dyDescent="0.25">
      <c r="I8681" s="268"/>
      <c r="O8681" s="268"/>
    </row>
    <row r="8682" spans="9:15" x14ac:dyDescent="0.25">
      <c r="I8682" s="268"/>
      <c r="O8682" s="268"/>
    </row>
    <row r="8683" spans="9:15" x14ac:dyDescent="0.25">
      <c r="I8683" s="268"/>
      <c r="O8683" s="268"/>
    </row>
    <row r="8684" spans="9:15" x14ac:dyDescent="0.25">
      <c r="I8684" s="268"/>
      <c r="O8684" s="268"/>
    </row>
    <row r="8685" spans="9:15" x14ac:dyDescent="0.25">
      <c r="I8685" s="268"/>
      <c r="O8685" s="268"/>
    </row>
    <row r="8686" spans="9:15" x14ac:dyDescent="0.25">
      <c r="I8686" s="268"/>
      <c r="O8686" s="268"/>
    </row>
    <row r="8687" spans="9:15" x14ac:dyDescent="0.25">
      <c r="I8687" s="268"/>
      <c r="O8687" s="268"/>
    </row>
    <row r="8688" spans="9:15" x14ac:dyDescent="0.25">
      <c r="I8688" s="268"/>
      <c r="O8688" s="268"/>
    </row>
    <row r="8689" spans="9:15" x14ac:dyDescent="0.25">
      <c r="I8689" s="268"/>
      <c r="O8689" s="268"/>
    </row>
    <row r="8690" spans="9:15" x14ac:dyDescent="0.25">
      <c r="I8690" s="268"/>
      <c r="O8690" s="268"/>
    </row>
    <row r="8691" spans="9:15" x14ac:dyDescent="0.25">
      <c r="I8691" s="268"/>
      <c r="O8691" s="268"/>
    </row>
    <row r="8692" spans="9:15" x14ac:dyDescent="0.25">
      <c r="I8692" s="268"/>
      <c r="O8692" s="268"/>
    </row>
    <row r="8693" spans="9:15" x14ac:dyDescent="0.25">
      <c r="I8693" s="268"/>
      <c r="O8693" s="268"/>
    </row>
    <row r="8694" spans="9:15" x14ac:dyDescent="0.25">
      <c r="I8694" s="268"/>
      <c r="O8694" s="268"/>
    </row>
    <row r="8695" spans="9:15" x14ac:dyDescent="0.25">
      <c r="I8695" s="268"/>
      <c r="O8695" s="268"/>
    </row>
    <row r="8696" spans="9:15" x14ac:dyDescent="0.25">
      <c r="I8696" s="268"/>
      <c r="O8696" s="268"/>
    </row>
    <row r="8697" spans="9:15" x14ac:dyDescent="0.25">
      <c r="I8697" s="268"/>
      <c r="O8697" s="268"/>
    </row>
    <row r="8698" spans="9:15" x14ac:dyDescent="0.25">
      <c r="I8698" s="268"/>
      <c r="O8698" s="268"/>
    </row>
    <row r="8699" spans="9:15" x14ac:dyDescent="0.25">
      <c r="I8699" s="268"/>
      <c r="O8699" s="268"/>
    </row>
    <row r="8700" spans="9:15" x14ac:dyDescent="0.25">
      <c r="I8700" s="268"/>
      <c r="O8700" s="268"/>
    </row>
    <row r="8701" spans="9:15" x14ac:dyDescent="0.25">
      <c r="I8701" s="268"/>
      <c r="O8701" s="268"/>
    </row>
    <row r="8702" spans="9:15" x14ac:dyDescent="0.25">
      <c r="I8702" s="268"/>
      <c r="O8702" s="268"/>
    </row>
    <row r="8703" spans="9:15" x14ac:dyDescent="0.25">
      <c r="I8703" s="268"/>
      <c r="O8703" s="268"/>
    </row>
    <row r="8704" spans="9:15" x14ac:dyDescent="0.25">
      <c r="I8704" s="268"/>
      <c r="O8704" s="268"/>
    </row>
    <row r="8705" spans="9:15" x14ac:dyDescent="0.25">
      <c r="I8705" s="268"/>
      <c r="O8705" s="268"/>
    </row>
    <row r="8706" spans="9:15" x14ac:dyDescent="0.25">
      <c r="I8706" s="268"/>
      <c r="O8706" s="268"/>
    </row>
    <row r="8707" spans="9:15" x14ac:dyDescent="0.25">
      <c r="I8707" s="268"/>
      <c r="O8707" s="268"/>
    </row>
    <row r="8708" spans="9:15" x14ac:dyDescent="0.25">
      <c r="I8708" s="268"/>
      <c r="O8708" s="268"/>
    </row>
    <row r="8709" spans="9:15" x14ac:dyDescent="0.25">
      <c r="I8709" s="268"/>
      <c r="O8709" s="268"/>
    </row>
    <row r="8710" spans="9:15" x14ac:dyDescent="0.25">
      <c r="I8710" s="268"/>
      <c r="O8710" s="268"/>
    </row>
    <row r="8711" spans="9:15" x14ac:dyDescent="0.25">
      <c r="I8711" s="268"/>
      <c r="O8711" s="268"/>
    </row>
    <row r="8712" spans="9:15" x14ac:dyDescent="0.25">
      <c r="I8712" s="268"/>
      <c r="O8712" s="268"/>
    </row>
    <row r="8713" spans="9:15" x14ac:dyDescent="0.25">
      <c r="I8713" s="268"/>
      <c r="O8713" s="268"/>
    </row>
    <row r="8714" spans="9:15" x14ac:dyDescent="0.25">
      <c r="I8714" s="268"/>
      <c r="O8714" s="268"/>
    </row>
    <row r="8715" spans="9:15" x14ac:dyDescent="0.25">
      <c r="I8715" s="268"/>
      <c r="O8715" s="268"/>
    </row>
    <row r="8716" spans="9:15" x14ac:dyDescent="0.25">
      <c r="I8716" s="268"/>
      <c r="O8716" s="268"/>
    </row>
    <row r="8717" spans="9:15" x14ac:dyDescent="0.25">
      <c r="I8717" s="268"/>
      <c r="O8717" s="268"/>
    </row>
    <row r="8718" spans="9:15" x14ac:dyDescent="0.25">
      <c r="I8718" s="268"/>
      <c r="O8718" s="268"/>
    </row>
    <row r="8719" spans="9:15" x14ac:dyDescent="0.25">
      <c r="I8719" s="268"/>
      <c r="O8719" s="268"/>
    </row>
    <row r="8720" spans="9:15" x14ac:dyDescent="0.25">
      <c r="I8720" s="268"/>
      <c r="O8720" s="268"/>
    </row>
    <row r="8721" spans="9:15" x14ac:dyDescent="0.25">
      <c r="I8721" s="268"/>
      <c r="O8721" s="268"/>
    </row>
    <row r="8722" spans="9:15" x14ac:dyDescent="0.25">
      <c r="I8722" s="268"/>
      <c r="O8722" s="268"/>
    </row>
    <row r="8723" spans="9:15" x14ac:dyDescent="0.25">
      <c r="I8723" s="268"/>
      <c r="O8723" s="268"/>
    </row>
    <row r="8724" spans="9:15" x14ac:dyDescent="0.25">
      <c r="I8724" s="268"/>
      <c r="O8724" s="268"/>
    </row>
    <row r="8725" spans="9:15" x14ac:dyDescent="0.25">
      <c r="I8725" s="268"/>
      <c r="O8725" s="268"/>
    </row>
    <row r="8726" spans="9:15" x14ac:dyDescent="0.25">
      <c r="I8726" s="268"/>
      <c r="O8726" s="268"/>
    </row>
    <row r="8727" spans="9:15" x14ac:dyDescent="0.25">
      <c r="I8727" s="268"/>
      <c r="O8727" s="268"/>
    </row>
    <row r="8728" spans="9:15" x14ac:dyDescent="0.25">
      <c r="I8728" s="268"/>
      <c r="O8728" s="268"/>
    </row>
    <row r="8729" spans="9:15" x14ac:dyDescent="0.25">
      <c r="I8729" s="268"/>
      <c r="O8729" s="268"/>
    </row>
    <row r="8730" spans="9:15" x14ac:dyDescent="0.25">
      <c r="I8730" s="268"/>
      <c r="O8730" s="268"/>
    </row>
    <row r="8731" spans="9:15" x14ac:dyDescent="0.25">
      <c r="I8731" s="268"/>
      <c r="O8731" s="268"/>
    </row>
    <row r="8732" spans="9:15" x14ac:dyDescent="0.25">
      <c r="I8732" s="268"/>
      <c r="O8732" s="268"/>
    </row>
    <row r="8733" spans="9:15" x14ac:dyDescent="0.25">
      <c r="I8733" s="268"/>
      <c r="O8733" s="268"/>
    </row>
    <row r="8734" spans="9:15" x14ac:dyDescent="0.25">
      <c r="I8734" s="268"/>
      <c r="O8734" s="268"/>
    </row>
    <row r="8735" spans="9:15" x14ac:dyDescent="0.25">
      <c r="I8735" s="268"/>
      <c r="O8735" s="268"/>
    </row>
    <row r="8736" spans="9:15" x14ac:dyDescent="0.25">
      <c r="I8736" s="268"/>
      <c r="O8736" s="268"/>
    </row>
    <row r="8737" spans="9:15" x14ac:dyDescent="0.25">
      <c r="I8737" s="268"/>
      <c r="O8737" s="268"/>
    </row>
    <row r="8738" spans="9:15" x14ac:dyDescent="0.25">
      <c r="I8738" s="268"/>
      <c r="O8738" s="268"/>
    </row>
    <row r="8739" spans="9:15" x14ac:dyDescent="0.25">
      <c r="I8739" s="268"/>
      <c r="O8739" s="268"/>
    </row>
    <row r="8740" spans="9:15" x14ac:dyDescent="0.25">
      <c r="I8740" s="268"/>
      <c r="O8740" s="268"/>
    </row>
    <row r="8741" spans="9:15" x14ac:dyDescent="0.25">
      <c r="I8741" s="268"/>
      <c r="O8741" s="268"/>
    </row>
    <row r="8742" spans="9:15" x14ac:dyDescent="0.25">
      <c r="I8742" s="268"/>
      <c r="O8742" s="268"/>
    </row>
    <row r="8743" spans="9:15" x14ac:dyDescent="0.25">
      <c r="I8743" s="268"/>
      <c r="O8743" s="268"/>
    </row>
    <row r="8744" spans="9:15" x14ac:dyDescent="0.25">
      <c r="I8744" s="268"/>
      <c r="O8744" s="268"/>
    </row>
    <row r="8745" spans="9:15" x14ac:dyDescent="0.25">
      <c r="I8745" s="268"/>
      <c r="O8745" s="268"/>
    </row>
    <row r="8746" spans="9:15" x14ac:dyDescent="0.25">
      <c r="I8746" s="268"/>
      <c r="O8746" s="268"/>
    </row>
    <row r="8747" spans="9:15" x14ac:dyDescent="0.25">
      <c r="I8747" s="268"/>
      <c r="O8747" s="268"/>
    </row>
    <row r="8748" spans="9:15" x14ac:dyDescent="0.25">
      <c r="I8748" s="268"/>
      <c r="O8748" s="268"/>
    </row>
    <row r="8749" spans="9:15" x14ac:dyDescent="0.25">
      <c r="I8749" s="268"/>
      <c r="O8749" s="268"/>
    </row>
    <row r="8750" spans="9:15" x14ac:dyDescent="0.25">
      <c r="I8750" s="268"/>
      <c r="O8750" s="268"/>
    </row>
    <row r="8751" spans="9:15" x14ac:dyDescent="0.25">
      <c r="I8751" s="268"/>
      <c r="O8751" s="268"/>
    </row>
    <row r="8752" spans="9:15" x14ac:dyDescent="0.25">
      <c r="I8752" s="268"/>
      <c r="O8752" s="268"/>
    </row>
    <row r="8753" spans="9:15" x14ac:dyDescent="0.25">
      <c r="I8753" s="268"/>
      <c r="O8753" s="268"/>
    </row>
    <row r="8754" spans="9:15" x14ac:dyDescent="0.25">
      <c r="I8754" s="268"/>
      <c r="O8754" s="268"/>
    </row>
    <row r="8755" spans="9:15" x14ac:dyDescent="0.25">
      <c r="I8755" s="268"/>
      <c r="O8755" s="268"/>
    </row>
    <row r="8756" spans="9:15" x14ac:dyDescent="0.25">
      <c r="I8756" s="268"/>
      <c r="O8756" s="268"/>
    </row>
    <row r="8757" spans="9:15" x14ac:dyDescent="0.25">
      <c r="I8757" s="268"/>
      <c r="O8757" s="268"/>
    </row>
    <row r="8758" spans="9:15" x14ac:dyDescent="0.25">
      <c r="I8758" s="268"/>
      <c r="O8758" s="268"/>
    </row>
    <row r="8759" spans="9:15" x14ac:dyDescent="0.25">
      <c r="I8759" s="268"/>
      <c r="O8759" s="268"/>
    </row>
    <row r="8760" spans="9:15" x14ac:dyDescent="0.25">
      <c r="I8760" s="268"/>
      <c r="O8760" s="268"/>
    </row>
    <row r="8761" spans="9:15" x14ac:dyDescent="0.25">
      <c r="I8761" s="268"/>
      <c r="O8761" s="268"/>
    </row>
    <row r="8762" spans="9:15" x14ac:dyDescent="0.25">
      <c r="I8762" s="268"/>
      <c r="O8762" s="268"/>
    </row>
    <row r="8763" spans="9:15" x14ac:dyDescent="0.25">
      <c r="I8763" s="268"/>
      <c r="O8763" s="268"/>
    </row>
    <row r="8764" spans="9:15" x14ac:dyDescent="0.25">
      <c r="I8764" s="268"/>
      <c r="O8764" s="268"/>
    </row>
    <row r="8765" spans="9:15" x14ac:dyDescent="0.25">
      <c r="I8765" s="268"/>
      <c r="O8765" s="268"/>
    </row>
    <row r="8766" spans="9:15" x14ac:dyDescent="0.25">
      <c r="I8766" s="268"/>
      <c r="O8766" s="268"/>
    </row>
    <row r="8767" spans="9:15" x14ac:dyDescent="0.25">
      <c r="I8767" s="268"/>
      <c r="O8767" s="268"/>
    </row>
    <row r="8768" spans="9:15" x14ac:dyDescent="0.25">
      <c r="I8768" s="268"/>
      <c r="O8768" s="268"/>
    </row>
    <row r="8769" spans="9:15" x14ac:dyDescent="0.25">
      <c r="I8769" s="268"/>
      <c r="O8769" s="268"/>
    </row>
    <row r="8770" spans="9:15" x14ac:dyDescent="0.25">
      <c r="I8770" s="268"/>
      <c r="O8770" s="268"/>
    </row>
    <row r="8771" spans="9:15" x14ac:dyDescent="0.25">
      <c r="I8771" s="268"/>
      <c r="O8771" s="268"/>
    </row>
    <row r="8772" spans="9:15" x14ac:dyDescent="0.25">
      <c r="I8772" s="268"/>
      <c r="O8772" s="268"/>
    </row>
    <row r="8773" spans="9:15" x14ac:dyDescent="0.25">
      <c r="I8773" s="268"/>
      <c r="O8773" s="268"/>
    </row>
    <row r="8774" spans="9:15" x14ac:dyDescent="0.25">
      <c r="I8774" s="268"/>
      <c r="O8774" s="268"/>
    </row>
    <row r="8775" spans="9:15" x14ac:dyDescent="0.25">
      <c r="I8775" s="268"/>
      <c r="O8775" s="268"/>
    </row>
    <row r="8776" spans="9:15" x14ac:dyDescent="0.25">
      <c r="I8776" s="268"/>
      <c r="O8776" s="268"/>
    </row>
    <row r="8777" spans="9:15" x14ac:dyDescent="0.25">
      <c r="I8777" s="268"/>
      <c r="O8777" s="268"/>
    </row>
    <row r="8778" spans="9:15" x14ac:dyDescent="0.25">
      <c r="I8778" s="268"/>
      <c r="O8778" s="268"/>
    </row>
    <row r="8779" spans="9:15" x14ac:dyDescent="0.25">
      <c r="I8779" s="268"/>
      <c r="O8779" s="268"/>
    </row>
    <row r="8780" spans="9:15" x14ac:dyDescent="0.25">
      <c r="I8780" s="268"/>
      <c r="O8780" s="268"/>
    </row>
    <row r="8781" spans="9:15" x14ac:dyDescent="0.25">
      <c r="I8781" s="268"/>
      <c r="O8781" s="268"/>
    </row>
    <row r="8782" spans="9:15" x14ac:dyDescent="0.25">
      <c r="I8782" s="268"/>
      <c r="O8782" s="268"/>
    </row>
    <row r="8783" spans="9:15" x14ac:dyDescent="0.25">
      <c r="I8783" s="268"/>
      <c r="O8783" s="268"/>
    </row>
    <row r="8784" spans="9:15" x14ac:dyDescent="0.25">
      <c r="I8784" s="268"/>
      <c r="O8784" s="268"/>
    </row>
    <row r="8785" spans="9:15" x14ac:dyDescent="0.25">
      <c r="I8785" s="268"/>
      <c r="O8785" s="268"/>
    </row>
    <row r="8786" spans="9:15" x14ac:dyDescent="0.25">
      <c r="I8786" s="268"/>
      <c r="O8786" s="268"/>
    </row>
    <row r="8787" spans="9:15" x14ac:dyDescent="0.25">
      <c r="I8787" s="268"/>
      <c r="O8787" s="268"/>
    </row>
    <row r="8788" spans="9:15" x14ac:dyDescent="0.25">
      <c r="I8788" s="268"/>
      <c r="O8788" s="268"/>
    </row>
    <row r="8789" spans="9:15" x14ac:dyDescent="0.25">
      <c r="I8789" s="268"/>
      <c r="O8789" s="268"/>
    </row>
    <row r="8790" spans="9:15" x14ac:dyDescent="0.25">
      <c r="I8790" s="268"/>
      <c r="O8790" s="268"/>
    </row>
    <row r="8791" spans="9:15" x14ac:dyDescent="0.25">
      <c r="I8791" s="268"/>
      <c r="O8791" s="268"/>
    </row>
    <row r="8792" spans="9:15" x14ac:dyDescent="0.25">
      <c r="I8792" s="268"/>
      <c r="O8792" s="268"/>
    </row>
    <row r="8793" spans="9:15" x14ac:dyDescent="0.25">
      <c r="I8793" s="268"/>
      <c r="O8793" s="268"/>
    </row>
    <row r="8794" spans="9:15" x14ac:dyDescent="0.25">
      <c r="I8794" s="268"/>
      <c r="O8794" s="268"/>
    </row>
    <row r="8795" spans="9:15" x14ac:dyDescent="0.25">
      <c r="I8795" s="268"/>
      <c r="O8795" s="268"/>
    </row>
    <row r="8796" spans="9:15" x14ac:dyDescent="0.25">
      <c r="I8796" s="268"/>
      <c r="O8796" s="268"/>
    </row>
    <row r="8797" spans="9:15" x14ac:dyDescent="0.25">
      <c r="I8797" s="268"/>
      <c r="O8797" s="268"/>
    </row>
    <row r="8798" spans="9:15" x14ac:dyDescent="0.25">
      <c r="I8798" s="268"/>
      <c r="O8798" s="268"/>
    </row>
    <row r="8799" spans="9:15" x14ac:dyDescent="0.25">
      <c r="I8799" s="268"/>
      <c r="O8799" s="268"/>
    </row>
    <row r="8800" spans="9:15" x14ac:dyDescent="0.25">
      <c r="I8800" s="268"/>
      <c r="O8800" s="268"/>
    </row>
    <row r="8801" spans="9:15" x14ac:dyDescent="0.25">
      <c r="I8801" s="268"/>
      <c r="O8801" s="268"/>
    </row>
    <row r="8802" spans="9:15" x14ac:dyDescent="0.25">
      <c r="I8802" s="268"/>
      <c r="O8802" s="268"/>
    </row>
    <row r="8803" spans="9:15" x14ac:dyDescent="0.25">
      <c r="I8803" s="268"/>
      <c r="O8803" s="268"/>
    </row>
    <row r="8804" spans="9:15" x14ac:dyDescent="0.25">
      <c r="I8804" s="268"/>
      <c r="O8804" s="268"/>
    </row>
    <row r="8805" spans="9:15" x14ac:dyDescent="0.25">
      <c r="I8805" s="268"/>
      <c r="O8805" s="268"/>
    </row>
    <row r="8806" spans="9:15" x14ac:dyDescent="0.25">
      <c r="I8806" s="268"/>
      <c r="O8806" s="268"/>
    </row>
    <row r="8807" spans="9:15" x14ac:dyDescent="0.25">
      <c r="I8807" s="268"/>
      <c r="O8807" s="268"/>
    </row>
    <row r="8808" spans="9:15" x14ac:dyDescent="0.25">
      <c r="I8808" s="268"/>
      <c r="O8808" s="268"/>
    </row>
    <row r="8809" spans="9:15" x14ac:dyDescent="0.25">
      <c r="I8809" s="268"/>
      <c r="O8809" s="268"/>
    </row>
    <row r="8810" spans="9:15" x14ac:dyDescent="0.25">
      <c r="I8810" s="268"/>
      <c r="O8810" s="268"/>
    </row>
    <row r="8811" spans="9:15" x14ac:dyDescent="0.25">
      <c r="I8811" s="268"/>
      <c r="O8811" s="268"/>
    </row>
    <row r="8812" spans="9:15" x14ac:dyDescent="0.25">
      <c r="I8812" s="268"/>
      <c r="O8812" s="268"/>
    </row>
    <row r="8813" spans="9:15" x14ac:dyDescent="0.25">
      <c r="I8813" s="268"/>
      <c r="O8813" s="268"/>
    </row>
    <row r="8814" spans="9:15" x14ac:dyDescent="0.25">
      <c r="I8814" s="268"/>
      <c r="O8814" s="268"/>
    </row>
    <row r="8815" spans="9:15" x14ac:dyDescent="0.25">
      <c r="I8815" s="268"/>
      <c r="O8815" s="268"/>
    </row>
    <row r="8816" spans="9:15" x14ac:dyDescent="0.25">
      <c r="I8816" s="268"/>
      <c r="O8816" s="268"/>
    </row>
    <row r="8817" spans="9:15" x14ac:dyDescent="0.25">
      <c r="I8817" s="268"/>
      <c r="O8817" s="268"/>
    </row>
    <row r="8818" spans="9:15" x14ac:dyDescent="0.25">
      <c r="I8818" s="268"/>
      <c r="O8818" s="268"/>
    </row>
    <row r="8819" spans="9:15" x14ac:dyDescent="0.25">
      <c r="I8819" s="268"/>
      <c r="O8819" s="268"/>
    </row>
    <row r="8820" spans="9:15" x14ac:dyDescent="0.25">
      <c r="I8820" s="268"/>
      <c r="O8820" s="268"/>
    </row>
    <row r="8821" spans="9:15" x14ac:dyDescent="0.25">
      <c r="I8821" s="268"/>
      <c r="O8821" s="268"/>
    </row>
    <row r="8822" spans="9:15" x14ac:dyDescent="0.25">
      <c r="I8822" s="268"/>
      <c r="O8822" s="268"/>
    </row>
    <row r="8823" spans="9:15" x14ac:dyDescent="0.25">
      <c r="I8823" s="268"/>
      <c r="O8823" s="268"/>
    </row>
    <row r="8824" spans="9:15" x14ac:dyDescent="0.25">
      <c r="I8824" s="268"/>
      <c r="O8824" s="268"/>
    </row>
    <row r="8825" spans="9:15" x14ac:dyDescent="0.25">
      <c r="I8825" s="268"/>
      <c r="O8825" s="268"/>
    </row>
    <row r="8826" spans="9:15" x14ac:dyDescent="0.25">
      <c r="I8826" s="268"/>
      <c r="O8826" s="268"/>
    </row>
    <row r="8827" spans="9:15" x14ac:dyDescent="0.25">
      <c r="I8827" s="268"/>
      <c r="O8827" s="268"/>
    </row>
    <row r="8828" spans="9:15" x14ac:dyDescent="0.25">
      <c r="I8828" s="268"/>
      <c r="O8828" s="268"/>
    </row>
    <row r="8829" spans="9:15" x14ac:dyDescent="0.25">
      <c r="I8829" s="268"/>
      <c r="O8829" s="268"/>
    </row>
    <row r="8830" spans="9:15" x14ac:dyDescent="0.25">
      <c r="I8830" s="268"/>
      <c r="O8830" s="268"/>
    </row>
    <row r="8831" spans="9:15" x14ac:dyDescent="0.25">
      <c r="I8831" s="268"/>
      <c r="O8831" s="268"/>
    </row>
    <row r="8832" spans="9:15" x14ac:dyDescent="0.25">
      <c r="I8832" s="268"/>
      <c r="O8832" s="268"/>
    </row>
    <row r="8833" spans="9:15" x14ac:dyDescent="0.25">
      <c r="I8833" s="268"/>
      <c r="O8833" s="268"/>
    </row>
    <row r="8834" spans="9:15" x14ac:dyDescent="0.25">
      <c r="I8834" s="268"/>
      <c r="O8834" s="268"/>
    </row>
    <row r="8835" spans="9:15" x14ac:dyDescent="0.25">
      <c r="I8835" s="268"/>
      <c r="O8835" s="268"/>
    </row>
    <row r="8836" spans="9:15" x14ac:dyDescent="0.25">
      <c r="I8836" s="268"/>
      <c r="O8836" s="268"/>
    </row>
    <row r="8837" spans="9:15" x14ac:dyDescent="0.25">
      <c r="I8837" s="268"/>
      <c r="O8837" s="268"/>
    </row>
    <row r="8838" spans="9:15" x14ac:dyDescent="0.25">
      <c r="I8838" s="268"/>
      <c r="O8838" s="268"/>
    </row>
    <row r="8839" spans="9:15" x14ac:dyDescent="0.25">
      <c r="I8839" s="268"/>
      <c r="O8839" s="268"/>
    </row>
    <row r="8840" spans="9:15" x14ac:dyDescent="0.25">
      <c r="I8840" s="268"/>
      <c r="O8840" s="268"/>
    </row>
    <row r="8841" spans="9:15" x14ac:dyDescent="0.25">
      <c r="I8841" s="268"/>
      <c r="O8841" s="268"/>
    </row>
    <row r="8842" spans="9:15" x14ac:dyDescent="0.25">
      <c r="I8842" s="268"/>
      <c r="O8842" s="268"/>
    </row>
    <row r="8843" spans="9:15" x14ac:dyDescent="0.25">
      <c r="I8843" s="268"/>
      <c r="O8843" s="268"/>
    </row>
    <row r="8844" spans="9:15" x14ac:dyDescent="0.25">
      <c r="I8844" s="268"/>
      <c r="O8844" s="268"/>
    </row>
    <row r="8845" spans="9:15" x14ac:dyDescent="0.25">
      <c r="I8845" s="268"/>
      <c r="O8845" s="268"/>
    </row>
    <row r="8846" spans="9:15" x14ac:dyDescent="0.25">
      <c r="I8846" s="268"/>
      <c r="O8846" s="268"/>
    </row>
    <row r="8847" spans="9:15" x14ac:dyDescent="0.25">
      <c r="I8847" s="268"/>
      <c r="O8847" s="268"/>
    </row>
    <row r="8848" spans="9:15" x14ac:dyDescent="0.25">
      <c r="I8848" s="268"/>
      <c r="O8848" s="268"/>
    </row>
    <row r="8849" spans="9:15" x14ac:dyDescent="0.25">
      <c r="I8849" s="268"/>
      <c r="O8849" s="268"/>
    </row>
    <row r="8850" spans="9:15" x14ac:dyDescent="0.25">
      <c r="I8850" s="268"/>
      <c r="O8850" s="268"/>
    </row>
    <row r="8851" spans="9:15" x14ac:dyDescent="0.25">
      <c r="I8851" s="268"/>
      <c r="O8851" s="268"/>
    </row>
    <row r="8852" spans="9:15" x14ac:dyDescent="0.25">
      <c r="I8852" s="268"/>
      <c r="O8852" s="268"/>
    </row>
    <row r="8853" spans="9:15" x14ac:dyDescent="0.25">
      <c r="I8853" s="268"/>
      <c r="O8853" s="268"/>
    </row>
    <row r="8854" spans="9:15" x14ac:dyDescent="0.25">
      <c r="I8854" s="268"/>
      <c r="O8854" s="268"/>
    </row>
    <row r="8855" spans="9:15" x14ac:dyDescent="0.25">
      <c r="I8855" s="268"/>
      <c r="O8855" s="268"/>
    </row>
    <row r="8856" spans="9:15" x14ac:dyDescent="0.25">
      <c r="I8856" s="268"/>
      <c r="O8856" s="268"/>
    </row>
    <row r="8857" spans="9:15" x14ac:dyDescent="0.25">
      <c r="I8857" s="268"/>
      <c r="O8857" s="268"/>
    </row>
    <row r="8858" spans="9:15" x14ac:dyDescent="0.25">
      <c r="I8858" s="268"/>
      <c r="O8858" s="268"/>
    </row>
    <row r="8859" spans="9:15" x14ac:dyDescent="0.25">
      <c r="I8859" s="268"/>
      <c r="O8859" s="268"/>
    </row>
    <row r="8860" spans="9:15" x14ac:dyDescent="0.25">
      <c r="I8860" s="268"/>
      <c r="O8860" s="268"/>
    </row>
    <row r="8861" spans="9:15" x14ac:dyDescent="0.25">
      <c r="I8861" s="268"/>
      <c r="O8861" s="268"/>
    </row>
    <row r="8862" spans="9:15" x14ac:dyDescent="0.25">
      <c r="I8862" s="268"/>
      <c r="O8862" s="268"/>
    </row>
    <row r="8863" spans="9:15" x14ac:dyDescent="0.25">
      <c r="I8863" s="268"/>
      <c r="O8863" s="268"/>
    </row>
    <row r="8864" spans="9:15" x14ac:dyDescent="0.25">
      <c r="I8864" s="268"/>
      <c r="O8864" s="268"/>
    </row>
    <row r="8865" spans="9:15" x14ac:dyDescent="0.25">
      <c r="I8865" s="268"/>
      <c r="O8865" s="268"/>
    </row>
    <row r="8866" spans="9:15" x14ac:dyDescent="0.25">
      <c r="I8866" s="268"/>
      <c r="O8866" s="268"/>
    </row>
    <row r="8867" spans="9:15" x14ac:dyDescent="0.25">
      <c r="I8867" s="268"/>
      <c r="O8867" s="268"/>
    </row>
    <row r="8868" spans="9:15" x14ac:dyDescent="0.25">
      <c r="I8868" s="268"/>
      <c r="O8868" s="268"/>
    </row>
    <row r="8869" spans="9:15" x14ac:dyDescent="0.25">
      <c r="I8869" s="268"/>
      <c r="O8869" s="268"/>
    </row>
    <row r="8870" spans="9:15" x14ac:dyDescent="0.25">
      <c r="I8870" s="268"/>
      <c r="O8870" s="268"/>
    </row>
    <row r="8871" spans="9:15" x14ac:dyDescent="0.25">
      <c r="I8871" s="268"/>
      <c r="O8871" s="268"/>
    </row>
    <row r="8872" spans="9:15" x14ac:dyDescent="0.25">
      <c r="I8872" s="268"/>
      <c r="O8872" s="268"/>
    </row>
    <row r="8873" spans="9:15" x14ac:dyDescent="0.25">
      <c r="I8873" s="268"/>
      <c r="O8873" s="268"/>
    </row>
    <row r="8874" spans="9:15" x14ac:dyDescent="0.25">
      <c r="I8874" s="268"/>
      <c r="O8874" s="268"/>
    </row>
    <row r="8875" spans="9:15" x14ac:dyDescent="0.25">
      <c r="I8875" s="268"/>
      <c r="O8875" s="268"/>
    </row>
    <row r="8876" spans="9:15" x14ac:dyDescent="0.25">
      <c r="I8876" s="268"/>
      <c r="O8876" s="268"/>
    </row>
    <row r="8877" spans="9:15" x14ac:dyDescent="0.25">
      <c r="I8877" s="268"/>
      <c r="O8877" s="268"/>
    </row>
    <row r="8878" spans="9:15" x14ac:dyDescent="0.25">
      <c r="I8878" s="268"/>
      <c r="O8878" s="268"/>
    </row>
    <row r="8879" spans="9:15" x14ac:dyDescent="0.25">
      <c r="I8879" s="268"/>
      <c r="O8879" s="268"/>
    </row>
    <row r="8880" spans="9:15" x14ac:dyDescent="0.25">
      <c r="I8880" s="268"/>
      <c r="O8880" s="268"/>
    </row>
    <row r="8881" spans="9:15" x14ac:dyDescent="0.25">
      <c r="I8881" s="268"/>
      <c r="O8881" s="268"/>
    </row>
    <row r="8882" spans="9:15" x14ac:dyDescent="0.25">
      <c r="I8882" s="268"/>
      <c r="O8882" s="268"/>
    </row>
    <row r="8883" spans="9:15" x14ac:dyDescent="0.25">
      <c r="I8883" s="268"/>
      <c r="O8883" s="268"/>
    </row>
    <row r="8884" spans="9:15" x14ac:dyDescent="0.25">
      <c r="I8884" s="268"/>
      <c r="O8884" s="268"/>
    </row>
    <row r="8885" spans="9:15" x14ac:dyDescent="0.25">
      <c r="I8885" s="268"/>
      <c r="O8885" s="268"/>
    </row>
    <row r="8886" spans="9:15" x14ac:dyDescent="0.25">
      <c r="I8886" s="268"/>
      <c r="O8886" s="268"/>
    </row>
    <row r="8887" spans="9:15" x14ac:dyDescent="0.25">
      <c r="I8887" s="268"/>
      <c r="O8887" s="268"/>
    </row>
    <row r="8888" spans="9:15" x14ac:dyDescent="0.25">
      <c r="I8888" s="268"/>
      <c r="O8888" s="268"/>
    </row>
    <row r="8889" spans="9:15" x14ac:dyDescent="0.25">
      <c r="I8889" s="268"/>
      <c r="O8889" s="268"/>
    </row>
    <row r="8890" spans="9:15" x14ac:dyDescent="0.25">
      <c r="I8890" s="268"/>
      <c r="O8890" s="268"/>
    </row>
    <row r="8891" spans="9:15" x14ac:dyDescent="0.25">
      <c r="I8891" s="268"/>
      <c r="O8891" s="268"/>
    </row>
    <row r="8892" spans="9:15" x14ac:dyDescent="0.25">
      <c r="I8892" s="268"/>
      <c r="O8892" s="268"/>
    </row>
    <row r="8893" spans="9:15" x14ac:dyDescent="0.25">
      <c r="I8893" s="268"/>
      <c r="O8893" s="268"/>
    </row>
    <row r="8894" spans="9:15" x14ac:dyDescent="0.25">
      <c r="I8894" s="268"/>
      <c r="O8894" s="268"/>
    </row>
    <row r="8895" spans="9:15" x14ac:dyDescent="0.25">
      <c r="I8895" s="268"/>
      <c r="O8895" s="268"/>
    </row>
    <row r="8896" spans="9:15" x14ac:dyDescent="0.25">
      <c r="I8896" s="268"/>
      <c r="O8896" s="268"/>
    </row>
    <row r="8897" spans="9:15" x14ac:dyDescent="0.25">
      <c r="I8897" s="268"/>
      <c r="O8897" s="268"/>
    </row>
    <row r="8898" spans="9:15" x14ac:dyDescent="0.25">
      <c r="I8898" s="268"/>
      <c r="O8898" s="268"/>
    </row>
    <row r="8899" spans="9:15" x14ac:dyDescent="0.25">
      <c r="I8899" s="268"/>
      <c r="O8899" s="268"/>
    </row>
    <row r="8900" spans="9:15" x14ac:dyDescent="0.25">
      <c r="I8900" s="268"/>
      <c r="O8900" s="268"/>
    </row>
    <row r="8901" spans="9:15" x14ac:dyDescent="0.25">
      <c r="I8901" s="268"/>
      <c r="O8901" s="268"/>
    </row>
    <row r="8902" spans="9:15" x14ac:dyDescent="0.25">
      <c r="I8902" s="268"/>
      <c r="O8902" s="268"/>
    </row>
    <row r="8903" spans="9:15" x14ac:dyDescent="0.25">
      <c r="I8903" s="268"/>
      <c r="O8903" s="268"/>
    </row>
    <row r="8904" spans="9:15" x14ac:dyDescent="0.25">
      <c r="I8904" s="268"/>
      <c r="O8904" s="268"/>
    </row>
    <row r="8905" spans="9:15" x14ac:dyDescent="0.25">
      <c r="I8905" s="268"/>
      <c r="O8905" s="268"/>
    </row>
    <row r="8906" spans="9:15" x14ac:dyDescent="0.25">
      <c r="I8906" s="268"/>
      <c r="O8906" s="268"/>
    </row>
    <row r="8907" spans="9:15" x14ac:dyDescent="0.25">
      <c r="I8907" s="268"/>
      <c r="O8907" s="268"/>
    </row>
    <row r="8908" spans="9:15" x14ac:dyDescent="0.25">
      <c r="I8908" s="268"/>
      <c r="O8908" s="268"/>
    </row>
    <row r="8909" spans="9:15" x14ac:dyDescent="0.25">
      <c r="I8909" s="268"/>
      <c r="O8909" s="268"/>
    </row>
    <row r="8910" spans="9:15" x14ac:dyDescent="0.25">
      <c r="I8910" s="268"/>
      <c r="O8910" s="268"/>
    </row>
    <row r="8911" spans="9:15" x14ac:dyDescent="0.25">
      <c r="I8911" s="268"/>
      <c r="O8911" s="268"/>
    </row>
    <row r="8912" spans="9:15" x14ac:dyDescent="0.25">
      <c r="I8912" s="268"/>
      <c r="O8912" s="268"/>
    </row>
    <row r="8913" spans="9:15" x14ac:dyDescent="0.25">
      <c r="I8913" s="268"/>
      <c r="O8913" s="268"/>
    </row>
    <row r="8914" spans="9:15" x14ac:dyDescent="0.25">
      <c r="I8914" s="268"/>
      <c r="O8914" s="268"/>
    </row>
    <row r="8915" spans="9:15" x14ac:dyDescent="0.25">
      <c r="I8915" s="268"/>
      <c r="O8915" s="268"/>
    </row>
    <row r="8916" spans="9:15" x14ac:dyDescent="0.25">
      <c r="I8916" s="268"/>
      <c r="O8916" s="268"/>
    </row>
    <row r="8917" spans="9:15" x14ac:dyDescent="0.25">
      <c r="I8917" s="268"/>
      <c r="O8917" s="268"/>
    </row>
    <row r="8918" spans="9:15" x14ac:dyDescent="0.25">
      <c r="I8918" s="268"/>
      <c r="O8918" s="268"/>
    </row>
    <row r="8919" spans="9:15" x14ac:dyDescent="0.25">
      <c r="I8919" s="268"/>
      <c r="O8919" s="268"/>
    </row>
    <row r="8920" spans="9:15" x14ac:dyDescent="0.25">
      <c r="I8920" s="268"/>
      <c r="O8920" s="268"/>
    </row>
    <row r="8921" spans="9:15" x14ac:dyDescent="0.25">
      <c r="I8921" s="268"/>
      <c r="O8921" s="268"/>
    </row>
    <row r="8922" spans="9:15" x14ac:dyDescent="0.25">
      <c r="I8922" s="268"/>
      <c r="O8922" s="268"/>
    </row>
    <row r="8923" spans="9:15" x14ac:dyDescent="0.25">
      <c r="I8923" s="268"/>
      <c r="O8923" s="268"/>
    </row>
    <row r="8924" spans="9:15" x14ac:dyDescent="0.25">
      <c r="I8924" s="268"/>
      <c r="O8924" s="268"/>
    </row>
    <row r="8925" spans="9:15" x14ac:dyDescent="0.25">
      <c r="I8925" s="268"/>
      <c r="O8925" s="268"/>
    </row>
    <row r="8926" spans="9:15" x14ac:dyDescent="0.25">
      <c r="I8926" s="268"/>
      <c r="O8926" s="268"/>
    </row>
    <row r="8927" spans="9:15" x14ac:dyDescent="0.25">
      <c r="I8927" s="268"/>
      <c r="O8927" s="268"/>
    </row>
    <row r="8928" spans="9:15" x14ac:dyDescent="0.25">
      <c r="I8928" s="268"/>
      <c r="O8928" s="268"/>
    </row>
    <row r="8929" spans="9:15" x14ac:dyDescent="0.25">
      <c r="I8929" s="268"/>
      <c r="O8929" s="268"/>
    </row>
    <row r="8930" spans="9:15" x14ac:dyDescent="0.25">
      <c r="I8930" s="268"/>
      <c r="O8930" s="268"/>
    </row>
    <row r="8931" spans="9:15" x14ac:dyDescent="0.25">
      <c r="I8931" s="268"/>
      <c r="O8931" s="268"/>
    </row>
    <row r="8932" spans="9:15" x14ac:dyDescent="0.25">
      <c r="I8932" s="268"/>
      <c r="O8932" s="268"/>
    </row>
    <row r="8933" spans="9:15" x14ac:dyDescent="0.25">
      <c r="I8933" s="268"/>
      <c r="O8933" s="268"/>
    </row>
    <row r="8934" spans="9:15" x14ac:dyDescent="0.25">
      <c r="I8934" s="268"/>
      <c r="O8934" s="268"/>
    </row>
    <row r="8935" spans="9:15" x14ac:dyDescent="0.25">
      <c r="I8935" s="268"/>
      <c r="O8935" s="268"/>
    </row>
    <row r="8936" spans="9:15" x14ac:dyDescent="0.25">
      <c r="I8936" s="268"/>
      <c r="O8936" s="268"/>
    </row>
    <row r="8937" spans="9:15" x14ac:dyDescent="0.25">
      <c r="I8937" s="268"/>
      <c r="O8937" s="268"/>
    </row>
    <row r="8938" spans="9:15" x14ac:dyDescent="0.25">
      <c r="I8938" s="268"/>
      <c r="O8938" s="268"/>
    </row>
    <row r="8939" spans="9:15" x14ac:dyDescent="0.25">
      <c r="I8939" s="268"/>
      <c r="O8939" s="268"/>
    </row>
    <row r="8940" spans="9:15" x14ac:dyDescent="0.25">
      <c r="I8940" s="268"/>
      <c r="O8940" s="268"/>
    </row>
    <row r="8941" spans="9:15" x14ac:dyDescent="0.25">
      <c r="I8941" s="268"/>
      <c r="O8941" s="268"/>
    </row>
    <row r="8942" spans="9:15" x14ac:dyDescent="0.25">
      <c r="I8942" s="268"/>
      <c r="O8942" s="268"/>
    </row>
    <row r="8943" spans="9:15" x14ac:dyDescent="0.25">
      <c r="I8943" s="268"/>
      <c r="O8943" s="268"/>
    </row>
    <row r="8944" spans="9:15" x14ac:dyDescent="0.25">
      <c r="I8944" s="268"/>
      <c r="O8944" s="268"/>
    </row>
    <row r="8945" spans="9:15" x14ac:dyDescent="0.25">
      <c r="I8945" s="268"/>
      <c r="O8945" s="268"/>
    </row>
    <row r="8946" spans="9:15" x14ac:dyDescent="0.25">
      <c r="I8946" s="268"/>
      <c r="O8946" s="268"/>
    </row>
    <row r="8947" spans="9:15" x14ac:dyDescent="0.25">
      <c r="I8947" s="268"/>
      <c r="O8947" s="268"/>
    </row>
    <row r="8948" spans="9:15" x14ac:dyDescent="0.25">
      <c r="I8948" s="268"/>
      <c r="O8948" s="268"/>
    </row>
    <row r="8949" spans="9:15" x14ac:dyDescent="0.25">
      <c r="I8949" s="268"/>
      <c r="O8949" s="268"/>
    </row>
    <row r="8950" spans="9:15" x14ac:dyDescent="0.25">
      <c r="I8950" s="268"/>
      <c r="O8950" s="268"/>
    </row>
    <row r="8951" spans="9:15" x14ac:dyDescent="0.25">
      <c r="I8951" s="268"/>
      <c r="O8951" s="268"/>
    </row>
    <row r="8952" spans="9:15" x14ac:dyDescent="0.25">
      <c r="I8952" s="268"/>
      <c r="O8952" s="268"/>
    </row>
    <row r="8953" spans="9:15" x14ac:dyDescent="0.25">
      <c r="I8953" s="268"/>
      <c r="O8953" s="268"/>
    </row>
    <row r="8954" spans="9:15" x14ac:dyDescent="0.25">
      <c r="I8954" s="268"/>
      <c r="O8954" s="268"/>
    </row>
    <row r="8955" spans="9:15" x14ac:dyDescent="0.25">
      <c r="I8955" s="268"/>
      <c r="O8955" s="268"/>
    </row>
    <row r="8956" spans="9:15" x14ac:dyDescent="0.25">
      <c r="I8956" s="268"/>
      <c r="O8956" s="268"/>
    </row>
    <row r="8957" spans="9:15" x14ac:dyDescent="0.25">
      <c r="I8957" s="268"/>
      <c r="O8957" s="268"/>
    </row>
    <row r="8958" spans="9:15" x14ac:dyDescent="0.25">
      <c r="I8958" s="268"/>
      <c r="O8958" s="268"/>
    </row>
    <row r="8959" spans="9:15" x14ac:dyDescent="0.25">
      <c r="I8959" s="268"/>
      <c r="O8959" s="268"/>
    </row>
    <row r="8960" spans="9:15" x14ac:dyDescent="0.25">
      <c r="I8960" s="268"/>
      <c r="O8960" s="268"/>
    </row>
    <row r="8961" spans="9:15" x14ac:dyDescent="0.25">
      <c r="I8961" s="268"/>
      <c r="O8961" s="268"/>
    </row>
    <row r="8962" spans="9:15" x14ac:dyDescent="0.25">
      <c r="I8962" s="268"/>
      <c r="O8962" s="268"/>
    </row>
    <row r="8963" spans="9:15" x14ac:dyDescent="0.25">
      <c r="I8963" s="268"/>
      <c r="O8963" s="268"/>
    </row>
    <row r="8964" spans="9:15" x14ac:dyDescent="0.25">
      <c r="I8964" s="268"/>
      <c r="O8964" s="268"/>
    </row>
    <row r="8965" spans="9:15" x14ac:dyDescent="0.25">
      <c r="I8965" s="268"/>
      <c r="O8965" s="268"/>
    </row>
    <row r="8966" spans="9:15" x14ac:dyDescent="0.25">
      <c r="I8966" s="268"/>
      <c r="O8966" s="268"/>
    </row>
    <row r="8967" spans="9:15" x14ac:dyDescent="0.25">
      <c r="I8967" s="268"/>
      <c r="O8967" s="268"/>
    </row>
    <row r="8968" spans="9:15" x14ac:dyDescent="0.25">
      <c r="I8968" s="268"/>
      <c r="O8968" s="268"/>
    </row>
    <row r="8969" spans="9:15" x14ac:dyDescent="0.25">
      <c r="I8969" s="268"/>
      <c r="O8969" s="268"/>
    </row>
    <row r="8970" spans="9:15" x14ac:dyDescent="0.25">
      <c r="I8970" s="268"/>
      <c r="O8970" s="268"/>
    </row>
    <row r="8971" spans="9:15" x14ac:dyDescent="0.25">
      <c r="I8971" s="268"/>
      <c r="O8971" s="268"/>
    </row>
    <row r="8972" spans="9:15" x14ac:dyDescent="0.25">
      <c r="I8972" s="268"/>
      <c r="O8972" s="268"/>
    </row>
    <row r="8973" spans="9:15" x14ac:dyDescent="0.25">
      <c r="I8973" s="268"/>
      <c r="O8973" s="268"/>
    </row>
    <row r="8974" spans="9:15" x14ac:dyDescent="0.25">
      <c r="I8974" s="268"/>
      <c r="O8974" s="268"/>
    </row>
    <row r="8975" spans="9:15" x14ac:dyDescent="0.25">
      <c r="I8975" s="268"/>
      <c r="O8975" s="268"/>
    </row>
    <row r="8976" spans="9:15" x14ac:dyDescent="0.25">
      <c r="I8976" s="268"/>
      <c r="O8976" s="268"/>
    </row>
    <row r="8977" spans="9:15" x14ac:dyDescent="0.25">
      <c r="I8977" s="268"/>
      <c r="O8977" s="268"/>
    </row>
    <row r="8978" spans="9:15" x14ac:dyDescent="0.25">
      <c r="I8978" s="268"/>
      <c r="O8978" s="268"/>
    </row>
    <row r="8979" spans="9:15" x14ac:dyDescent="0.25">
      <c r="I8979" s="268"/>
      <c r="O8979" s="268"/>
    </row>
    <row r="8980" spans="9:15" x14ac:dyDescent="0.25">
      <c r="I8980" s="268"/>
      <c r="O8980" s="268"/>
    </row>
    <row r="8981" spans="9:15" x14ac:dyDescent="0.25">
      <c r="I8981" s="268"/>
      <c r="O8981" s="268"/>
    </row>
    <row r="8982" spans="9:15" x14ac:dyDescent="0.25">
      <c r="I8982" s="268"/>
      <c r="O8982" s="268"/>
    </row>
    <row r="8983" spans="9:15" x14ac:dyDescent="0.25">
      <c r="I8983" s="268"/>
      <c r="O8983" s="268"/>
    </row>
    <row r="8984" spans="9:15" x14ac:dyDescent="0.25">
      <c r="I8984" s="268"/>
      <c r="O8984" s="268"/>
    </row>
    <row r="8985" spans="9:15" x14ac:dyDescent="0.25">
      <c r="I8985" s="268"/>
      <c r="O8985" s="268"/>
    </row>
    <row r="8986" spans="9:15" x14ac:dyDescent="0.25">
      <c r="I8986" s="268"/>
      <c r="O8986" s="268"/>
    </row>
    <row r="8987" spans="9:15" x14ac:dyDescent="0.25">
      <c r="I8987" s="268"/>
      <c r="O8987" s="268"/>
    </row>
    <row r="8988" spans="9:15" x14ac:dyDescent="0.25">
      <c r="I8988" s="268"/>
      <c r="O8988" s="268"/>
    </row>
    <row r="8989" spans="9:15" x14ac:dyDescent="0.25">
      <c r="I8989" s="268"/>
      <c r="O8989" s="268"/>
    </row>
    <row r="8990" spans="9:15" x14ac:dyDescent="0.25">
      <c r="I8990" s="268"/>
      <c r="O8990" s="268"/>
    </row>
    <row r="8991" spans="9:15" x14ac:dyDescent="0.25">
      <c r="I8991" s="268"/>
      <c r="O8991" s="268"/>
    </row>
    <row r="8992" spans="9:15" x14ac:dyDescent="0.25">
      <c r="I8992" s="268"/>
      <c r="O8992" s="268"/>
    </row>
    <row r="8993" spans="9:15" x14ac:dyDescent="0.25">
      <c r="I8993" s="268"/>
      <c r="O8993" s="268"/>
    </row>
    <row r="8994" spans="9:15" x14ac:dyDescent="0.25">
      <c r="I8994" s="268"/>
      <c r="O8994" s="268"/>
    </row>
    <row r="8995" spans="9:15" x14ac:dyDescent="0.25">
      <c r="I8995" s="268"/>
      <c r="O8995" s="268"/>
    </row>
    <row r="8996" spans="9:15" x14ac:dyDescent="0.25">
      <c r="I8996" s="268"/>
      <c r="O8996" s="268"/>
    </row>
    <row r="8997" spans="9:15" x14ac:dyDescent="0.25">
      <c r="I8997" s="268"/>
      <c r="O8997" s="268"/>
    </row>
    <row r="8998" spans="9:15" x14ac:dyDescent="0.25">
      <c r="I8998" s="268"/>
      <c r="O8998" s="268"/>
    </row>
    <row r="8999" spans="9:15" x14ac:dyDescent="0.25">
      <c r="I8999" s="268"/>
      <c r="O8999" s="268"/>
    </row>
    <row r="9000" spans="9:15" x14ac:dyDescent="0.25">
      <c r="I9000" s="268"/>
      <c r="O9000" s="268"/>
    </row>
    <row r="9001" spans="9:15" x14ac:dyDescent="0.25">
      <c r="I9001" s="268"/>
      <c r="O9001" s="268"/>
    </row>
    <row r="9002" spans="9:15" x14ac:dyDescent="0.25">
      <c r="I9002" s="268"/>
      <c r="O9002" s="268"/>
    </row>
    <row r="9003" spans="9:15" x14ac:dyDescent="0.25">
      <c r="I9003" s="268"/>
      <c r="O9003" s="268"/>
    </row>
    <row r="9004" spans="9:15" x14ac:dyDescent="0.25">
      <c r="I9004" s="268"/>
      <c r="O9004" s="268"/>
    </row>
    <row r="9005" spans="9:15" x14ac:dyDescent="0.25">
      <c r="I9005" s="268"/>
      <c r="O9005" s="268"/>
    </row>
    <row r="9006" spans="9:15" x14ac:dyDescent="0.25">
      <c r="I9006" s="268"/>
      <c r="O9006" s="268"/>
    </row>
    <row r="9007" spans="9:15" x14ac:dyDescent="0.25">
      <c r="I9007" s="268"/>
      <c r="O9007" s="268"/>
    </row>
    <row r="9008" spans="9:15" x14ac:dyDescent="0.25">
      <c r="I9008" s="268"/>
      <c r="O9008" s="268"/>
    </row>
    <row r="9009" spans="9:15" x14ac:dyDescent="0.25">
      <c r="I9009" s="268"/>
      <c r="O9009" s="268"/>
    </row>
    <row r="9010" spans="9:15" x14ac:dyDescent="0.25">
      <c r="I9010" s="268"/>
      <c r="O9010" s="268"/>
    </row>
    <row r="9011" spans="9:15" x14ac:dyDescent="0.25">
      <c r="I9011" s="268"/>
      <c r="O9011" s="268"/>
    </row>
    <row r="9012" spans="9:15" x14ac:dyDescent="0.25">
      <c r="I9012" s="268"/>
      <c r="O9012" s="268"/>
    </row>
    <row r="9013" spans="9:15" x14ac:dyDescent="0.25">
      <c r="I9013" s="268"/>
      <c r="O9013" s="268"/>
    </row>
    <row r="9014" spans="9:15" x14ac:dyDescent="0.25">
      <c r="I9014" s="268"/>
      <c r="O9014" s="268"/>
    </row>
    <row r="9015" spans="9:15" x14ac:dyDescent="0.25">
      <c r="I9015" s="268"/>
      <c r="O9015" s="268"/>
    </row>
    <row r="9016" spans="9:15" x14ac:dyDescent="0.25">
      <c r="I9016" s="268"/>
      <c r="O9016" s="268"/>
    </row>
    <row r="9017" spans="9:15" x14ac:dyDescent="0.25">
      <c r="I9017" s="268"/>
      <c r="O9017" s="268"/>
    </row>
    <row r="9018" spans="9:15" x14ac:dyDescent="0.25">
      <c r="I9018" s="268"/>
      <c r="O9018" s="268"/>
    </row>
    <row r="9019" spans="9:15" x14ac:dyDescent="0.25">
      <c r="I9019" s="268"/>
      <c r="O9019" s="268"/>
    </row>
    <row r="9020" spans="9:15" x14ac:dyDescent="0.25">
      <c r="I9020" s="268"/>
      <c r="O9020" s="268"/>
    </row>
    <row r="9021" spans="9:15" x14ac:dyDescent="0.25">
      <c r="I9021" s="268"/>
      <c r="O9021" s="268"/>
    </row>
    <row r="9022" spans="9:15" x14ac:dyDescent="0.25">
      <c r="I9022" s="268"/>
      <c r="O9022" s="268"/>
    </row>
    <row r="9023" spans="9:15" x14ac:dyDescent="0.25">
      <c r="I9023" s="268"/>
      <c r="O9023" s="268"/>
    </row>
    <row r="9024" spans="9:15" x14ac:dyDescent="0.25">
      <c r="I9024" s="268"/>
      <c r="O9024" s="268"/>
    </row>
    <row r="9025" spans="9:15" x14ac:dyDescent="0.25">
      <c r="I9025" s="268"/>
      <c r="O9025" s="268"/>
    </row>
    <row r="9026" spans="9:15" x14ac:dyDescent="0.25">
      <c r="I9026" s="268"/>
      <c r="O9026" s="268"/>
    </row>
    <row r="9027" spans="9:15" x14ac:dyDescent="0.25">
      <c r="I9027" s="268"/>
      <c r="O9027" s="268"/>
    </row>
    <row r="9028" spans="9:15" x14ac:dyDescent="0.25">
      <c r="I9028" s="268"/>
      <c r="O9028" s="268"/>
    </row>
    <row r="9029" spans="9:15" x14ac:dyDescent="0.25">
      <c r="I9029" s="268"/>
      <c r="O9029" s="268"/>
    </row>
    <row r="9030" spans="9:15" x14ac:dyDescent="0.25">
      <c r="I9030" s="268"/>
      <c r="O9030" s="268"/>
    </row>
    <row r="9031" spans="9:15" x14ac:dyDescent="0.25">
      <c r="I9031" s="268"/>
      <c r="O9031" s="268"/>
    </row>
    <row r="9032" spans="9:15" x14ac:dyDescent="0.25">
      <c r="I9032" s="268"/>
      <c r="O9032" s="268"/>
    </row>
    <row r="9033" spans="9:15" x14ac:dyDescent="0.25">
      <c r="I9033" s="268"/>
      <c r="O9033" s="268"/>
    </row>
    <row r="9034" spans="9:15" x14ac:dyDescent="0.25">
      <c r="I9034" s="268"/>
      <c r="O9034" s="268"/>
    </row>
    <row r="9035" spans="9:15" x14ac:dyDescent="0.25">
      <c r="I9035" s="268"/>
      <c r="O9035" s="268"/>
    </row>
    <row r="9036" spans="9:15" x14ac:dyDescent="0.25">
      <c r="I9036" s="268"/>
      <c r="O9036" s="268"/>
    </row>
    <row r="9037" spans="9:15" x14ac:dyDescent="0.25">
      <c r="I9037" s="268"/>
      <c r="O9037" s="268"/>
    </row>
    <row r="9038" spans="9:15" x14ac:dyDescent="0.25">
      <c r="I9038" s="268"/>
      <c r="O9038" s="268"/>
    </row>
    <row r="9039" spans="9:15" x14ac:dyDescent="0.25">
      <c r="I9039" s="268"/>
      <c r="O9039" s="268"/>
    </row>
    <row r="9040" spans="9:15" x14ac:dyDescent="0.25">
      <c r="I9040" s="268"/>
      <c r="O9040" s="268"/>
    </row>
    <row r="9041" spans="9:15" x14ac:dyDescent="0.25">
      <c r="I9041" s="268"/>
      <c r="O9041" s="268"/>
    </row>
    <row r="9042" spans="9:15" x14ac:dyDescent="0.25">
      <c r="I9042" s="268"/>
      <c r="O9042" s="268"/>
    </row>
    <row r="9043" spans="9:15" x14ac:dyDescent="0.25">
      <c r="I9043" s="268"/>
      <c r="O9043" s="268"/>
    </row>
    <row r="9044" spans="9:15" x14ac:dyDescent="0.25">
      <c r="I9044" s="268"/>
      <c r="O9044" s="268"/>
    </row>
    <row r="9045" spans="9:15" x14ac:dyDescent="0.25">
      <c r="I9045" s="268"/>
      <c r="O9045" s="268"/>
    </row>
    <row r="9046" spans="9:15" x14ac:dyDescent="0.25">
      <c r="I9046" s="268"/>
      <c r="O9046" s="268"/>
    </row>
    <row r="9047" spans="9:15" x14ac:dyDescent="0.25">
      <c r="I9047" s="268"/>
      <c r="O9047" s="268"/>
    </row>
    <row r="9048" spans="9:15" x14ac:dyDescent="0.25">
      <c r="I9048" s="268"/>
      <c r="O9048" s="268"/>
    </row>
    <row r="9049" spans="9:15" x14ac:dyDescent="0.25">
      <c r="I9049" s="268"/>
      <c r="O9049" s="268"/>
    </row>
    <row r="9050" spans="9:15" x14ac:dyDescent="0.25">
      <c r="I9050" s="268"/>
      <c r="O9050" s="268"/>
    </row>
    <row r="9051" spans="9:15" x14ac:dyDescent="0.25">
      <c r="I9051" s="268"/>
      <c r="O9051" s="268"/>
    </row>
    <row r="9052" spans="9:15" x14ac:dyDescent="0.25">
      <c r="I9052" s="268"/>
      <c r="O9052" s="268"/>
    </row>
    <row r="9053" spans="9:15" x14ac:dyDescent="0.25">
      <c r="I9053" s="268"/>
      <c r="O9053" s="268"/>
    </row>
    <row r="9054" spans="9:15" x14ac:dyDescent="0.25">
      <c r="I9054" s="268"/>
      <c r="O9054" s="268"/>
    </row>
    <row r="9055" spans="9:15" x14ac:dyDescent="0.25">
      <c r="I9055" s="268"/>
      <c r="O9055" s="268"/>
    </row>
    <row r="9056" spans="9:15" x14ac:dyDescent="0.25">
      <c r="I9056" s="268"/>
      <c r="O9056" s="268"/>
    </row>
    <row r="9057" spans="9:15" x14ac:dyDescent="0.25">
      <c r="I9057" s="268"/>
      <c r="O9057" s="268"/>
    </row>
    <row r="9058" spans="9:15" x14ac:dyDescent="0.25">
      <c r="I9058" s="268"/>
      <c r="O9058" s="268"/>
    </row>
    <row r="9059" spans="9:15" x14ac:dyDescent="0.25">
      <c r="I9059" s="268"/>
      <c r="O9059" s="268"/>
    </row>
    <row r="9060" spans="9:15" x14ac:dyDescent="0.25">
      <c r="I9060" s="268"/>
      <c r="O9060" s="268"/>
    </row>
    <row r="9061" spans="9:15" x14ac:dyDescent="0.25">
      <c r="I9061" s="268"/>
      <c r="O9061" s="268"/>
    </row>
    <row r="9062" spans="9:15" x14ac:dyDescent="0.25">
      <c r="I9062" s="268"/>
      <c r="O9062" s="268"/>
    </row>
    <row r="9063" spans="9:15" x14ac:dyDescent="0.25">
      <c r="I9063" s="268"/>
      <c r="O9063" s="268"/>
    </row>
    <row r="9064" spans="9:15" x14ac:dyDescent="0.25">
      <c r="I9064" s="268"/>
      <c r="O9064" s="268"/>
    </row>
    <row r="9065" spans="9:15" x14ac:dyDescent="0.25">
      <c r="I9065" s="268"/>
      <c r="O9065" s="268"/>
    </row>
    <row r="9066" spans="9:15" x14ac:dyDescent="0.25">
      <c r="I9066" s="268"/>
      <c r="O9066" s="268"/>
    </row>
    <row r="9067" spans="9:15" x14ac:dyDescent="0.25">
      <c r="I9067" s="268"/>
      <c r="O9067" s="268"/>
    </row>
    <row r="9068" spans="9:15" x14ac:dyDescent="0.25">
      <c r="I9068" s="268"/>
      <c r="O9068" s="268"/>
    </row>
    <row r="9069" spans="9:15" x14ac:dyDescent="0.25">
      <c r="I9069" s="268"/>
      <c r="O9069" s="268"/>
    </row>
    <row r="9070" spans="9:15" x14ac:dyDescent="0.25">
      <c r="I9070" s="268"/>
      <c r="O9070" s="268"/>
    </row>
    <row r="9071" spans="9:15" x14ac:dyDescent="0.25">
      <c r="I9071" s="268"/>
      <c r="O9071" s="268"/>
    </row>
    <row r="9072" spans="9:15" x14ac:dyDescent="0.25">
      <c r="I9072" s="268"/>
      <c r="O9072" s="268"/>
    </row>
    <row r="9073" spans="9:15" x14ac:dyDescent="0.25">
      <c r="I9073" s="268"/>
      <c r="O9073" s="268"/>
    </row>
    <row r="9074" spans="9:15" x14ac:dyDescent="0.25">
      <c r="I9074" s="268"/>
      <c r="O9074" s="268"/>
    </row>
    <row r="9075" spans="9:15" x14ac:dyDescent="0.25">
      <c r="I9075" s="268"/>
      <c r="O9075" s="268"/>
    </row>
    <row r="9076" spans="9:15" x14ac:dyDescent="0.25">
      <c r="I9076" s="268"/>
      <c r="O9076" s="268"/>
    </row>
    <row r="9077" spans="9:15" x14ac:dyDescent="0.25">
      <c r="I9077" s="268"/>
      <c r="O9077" s="268"/>
    </row>
    <row r="9078" spans="9:15" x14ac:dyDescent="0.25">
      <c r="I9078" s="268"/>
      <c r="O9078" s="268"/>
    </row>
    <row r="9079" spans="9:15" x14ac:dyDescent="0.25">
      <c r="I9079" s="268"/>
      <c r="O9079" s="268"/>
    </row>
    <row r="9080" spans="9:15" x14ac:dyDescent="0.25">
      <c r="I9080" s="268"/>
      <c r="O9080" s="268"/>
    </row>
    <row r="9081" spans="9:15" x14ac:dyDescent="0.25">
      <c r="I9081" s="268"/>
      <c r="O9081" s="268"/>
    </row>
    <row r="9082" spans="9:15" x14ac:dyDescent="0.25">
      <c r="I9082" s="268"/>
      <c r="O9082" s="268"/>
    </row>
    <row r="9083" spans="9:15" x14ac:dyDescent="0.25">
      <c r="I9083" s="268"/>
      <c r="O9083" s="268"/>
    </row>
    <row r="9084" spans="9:15" x14ac:dyDescent="0.25">
      <c r="I9084" s="268"/>
      <c r="O9084" s="268"/>
    </row>
    <row r="9085" spans="9:15" x14ac:dyDescent="0.25">
      <c r="I9085" s="268"/>
      <c r="O9085" s="268"/>
    </row>
    <row r="9086" spans="9:15" x14ac:dyDescent="0.25">
      <c r="I9086" s="268"/>
      <c r="O9086" s="268"/>
    </row>
    <row r="9087" spans="9:15" x14ac:dyDescent="0.25">
      <c r="I9087" s="268"/>
      <c r="O9087" s="268"/>
    </row>
    <row r="9088" spans="9:15" x14ac:dyDescent="0.25">
      <c r="I9088" s="268"/>
      <c r="O9088" s="268"/>
    </row>
    <row r="9089" spans="9:15" x14ac:dyDescent="0.25">
      <c r="I9089" s="268"/>
      <c r="O9089" s="268"/>
    </row>
    <row r="9090" spans="9:15" x14ac:dyDescent="0.25">
      <c r="I9090" s="268"/>
      <c r="O9090" s="268"/>
    </row>
    <row r="9091" spans="9:15" x14ac:dyDescent="0.25">
      <c r="I9091" s="268"/>
      <c r="O9091" s="268"/>
    </row>
    <row r="9092" spans="9:15" x14ac:dyDescent="0.25">
      <c r="I9092" s="268"/>
      <c r="O9092" s="268"/>
    </row>
    <row r="9093" spans="9:15" x14ac:dyDescent="0.25">
      <c r="I9093" s="268"/>
      <c r="O9093" s="268"/>
    </row>
    <row r="9094" spans="9:15" x14ac:dyDescent="0.25">
      <c r="I9094" s="268"/>
      <c r="O9094" s="268"/>
    </row>
    <row r="9095" spans="9:15" x14ac:dyDescent="0.25">
      <c r="I9095" s="268"/>
      <c r="O9095" s="268"/>
    </row>
    <row r="9096" spans="9:15" x14ac:dyDescent="0.25">
      <c r="I9096" s="268"/>
      <c r="O9096" s="268"/>
    </row>
    <row r="9097" spans="9:15" x14ac:dyDescent="0.25">
      <c r="I9097" s="268"/>
      <c r="O9097" s="268"/>
    </row>
    <row r="9098" spans="9:15" x14ac:dyDescent="0.25">
      <c r="I9098" s="268"/>
      <c r="O9098" s="268"/>
    </row>
    <row r="9099" spans="9:15" x14ac:dyDescent="0.25">
      <c r="I9099" s="268"/>
      <c r="O9099" s="268"/>
    </row>
    <row r="9100" spans="9:15" x14ac:dyDescent="0.25">
      <c r="I9100" s="268"/>
      <c r="O9100" s="268"/>
    </row>
    <row r="9101" spans="9:15" x14ac:dyDescent="0.25">
      <c r="I9101" s="268"/>
      <c r="O9101" s="268"/>
    </row>
    <row r="9102" spans="9:15" x14ac:dyDescent="0.25">
      <c r="I9102" s="268"/>
      <c r="O9102" s="268"/>
    </row>
    <row r="9103" spans="9:15" x14ac:dyDescent="0.25">
      <c r="I9103" s="268"/>
      <c r="O9103" s="268"/>
    </row>
    <row r="9104" spans="9:15" x14ac:dyDescent="0.25">
      <c r="I9104" s="268"/>
      <c r="O9104" s="268"/>
    </row>
    <row r="9105" spans="9:15" x14ac:dyDescent="0.25">
      <c r="I9105" s="268"/>
      <c r="O9105" s="268"/>
    </row>
    <row r="9106" spans="9:15" x14ac:dyDescent="0.25">
      <c r="I9106" s="268"/>
      <c r="O9106" s="268"/>
    </row>
    <row r="9107" spans="9:15" x14ac:dyDescent="0.25">
      <c r="I9107" s="268"/>
      <c r="O9107" s="268"/>
    </row>
    <row r="9108" spans="9:15" x14ac:dyDescent="0.25">
      <c r="I9108" s="268"/>
      <c r="O9108" s="268"/>
    </row>
    <row r="9109" spans="9:15" x14ac:dyDescent="0.25">
      <c r="I9109" s="268"/>
      <c r="O9109" s="268"/>
    </row>
    <row r="9110" spans="9:15" x14ac:dyDescent="0.25">
      <c r="I9110" s="268"/>
      <c r="O9110" s="268"/>
    </row>
    <row r="9111" spans="9:15" x14ac:dyDescent="0.25">
      <c r="I9111" s="268"/>
      <c r="O9111" s="268"/>
    </row>
    <row r="9112" spans="9:15" x14ac:dyDescent="0.25">
      <c r="I9112" s="268"/>
      <c r="O9112" s="268"/>
    </row>
    <row r="9113" spans="9:15" x14ac:dyDescent="0.25">
      <c r="I9113" s="268"/>
      <c r="O9113" s="268"/>
    </row>
    <row r="9114" spans="9:15" x14ac:dyDescent="0.25">
      <c r="I9114" s="268"/>
      <c r="O9114" s="268"/>
    </row>
    <row r="9115" spans="9:15" x14ac:dyDescent="0.25">
      <c r="I9115" s="268"/>
      <c r="O9115" s="268"/>
    </row>
    <row r="9116" spans="9:15" x14ac:dyDescent="0.25">
      <c r="I9116" s="268"/>
      <c r="O9116" s="268"/>
    </row>
    <row r="9117" spans="9:15" x14ac:dyDescent="0.25">
      <c r="I9117" s="268"/>
      <c r="O9117" s="268"/>
    </row>
    <row r="9118" spans="9:15" x14ac:dyDescent="0.25">
      <c r="I9118" s="268"/>
      <c r="O9118" s="268"/>
    </row>
    <row r="9119" spans="9:15" x14ac:dyDescent="0.25">
      <c r="I9119" s="268"/>
      <c r="O9119" s="268"/>
    </row>
    <row r="9120" spans="9:15" x14ac:dyDescent="0.25">
      <c r="I9120" s="268"/>
      <c r="O9120" s="268"/>
    </row>
    <row r="9121" spans="9:15" x14ac:dyDescent="0.25">
      <c r="I9121" s="268"/>
      <c r="O9121" s="268"/>
    </row>
    <row r="9122" spans="9:15" x14ac:dyDescent="0.25">
      <c r="I9122" s="268"/>
      <c r="O9122" s="268"/>
    </row>
    <row r="9123" spans="9:15" x14ac:dyDescent="0.25">
      <c r="I9123" s="268"/>
      <c r="O9123" s="268"/>
    </row>
    <row r="9124" spans="9:15" x14ac:dyDescent="0.25">
      <c r="I9124" s="268"/>
      <c r="O9124" s="268"/>
    </row>
    <row r="9125" spans="9:15" x14ac:dyDescent="0.25">
      <c r="I9125" s="268"/>
      <c r="O9125" s="268"/>
    </row>
    <row r="9126" spans="9:15" x14ac:dyDescent="0.25">
      <c r="I9126" s="268"/>
      <c r="O9126" s="268"/>
    </row>
    <row r="9127" spans="9:15" x14ac:dyDescent="0.25">
      <c r="I9127" s="268"/>
      <c r="O9127" s="268"/>
    </row>
    <row r="9128" spans="9:15" x14ac:dyDescent="0.25">
      <c r="I9128" s="268"/>
      <c r="O9128" s="268"/>
    </row>
    <row r="9129" spans="9:15" x14ac:dyDescent="0.25">
      <c r="I9129" s="268"/>
      <c r="O9129" s="268"/>
    </row>
    <row r="9130" spans="9:15" x14ac:dyDescent="0.25">
      <c r="I9130" s="268"/>
      <c r="O9130" s="268"/>
    </row>
    <row r="9131" spans="9:15" x14ac:dyDescent="0.25">
      <c r="I9131" s="268"/>
      <c r="O9131" s="268"/>
    </row>
    <row r="9132" spans="9:15" x14ac:dyDescent="0.25">
      <c r="I9132" s="268"/>
      <c r="O9132" s="268"/>
    </row>
    <row r="9133" spans="9:15" x14ac:dyDescent="0.25">
      <c r="I9133" s="268"/>
      <c r="O9133" s="268"/>
    </row>
    <row r="9134" spans="9:15" x14ac:dyDescent="0.25">
      <c r="I9134" s="268"/>
      <c r="O9134" s="268"/>
    </row>
    <row r="9135" spans="9:15" x14ac:dyDescent="0.25">
      <c r="I9135" s="268"/>
      <c r="O9135" s="268"/>
    </row>
    <row r="9136" spans="9:15" x14ac:dyDescent="0.25">
      <c r="I9136" s="268"/>
      <c r="O9136" s="268"/>
    </row>
    <row r="9137" spans="9:15" x14ac:dyDescent="0.25">
      <c r="I9137" s="268"/>
      <c r="O9137" s="268"/>
    </row>
    <row r="9138" spans="9:15" x14ac:dyDescent="0.25">
      <c r="I9138" s="268"/>
      <c r="O9138" s="268"/>
    </row>
    <row r="9139" spans="9:15" x14ac:dyDescent="0.25">
      <c r="I9139" s="268"/>
      <c r="O9139" s="268"/>
    </row>
    <row r="9140" spans="9:15" x14ac:dyDescent="0.25">
      <c r="I9140" s="268"/>
      <c r="O9140" s="268"/>
    </row>
    <row r="9141" spans="9:15" x14ac:dyDescent="0.25">
      <c r="I9141" s="268"/>
      <c r="O9141" s="268"/>
    </row>
    <row r="9142" spans="9:15" x14ac:dyDescent="0.25">
      <c r="I9142" s="268"/>
      <c r="O9142" s="268"/>
    </row>
    <row r="9143" spans="9:15" x14ac:dyDescent="0.25">
      <c r="I9143" s="268"/>
      <c r="O9143" s="268"/>
    </row>
    <row r="9144" spans="9:15" x14ac:dyDescent="0.25">
      <c r="I9144" s="268"/>
      <c r="O9144" s="268"/>
    </row>
    <row r="9145" spans="9:15" x14ac:dyDescent="0.25">
      <c r="I9145" s="268"/>
      <c r="O9145" s="268"/>
    </row>
    <row r="9146" spans="9:15" x14ac:dyDescent="0.25">
      <c r="I9146" s="268"/>
      <c r="O9146" s="268"/>
    </row>
    <row r="9147" spans="9:15" x14ac:dyDescent="0.25">
      <c r="I9147" s="268"/>
      <c r="O9147" s="268"/>
    </row>
    <row r="9148" spans="9:15" x14ac:dyDescent="0.25">
      <c r="I9148" s="268"/>
      <c r="O9148" s="268"/>
    </row>
    <row r="9149" spans="9:15" x14ac:dyDescent="0.25">
      <c r="I9149" s="268"/>
      <c r="O9149" s="268"/>
    </row>
    <row r="9150" spans="9:15" x14ac:dyDescent="0.25">
      <c r="I9150" s="268"/>
      <c r="O9150" s="268"/>
    </row>
    <row r="9151" spans="9:15" x14ac:dyDescent="0.25">
      <c r="I9151" s="268"/>
      <c r="O9151" s="268"/>
    </row>
    <row r="9152" spans="9:15" x14ac:dyDescent="0.25">
      <c r="I9152" s="268"/>
      <c r="O9152" s="268"/>
    </row>
    <row r="9153" spans="9:15" x14ac:dyDescent="0.25">
      <c r="I9153" s="268"/>
      <c r="O9153" s="268"/>
    </row>
    <row r="9154" spans="9:15" x14ac:dyDescent="0.25">
      <c r="I9154" s="268"/>
      <c r="O9154" s="268"/>
    </row>
    <row r="9155" spans="9:15" x14ac:dyDescent="0.25">
      <c r="I9155" s="268"/>
      <c r="O9155" s="268"/>
    </row>
    <row r="9156" spans="9:15" x14ac:dyDescent="0.25">
      <c r="I9156" s="268"/>
      <c r="O9156" s="268"/>
    </row>
    <row r="9157" spans="9:15" x14ac:dyDescent="0.25">
      <c r="I9157" s="268"/>
      <c r="O9157" s="268"/>
    </row>
    <row r="9158" spans="9:15" x14ac:dyDescent="0.25">
      <c r="I9158" s="268"/>
      <c r="O9158" s="268"/>
    </row>
    <row r="9159" spans="9:15" x14ac:dyDescent="0.25">
      <c r="I9159" s="268"/>
      <c r="O9159" s="268"/>
    </row>
    <row r="9160" spans="9:15" x14ac:dyDescent="0.25">
      <c r="I9160" s="268"/>
      <c r="O9160" s="268"/>
    </row>
    <row r="9161" spans="9:15" x14ac:dyDescent="0.25">
      <c r="I9161" s="268"/>
      <c r="O9161" s="268"/>
    </row>
    <row r="9162" spans="9:15" x14ac:dyDescent="0.25">
      <c r="I9162" s="268"/>
      <c r="O9162" s="268"/>
    </row>
    <row r="9163" spans="9:15" x14ac:dyDescent="0.25">
      <c r="I9163" s="268"/>
      <c r="O9163" s="268"/>
    </row>
    <row r="9164" spans="9:15" x14ac:dyDescent="0.25">
      <c r="I9164" s="268"/>
      <c r="O9164" s="268"/>
    </row>
    <row r="9165" spans="9:15" x14ac:dyDescent="0.25">
      <c r="I9165" s="268"/>
      <c r="O9165" s="268"/>
    </row>
    <row r="9166" spans="9:15" x14ac:dyDescent="0.25">
      <c r="I9166" s="268"/>
      <c r="O9166" s="268"/>
    </row>
    <row r="9167" spans="9:15" x14ac:dyDescent="0.25">
      <c r="I9167" s="268"/>
      <c r="O9167" s="268"/>
    </row>
    <row r="9168" spans="9:15" x14ac:dyDescent="0.25">
      <c r="I9168" s="268"/>
      <c r="O9168" s="268"/>
    </row>
    <row r="9169" spans="9:15" x14ac:dyDescent="0.25">
      <c r="I9169" s="268"/>
      <c r="O9169" s="268"/>
    </row>
    <row r="9170" spans="9:15" x14ac:dyDescent="0.25">
      <c r="I9170" s="268"/>
      <c r="O9170" s="268"/>
    </row>
    <row r="9171" spans="9:15" x14ac:dyDescent="0.25">
      <c r="I9171" s="268"/>
      <c r="O9171" s="268"/>
    </row>
    <row r="9172" spans="9:15" x14ac:dyDescent="0.25">
      <c r="I9172" s="268"/>
      <c r="O9172" s="268"/>
    </row>
    <row r="9173" spans="9:15" x14ac:dyDescent="0.25">
      <c r="I9173" s="268"/>
      <c r="O9173" s="268"/>
    </row>
    <row r="9174" spans="9:15" x14ac:dyDescent="0.25">
      <c r="I9174" s="268"/>
      <c r="O9174" s="268"/>
    </row>
    <row r="9175" spans="9:15" x14ac:dyDescent="0.25">
      <c r="I9175" s="268"/>
      <c r="O9175" s="268"/>
    </row>
    <row r="9176" spans="9:15" x14ac:dyDescent="0.25">
      <c r="I9176" s="268"/>
      <c r="O9176" s="268"/>
    </row>
    <row r="9177" spans="9:15" x14ac:dyDescent="0.25">
      <c r="I9177" s="268"/>
      <c r="O9177" s="268"/>
    </row>
    <row r="9178" spans="9:15" x14ac:dyDescent="0.25">
      <c r="I9178" s="268"/>
      <c r="O9178" s="268"/>
    </row>
    <row r="9179" spans="9:15" x14ac:dyDescent="0.25">
      <c r="I9179" s="268"/>
      <c r="O9179" s="268"/>
    </row>
    <row r="9180" spans="9:15" x14ac:dyDescent="0.25">
      <c r="I9180" s="268"/>
      <c r="O9180" s="268"/>
    </row>
    <row r="9181" spans="9:15" x14ac:dyDescent="0.25">
      <c r="I9181" s="268"/>
      <c r="O9181" s="268"/>
    </row>
    <row r="9182" spans="9:15" x14ac:dyDescent="0.25">
      <c r="I9182" s="268"/>
      <c r="O9182" s="268"/>
    </row>
    <row r="9183" spans="9:15" x14ac:dyDescent="0.25">
      <c r="I9183" s="268"/>
      <c r="O9183" s="268"/>
    </row>
    <row r="9184" spans="9:15" x14ac:dyDescent="0.25">
      <c r="I9184" s="268"/>
      <c r="O9184" s="268"/>
    </row>
    <row r="9185" spans="9:15" x14ac:dyDescent="0.25">
      <c r="I9185" s="268"/>
      <c r="O9185" s="268"/>
    </row>
    <row r="9186" spans="9:15" x14ac:dyDescent="0.25">
      <c r="I9186" s="268"/>
      <c r="O9186" s="268"/>
    </row>
    <row r="9187" spans="9:15" x14ac:dyDescent="0.25">
      <c r="I9187" s="268"/>
      <c r="O9187" s="268"/>
    </row>
    <row r="9188" spans="9:15" x14ac:dyDescent="0.25">
      <c r="I9188" s="268"/>
      <c r="O9188" s="268"/>
    </row>
    <row r="9189" spans="9:15" x14ac:dyDescent="0.25">
      <c r="I9189" s="268"/>
      <c r="O9189" s="268"/>
    </row>
    <row r="9190" spans="9:15" x14ac:dyDescent="0.25">
      <c r="I9190" s="268"/>
      <c r="O9190" s="268"/>
    </row>
    <row r="9191" spans="9:15" x14ac:dyDescent="0.25">
      <c r="I9191" s="268"/>
      <c r="O9191" s="268"/>
    </row>
    <row r="9192" spans="9:15" x14ac:dyDescent="0.25">
      <c r="I9192" s="268"/>
      <c r="O9192" s="268"/>
    </row>
    <row r="9193" spans="9:15" x14ac:dyDescent="0.25">
      <c r="I9193" s="268"/>
      <c r="O9193" s="268"/>
    </row>
    <row r="9194" spans="9:15" x14ac:dyDescent="0.25">
      <c r="I9194" s="268"/>
      <c r="O9194" s="268"/>
    </row>
    <row r="9195" spans="9:15" x14ac:dyDescent="0.25">
      <c r="I9195" s="268"/>
      <c r="O9195" s="268"/>
    </row>
    <row r="9196" spans="9:15" x14ac:dyDescent="0.25">
      <c r="I9196" s="268"/>
      <c r="O9196" s="268"/>
    </row>
    <row r="9197" spans="9:15" x14ac:dyDescent="0.25">
      <c r="I9197" s="268"/>
      <c r="O9197" s="268"/>
    </row>
    <row r="9198" spans="9:15" x14ac:dyDescent="0.25">
      <c r="I9198" s="268"/>
      <c r="O9198" s="268"/>
    </row>
    <row r="9199" spans="9:15" x14ac:dyDescent="0.25">
      <c r="I9199" s="268"/>
      <c r="O9199" s="268"/>
    </row>
    <row r="9200" spans="9:15" x14ac:dyDescent="0.25">
      <c r="I9200" s="268"/>
      <c r="O9200" s="268"/>
    </row>
    <row r="9201" spans="9:15" x14ac:dyDescent="0.25">
      <c r="I9201" s="268"/>
      <c r="O9201" s="268"/>
    </row>
    <row r="9202" spans="9:15" x14ac:dyDescent="0.25">
      <c r="I9202" s="268"/>
      <c r="O9202" s="268"/>
    </row>
    <row r="9203" spans="9:15" x14ac:dyDescent="0.25">
      <c r="I9203" s="268"/>
      <c r="O9203" s="268"/>
    </row>
    <row r="9204" spans="9:15" x14ac:dyDescent="0.25">
      <c r="I9204" s="268"/>
      <c r="O9204" s="268"/>
    </row>
    <row r="9205" spans="9:15" x14ac:dyDescent="0.25">
      <c r="I9205" s="268"/>
      <c r="O9205" s="268"/>
    </row>
    <row r="9206" spans="9:15" x14ac:dyDescent="0.25">
      <c r="I9206" s="268"/>
      <c r="O9206" s="268"/>
    </row>
    <row r="9207" spans="9:15" x14ac:dyDescent="0.25">
      <c r="I9207" s="268"/>
      <c r="O9207" s="268"/>
    </row>
    <row r="9208" spans="9:15" x14ac:dyDescent="0.25">
      <c r="I9208" s="268"/>
      <c r="O9208" s="268"/>
    </row>
    <row r="9209" spans="9:15" x14ac:dyDescent="0.25">
      <c r="I9209" s="268"/>
      <c r="O9209" s="268"/>
    </row>
    <row r="9210" spans="9:15" x14ac:dyDescent="0.25">
      <c r="I9210" s="268"/>
      <c r="O9210" s="268"/>
    </row>
    <row r="9211" spans="9:15" x14ac:dyDescent="0.25">
      <c r="I9211" s="268"/>
      <c r="O9211" s="268"/>
    </row>
    <row r="9212" spans="9:15" x14ac:dyDescent="0.25">
      <c r="I9212" s="268"/>
      <c r="O9212" s="268"/>
    </row>
    <row r="9213" spans="9:15" x14ac:dyDescent="0.25">
      <c r="I9213" s="268"/>
      <c r="O9213" s="268"/>
    </row>
    <row r="9214" spans="9:15" x14ac:dyDescent="0.25">
      <c r="I9214" s="268"/>
      <c r="O9214" s="268"/>
    </row>
    <row r="9215" spans="9:15" x14ac:dyDescent="0.25">
      <c r="I9215" s="268"/>
      <c r="O9215" s="268"/>
    </row>
    <row r="9216" spans="9:15" x14ac:dyDescent="0.25">
      <c r="I9216" s="268"/>
      <c r="O9216" s="268"/>
    </row>
    <row r="9217" spans="9:15" x14ac:dyDescent="0.25">
      <c r="I9217" s="268"/>
      <c r="O9217" s="268"/>
    </row>
    <row r="9218" spans="9:15" x14ac:dyDescent="0.25">
      <c r="I9218" s="268"/>
      <c r="O9218" s="268"/>
    </row>
    <row r="9219" spans="9:15" x14ac:dyDescent="0.25">
      <c r="I9219" s="268"/>
      <c r="O9219" s="268"/>
    </row>
    <row r="9220" spans="9:15" x14ac:dyDescent="0.25">
      <c r="I9220" s="268"/>
      <c r="O9220" s="268"/>
    </row>
    <row r="9221" spans="9:15" x14ac:dyDescent="0.25">
      <c r="I9221" s="268"/>
      <c r="O9221" s="268"/>
    </row>
    <row r="9222" spans="9:15" x14ac:dyDescent="0.25">
      <c r="I9222" s="268"/>
      <c r="O9222" s="268"/>
    </row>
    <row r="9223" spans="9:15" x14ac:dyDescent="0.25">
      <c r="I9223" s="268"/>
      <c r="O9223" s="268"/>
    </row>
    <row r="9224" spans="9:15" x14ac:dyDescent="0.25">
      <c r="I9224" s="268"/>
      <c r="O9224" s="268"/>
    </row>
    <row r="9225" spans="9:15" x14ac:dyDescent="0.25">
      <c r="I9225" s="268"/>
      <c r="O9225" s="268"/>
    </row>
    <row r="9226" spans="9:15" x14ac:dyDescent="0.25">
      <c r="I9226" s="268"/>
      <c r="O9226" s="268"/>
    </row>
    <row r="9227" spans="9:15" x14ac:dyDescent="0.25">
      <c r="I9227" s="268"/>
      <c r="O9227" s="268"/>
    </row>
    <row r="9228" spans="9:15" x14ac:dyDescent="0.25">
      <c r="I9228" s="268"/>
      <c r="O9228" s="268"/>
    </row>
    <row r="9229" spans="9:15" x14ac:dyDescent="0.25">
      <c r="I9229" s="268"/>
      <c r="O9229" s="268"/>
    </row>
    <row r="9230" spans="9:15" x14ac:dyDescent="0.25">
      <c r="I9230" s="268"/>
      <c r="O9230" s="268"/>
    </row>
    <row r="9231" spans="9:15" x14ac:dyDescent="0.25">
      <c r="I9231" s="268"/>
      <c r="O9231" s="268"/>
    </row>
    <row r="9232" spans="9:15" x14ac:dyDescent="0.25">
      <c r="I9232" s="268"/>
      <c r="O9232" s="268"/>
    </row>
    <row r="9233" spans="9:15" x14ac:dyDescent="0.25">
      <c r="I9233" s="268"/>
      <c r="O9233" s="268"/>
    </row>
    <row r="9234" spans="9:15" x14ac:dyDescent="0.25">
      <c r="I9234" s="268"/>
      <c r="O9234" s="268"/>
    </row>
    <row r="9235" spans="9:15" x14ac:dyDescent="0.25">
      <c r="I9235" s="268"/>
      <c r="O9235" s="268"/>
    </row>
    <row r="9236" spans="9:15" x14ac:dyDescent="0.25">
      <c r="I9236" s="268"/>
      <c r="O9236" s="268"/>
    </row>
    <row r="9237" spans="9:15" x14ac:dyDescent="0.25">
      <c r="I9237" s="268"/>
      <c r="O9237" s="268"/>
    </row>
    <row r="9238" spans="9:15" x14ac:dyDescent="0.25">
      <c r="I9238" s="268"/>
      <c r="O9238" s="268"/>
    </row>
    <row r="9239" spans="9:15" x14ac:dyDescent="0.25">
      <c r="I9239" s="268"/>
      <c r="O9239" s="268"/>
    </row>
    <row r="9240" spans="9:15" x14ac:dyDescent="0.25">
      <c r="I9240" s="268"/>
      <c r="O9240" s="268"/>
    </row>
    <row r="9241" spans="9:15" x14ac:dyDescent="0.25">
      <c r="I9241" s="268"/>
      <c r="O9241" s="268"/>
    </row>
    <row r="9242" spans="9:15" x14ac:dyDescent="0.25">
      <c r="I9242" s="268"/>
      <c r="O9242" s="268"/>
    </row>
    <row r="9243" spans="9:15" x14ac:dyDescent="0.25">
      <c r="I9243" s="268"/>
      <c r="O9243" s="268"/>
    </row>
    <row r="9244" spans="9:15" x14ac:dyDescent="0.25">
      <c r="I9244" s="268"/>
      <c r="O9244" s="268"/>
    </row>
    <row r="9245" spans="9:15" x14ac:dyDescent="0.25">
      <c r="I9245" s="268"/>
      <c r="O9245" s="268"/>
    </row>
    <row r="9246" spans="9:15" x14ac:dyDescent="0.25">
      <c r="I9246" s="268"/>
      <c r="O9246" s="268"/>
    </row>
    <row r="9247" spans="9:15" x14ac:dyDescent="0.25">
      <c r="I9247" s="268"/>
      <c r="O9247" s="268"/>
    </row>
    <row r="9248" spans="9:15" x14ac:dyDescent="0.25">
      <c r="I9248" s="268"/>
      <c r="O9248" s="268"/>
    </row>
    <row r="9249" spans="9:15" x14ac:dyDescent="0.25">
      <c r="I9249" s="268"/>
      <c r="O9249" s="268"/>
    </row>
    <row r="9250" spans="9:15" x14ac:dyDescent="0.25">
      <c r="I9250" s="268"/>
      <c r="O9250" s="268"/>
    </row>
    <row r="9251" spans="9:15" x14ac:dyDescent="0.25">
      <c r="I9251" s="268"/>
      <c r="O9251" s="268"/>
    </row>
    <row r="9252" spans="9:15" x14ac:dyDescent="0.25">
      <c r="I9252" s="268"/>
      <c r="O9252" s="268"/>
    </row>
    <row r="9253" spans="9:15" x14ac:dyDescent="0.25">
      <c r="I9253" s="268"/>
      <c r="O9253" s="268"/>
    </row>
    <row r="9254" spans="9:15" x14ac:dyDescent="0.25">
      <c r="I9254" s="268"/>
      <c r="O9254" s="268"/>
    </row>
    <row r="9255" spans="9:15" x14ac:dyDescent="0.25">
      <c r="I9255" s="268"/>
      <c r="O9255" s="268"/>
    </row>
    <row r="9256" spans="9:15" x14ac:dyDescent="0.25">
      <c r="I9256" s="268"/>
      <c r="O9256" s="268"/>
    </row>
    <row r="9257" spans="9:15" x14ac:dyDescent="0.25">
      <c r="I9257" s="268"/>
      <c r="O9257" s="268"/>
    </row>
    <row r="9258" spans="9:15" x14ac:dyDescent="0.25">
      <c r="I9258" s="268"/>
      <c r="O9258" s="268"/>
    </row>
    <row r="9259" spans="9:15" x14ac:dyDescent="0.25">
      <c r="I9259" s="268"/>
      <c r="O9259" s="268"/>
    </row>
    <row r="9260" spans="9:15" x14ac:dyDescent="0.25">
      <c r="I9260" s="268"/>
      <c r="O9260" s="268"/>
    </row>
    <row r="9261" spans="9:15" x14ac:dyDescent="0.25">
      <c r="I9261" s="268"/>
      <c r="O9261" s="268"/>
    </row>
    <row r="9262" spans="9:15" x14ac:dyDescent="0.25">
      <c r="I9262" s="268"/>
      <c r="O9262" s="268"/>
    </row>
    <row r="9263" spans="9:15" x14ac:dyDescent="0.25">
      <c r="I9263" s="268"/>
      <c r="O9263" s="268"/>
    </row>
    <row r="9264" spans="9:15" x14ac:dyDescent="0.25">
      <c r="I9264" s="268"/>
      <c r="O9264" s="268"/>
    </row>
    <row r="9265" spans="9:15" x14ac:dyDescent="0.25">
      <c r="I9265" s="268"/>
      <c r="O9265" s="268"/>
    </row>
    <row r="9266" spans="9:15" x14ac:dyDescent="0.25">
      <c r="I9266" s="268"/>
      <c r="O9266" s="268"/>
    </row>
    <row r="9267" spans="9:15" x14ac:dyDescent="0.25">
      <c r="I9267" s="268"/>
      <c r="O9267" s="268"/>
    </row>
    <row r="9268" spans="9:15" x14ac:dyDescent="0.25">
      <c r="I9268" s="268"/>
      <c r="O9268" s="268"/>
    </row>
    <row r="9269" spans="9:15" x14ac:dyDescent="0.25">
      <c r="I9269" s="268"/>
      <c r="O9269" s="268"/>
    </row>
    <row r="9270" spans="9:15" x14ac:dyDescent="0.25">
      <c r="I9270" s="268"/>
      <c r="O9270" s="268"/>
    </row>
    <row r="9271" spans="9:15" x14ac:dyDescent="0.25">
      <c r="I9271" s="268"/>
      <c r="O9271" s="268"/>
    </row>
    <row r="9272" spans="9:15" x14ac:dyDescent="0.25">
      <c r="I9272" s="268"/>
      <c r="O9272" s="268"/>
    </row>
    <row r="9273" spans="9:15" x14ac:dyDescent="0.25">
      <c r="I9273" s="268"/>
      <c r="O9273" s="268"/>
    </row>
    <row r="9274" spans="9:15" x14ac:dyDescent="0.25">
      <c r="I9274" s="268"/>
      <c r="O9274" s="268"/>
    </row>
    <row r="9275" spans="9:15" x14ac:dyDescent="0.25">
      <c r="I9275" s="268"/>
      <c r="O9275" s="268"/>
    </row>
    <row r="9276" spans="9:15" x14ac:dyDescent="0.25">
      <c r="I9276" s="268"/>
      <c r="O9276" s="268"/>
    </row>
    <row r="9277" spans="9:15" x14ac:dyDescent="0.25">
      <c r="I9277" s="268"/>
      <c r="O9277" s="268"/>
    </row>
    <row r="9278" spans="9:15" x14ac:dyDescent="0.25">
      <c r="I9278" s="268"/>
      <c r="O9278" s="268"/>
    </row>
    <row r="9279" spans="9:15" x14ac:dyDescent="0.25">
      <c r="I9279" s="268"/>
      <c r="O9279" s="268"/>
    </row>
    <row r="9280" spans="9:15" x14ac:dyDescent="0.25">
      <c r="I9280" s="268"/>
      <c r="O9280" s="268"/>
    </row>
    <row r="9281" spans="9:15" x14ac:dyDescent="0.25">
      <c r="I9281" s="268"/>
      <c r="O9281" s="268"/>
    </row>
    <row r="9282" spans="9:15" x14ac:dyDescent="0.25">
      <c r="I9282" s="268"/>
      <c r="O9282" s="268"/>
    </row>
    <row r="9283" spans="9:15" x14ac:dyDescent="0.25">
      <c r="I9283" s="268"/>
      <c r="O9283" s="268"/>
    </row>
    <row r="9284" spans="9:15" x14ac:dyDescent="0.25">
      <c r="I9284" s="268"/>
      <c r="O9284" s="268"/>
    </row>
    <row r="9285" spans="9:15" x14ac:dyDescent="0.25">
      <c r="I9285" s="268"/>
      <c r="O9285" s="268"/>
    </row>
    <row r="9286" spans="9:15" x14ac:dyDescent="0.25">
      <c r="I9286" s="268"/>
      <c r="O9286" s="268"/>
    </row>
    <row r="9287" spans="9:15" x14ac:dyDescent="0.25">
      <c r="I9287" s="268"/>
      <c r="O9287" s="268"/>
    </row>
    <row r="9288" spans="9:15" x14ac:dyDescent="0.25">
      <c r="I9288" s="268"/>
      <c r="O9288" s="268"/>
    </row>
    <row r="9289" spans="9:15" x14ac:dyDescent="0.25">
      <c r="I9289" s="268"/>
      <c r="O9289" s="268"/>
    </row>
    <row r="9290" spans="9:15" x14ac:dyDescent="0.25">
      <c r="I9290" s="268"/>
      <c r="O9290" s="268"/>
    </row>
    <row r="9291" spans="9:15" x14ac:dyDescent="0.25">
      <c r="I9291" s="268"/>
      <c r="O9291" s="268"/>
    </row>
    <row r="9292" spans="9:15" x14ac:dyDescent="0.25">
      <c r="I9292" s="268"/>
      <c r="O9292" s="268"/>
    </row>
    <row r="9293" spans="9:15" x14ac:dyDescent="0.25">
      <c r="I9293" s="268"/>
      <c r="O9293" s="268"/>
    </row>
    <row r="9294" spans="9:15" x14ac:dyDescent="0.25">
      <c r="I9294" s="268"/>
      <c r="O9294" s="268"/>
    </row>
    <row r="9295" spans="9:15" x14ac:dyDescent="0.25">
      <c r="I9295" s="268"/>
      <c r="O9295" s="268"/>
    </row>
    <row r="9296" spans="9:15" x14ac:dyDescent="0.25">
      <c r="I9296" s="268"/>
      <c r="O9296" s="268"/>
    </row>
    <row r="9297" spans="9:15" x14ac:dyDescent="0.25">
      <c r="I9297" s="268"/>
      <c r="O9297" s="268"/>
    </row>
    <row r="9298" spans="9:15" x14ac:dyDescent="0.25">
      <c r="I9298" s="268"/>
      <c r="O9298" s="268"/>
    </row>
    <row r="9299" spans="9:15" x14ac:dyDescent="0.25">
      <c r="I9299" s="268"/>
      <c r="O9299" s="268"/>
    </row>
    <row r="9300" spans="9:15" x14ac:dyDescent="0.25">
      <c r="I9300" s="268"/>
      <c r="O9300" s="268"/>
    </row>
    <row r="9301" spans="9:15" x14ac:dyDescent="0.25">
      <c r="I9301" s="268"/>
      <c r="O9301" s="268"/>
    </row>
    <row r="9302" spans="9:15" x14ac:dyDescent="0.25">
      <c r="I9302" s="268"/>
      <c r="O9302" s="268"/>
    </row>
    <row r="9303" spans="9:15" x14ac:dyDescent="0.25">
      <c r="I9303" s="268"/>
      <c r="O9303" s="268"/>
    </row>
    <row r="9304" spans="9:15" x14ac:dyDescent="0.25">
      <c r="I9304" s="268"/>
      <c r="O9304" s="268"/>
    </row>
    <row r="9305" spans="9:15" x14ac:dyDescent="0.25">
      <c r="I9305" s="268"/>
      <c r="O9305" s="268"/>
    </row>
    <row r="9306" spans="9:15" x14ac:dyDescent="0.25">
      <c r="I9306" s="268"/>
      <c r="O9306" s="268"/>
    </row>
    <row r="9307" spans="9:15" x14ac:dyDescent="0.25">
      <c r="I9307" s="268"/>
      <c r="O9307" s="268"/>
    </row>
    <row r="9308" spans="9:15" x14ac:dyDescent="0.25">
      <c r="I9308" s="268"/>
      <c r="O9308" s="268"/>
    </row>
    <row r="9309" spans="9:15" x14ac:dyDescent="0.25">
      <c r="I9309" s="268"/>
      <c r="O9309" s="268"/>
    </row>
    <row r="9310" spans="9:15" x14ac:dyDescent="0.25">
      <c r="I9310" s="268"/>
      <c r="O9310" s="268"/>
    </row>
    <row r="9311" spans="9:15" x14ac:dyDescent="0.25">
      <c r="I9311" s="268"/>
      <c r="O9311" s="268"/>
    </row>
    <row r="9312" spans="9:15" x14ac:dyDescent="0.25">
      <c r="I9312" s="268"/>
      <c r="O9312" s="268"/>
    </row>
    <row r="9313" spans="9:15" x14ac:dyDescent="0.25">
      <c r="I9313" s="268"/>
      <c r="O9313" s="268"/>
    </row>
    <row r="9314" spans="9:15" x14ac:dyDescent="0.25">
      <c r="I9314" s="268"/>
      <c r="O9314" s="268"/>
    </row>
    <row r="9315" spans="9:15" x14ac:dyDescent="0.25">
      <c r="I9315" s="268"/>
      <c r="O9315" s="268"/>
    </row>
    <row r="9316" spans="9:15" x14ac:dyDescent="0.25">
      <c r="I9316" s="268"/>
      <c r="O9316" s="268"/>
    </row>
    <row r="9317" spans="9:15" x14ac:dyDescent="0.25">
      <c r="I9317" s="268"/>
      <c r="O9317" s="268"/>
    </row>
    <row r="9318" spans="9:15" x14ac:dyDescent="0.25">
      <c r="I9318" s="268"/>
      <c r="O9318" s="268"/>
    </row>
    <row r="9319" spans="9:15" x14ac:dyDescent="0.25">
      <c r="I9319" s="268"/>
      <c r="O9319" s="268"/>
    </row>
    <row r="9320" spans="9:15" x14ac:dyDescent="0.25">
      <c r="I9320" s="268"/>
      <c r="O9320" s="268"/>
    </row>
    <row r="9321" spans="9:15" x14ac:dyDescent="0.25">
      <c r="I9321" s="268"/>
      <c r="O9321" s="268"/>
    </row>
    <row r="9322" spans="9:15" x14ac:dyDescent="0.25">
      <c r="I9322" s="268"/>
      <c r="O9322" s="268"/>
    </row>
    <row r="9323" spans="9:15" x14ac:dyDescent="0.25">
      <c r="I9323" s="268"/>
      <c r="O9323" s="268"/>
    </row>
    <row r="9324" spans="9:15" x14ac:dyDescent="0.25">
      <c r="I9324" s="268"/>
      <c r="O9324" s="268"/>
    </row>
    <row r="9325" spans="9:15" x14ac:dyDescent="0.25">
      <c r="I9325" s="268"/>
      <c r="O9325" s="268"/>
    </row>
    <row r="9326" spans="9:15" x14ac:dyDescent="0.25">
      <c r="I9326" s="268"/>
      <c r="O9326" s="268"/>
    </row>
    <row r="9327" spans="9:15" x14ac:dyDescent="0.25">
      <c r="I9327" s="268"/>
      <c r="O9327" s="268"/>
    </row>
    <row r="9328" spans="9:15" x14ac:dyDescent="0.25">
      <c r="I9328" s="268"/>
      <c r="O9328" s="268"/>
    </row>
    <row r="9329" spans="9:15" x14ac:dyDescent="0.25">
      <c r="I9329" s="268"/>
      <c r="O9329" s="268"/>
    </row>
    <row r="9330" spans="9:15" x14ac:dyDescent="0.25">
      <c r="I9330" s="268"/>
      <c r="O9330" s="268"/>
    </row>
    <row r="9331" spans="9:15" x14ac:dyDescent="0.25">
      <c r="I9331" s="268"/>
      <c r="O9331" s="268"/>
    </row>
    <row r="9332" spans="9:15" x14ac:dyDescent="0.25">
      <c r="I9332" s="268"/>
      <c r="O9332" s="268"/>
    </row>
    <row r="9333" spans="9:15" x14ac:dyDescent="0.25">
      <c r="I9333" s="268"/>
      <c r="O9333" s="268"/>
    </row>
    <row r="9334" spans="9:15" x14ac:dyDescent="0.25">
      <c r="I9334" s="268"/>
      <c r="O9334" s="268"/>
    </row>
    <row r="9335" spans="9:15" x14ac:dyDescent="0.25">
      <c r="I9335" s="268"/>
      <c r="O9335" s="268"/>
    </row>
    <row r="9336" spans="9:15" x14ac:dyDescent="0.25">
      <c r="I9336" s="268"/>
      <c r="O9336" s="268"/>
    </row>
    <row r="9337" spans="9:15" x14ac:dyDescent="0.25">
      <c r="I9337" s="268"/>
      <c r="O9337" s="268"/>
    </row>
    <row r="9338" spans="9:15" x14ac:dyDescent="0.25">
      <c r="I9338" s="268"/>
      <c r="O9338" s="268"/>
    </row>
    <row r="9339" spans="9:15" x14ac:dyDescent="0.25">
      <c r="I9339" s="268"/>
      <c r="O9339" s="268"/>
    </row>
    <row r="9340" spans="9:15" x14ac:dyDescent="0.25">
      <c r="I9340" s="268"/>
      <c r="O9340" s="268"/>
    </row>
    <row r="9341" spans="9:15" x14ac:dyDescent="0.25">
      <c r="I9341" s="268"/>
      <c r="O9341" s="268"/>
    </row>
    <row r="9342" spans="9:15" x14ac:dyDescent="0.25">
      <c r="I9342" s="268"/>
      <c r="O9342" s="268"/>
    </row>
    <row r="9343" spans="9:15" x14ac:dyDescent="0.25">
      <c r="I9343" s="268"/>
      <c r="O9343" s="268"/>
    </row>
    <row r="9344" spans="9:15" x14ac:dyDescent="0.25">
      <c r="I9344" s="268"/>
      <c r="O9344" s="268"/>
    </row>
    <row r="9345" spans="9:15" x14ac:dyDescent="0.25">
      <c r="I9345" s="268"/>
      <c r="O9345" s="268"/>
    </row>
    <row r="9346" spans="9:15" x14ac:dyDescent="0.25">
      <c r="I9346" s="268"/>
      <c r="O9346" s="268"/>
    </row>
    <row r="9347" spans="9:15" x14ac:dyDescent="0.25">
      <c r="I9347" s="268"/>
      <c r="O9347" s="268"/>
    </row>
    <row r="9348" spans="9:15" x14ac:dyDescent="0.25">
      <c r="I9348" s="268"/>
      <c r="O9348" s="268"/>
    </row>
    <row r="9349" spans="9:15" x14ac:dyDescent="0.25">
      <c r="I9349" s="268"/>
      <c r="O9349" s="268"/>
    </row>
    <row r="9350" spans="9:15" x14ac:dyDescent="0.25">
      <c r="I9350" s="268"/>
      <c r="O9350" s="268"/>
    </row>
    <row r="9351" spans="9:15" x14ac:dyDescent="0.25">
      <c r="I9351" s="268"/>
      <c r="O9351" s="268"/>
    </row>
    <row r="9352" spans="9:15" x14ac:dyDescent="0.25">
      <c r="I9352" s="268"/>
      <c r="O9352" s="268"/>
    </row>
    <row r="9353" spans="9:15" x14ac:dyDescent="0.25">
      <c r="I9353" s="268"/>
      <c r="O9353" s="268"/>
    </row>
    <row r="9354" spans="9:15" x14ac:dyDescent="0.25">
      <c r="I9354" s="268"/>
      <c r="O9354" s="268"/>
    </row>
    <row r="9355" spans="9:15" x14ac:dyDescent="0.25">
      <c r="I9355" s="268"/>
      <c r="O9355" s="268"/>
    </row>
    <row r="9356" spans="9:15" x14ac:dyDescent="0.25">
      <c r="I9356" s="268"/>
      <c r="O9356" s="268"/>
    </row>
    <row r="9357" spans="9:15" x14ac:dyDescent="0.25">
      <c r="I9357" s="268"/>
      <c r="O9357" s="268"/>
    </row>
    <row r="9358" spans="9:15" x14ac:dyDescent="0.25">
      <c r="I9358" s="268"/>
      <c r="O9358" s="268"/>
    </row>
    <row r="9359" spans="9:15" x14ac:dyDescent="0.25">
      <c r="I9359" s="268"/>
      <c r="O9359" s="268"/>
    </row>
    <row r="9360" spans="9:15" x14ac:dyDescent="0.25">
      <c r="I9360" s="268"/>
      <c r="O9360" s="268"/>
    </row>
    <row r="9361" spans="9:15" x14ac:dyDescent="0.25">
      <c r="I9361" s="268"/>
      <c r="O9361" s="268"/>
    </row>
    <row r="9362" spans="9:15" x14ac:dyDescent="0.25">
      <c r="I9362" s="268"/>
      <c r="O9362" s="268"/>
    </row>
    <row r="9363" spans="9:15" x14ac:dyDescent="0.25">
      <c r="I9363" s="268"/>
      <c r="O9363" s="268"/>
    </row>
    <row r="9364" spans="9:15" x14ac:dyDescent="0.25">
      <c r="I9364" s="268"/>
      <c r="O9364" s="268"/>
    </row>
    <row r="9365" spans="9:15" x14ac:dyDescent="0.25">
      <c r="I9365" s="268"/>
      <c r="O9365" s="268"/>
    </row>
    <row r="9366" spans="9:15" x14ac:dyDescent="0.25">
      <c r="I9366" s="268"/>
      <c r="O9366" s="268"/>
    </row>
    <row r="9367" spans="9:15" x14ac:dyDescent="0.25">
      <c r="I9367" s="268"/>
      <c r="O9367" s="268"/>
    </row>
    <row r="9368" spans="9:15" x14ac:dyDescent="0.25">
      <c r="I9368" s="268"/>
      <c r="O9368" s="268"/>
    </row>
    <row r="9369" spans="9:15" x14ac:dyDescent="0.25">
      <c r="I9369" s="268"/>
      <c r="O9369" s="268"/>
    </row>
    <row r="9370" spans="9:15" x14ac:dyDescent="0.25">
      <c r="I9370" s="268"/>
      <c r="O9370" s="268"/>
    </row>
    <row r="9371" spans="9:15" x14ac:dyDescent="0.25">
      <c r="I9371" s="268"/>
      <c r="O9371" s="268"/>
    </row>
    <row r="9372" spans="9:15" x14ac:dyDescent="0.25">
      <c r="I9372" s="268"/>
      <c r="O9372" s="268"/>
    </row>
    <row r="9373" spans="9:15" x14ac:dyDescent="0.25">
      <c r="I9373" s="268"/>
      <c r="O9373" s="268"/>
    </row>
    <row r="9374" spans="9:15" x14ac:dyDescent="0.25">
      <c r="I9374" s="268"/>
      <c r="O9374" s="268"/>
    </row>
    <row r="9375" spans="9:15" x14ac:dyDescent="0.25">
      <c r="I9375" s="268"/>
      <c r="O9375" s="268"/>
    </row>
    <row r="9376" spans="9:15" x14ac:dyDescent="0.25">
      <c r="I9376" s="268"/>
      <c r="O9376" s="268"/>
    </row>
    <row r="9377" spans="9:15" x14ac:dyDescent="0.25">
      <c r="I9377" s="268"/>
      <c r="O9377" s="268"/>
    </row>
    <row r="9378" spans="9:15" x14ac:dyDescent="0.25">
      <c r="I9378" s="268"/>
      <c r="O9378" s="268"/>
    </row>
    <row r="9379" spans="9:15" x14ac:dyDescent="0.25">
      <c r="I9379" s="268"/>
      <c r="O9379" s="268"/>
    </row>
    <row r="9380" spans="9:15" x14ac:dyDescent="0.25">
      <c r="I9380" s="268"/>
      <c r="O9380" s="268"/>
    </row>
    <row r="9381" spans="9:15" x14ac:dyDescent="0.25">
      <c r="I9381" s="268"/>
      <c r="O9381" s="268"/>
    </row>
    <row r="9382" spans="9:15" x14ac:dyDescent="0.25">
      <c r="I9382" s="268"/>
      <c r="O9382" s="268"/>
    </row>
    <row r="9383" spans="9:15" x14ac:dyDescent="0.25">
      <c r="I9383" s="268"/>
      <c r="O9383" s="268"/>
    </row>
    <row r="9384" spans="9:15" x14ac:dyDescent="0.25">
      <c r="I9384" s="268"/>
      <c r="O9384" s="268"/>
    </row>
    <row r="9385" spans="9:15" x14ac:dyDescent="0.25">
      <c r="I9385" s="268"/>
      <c r="O9385" s="268"/>
    </row>
    <row r="9386" spans="9:15" x14ac:dyDescent="0.25">
      <c r="I9386" s="268"/>
      <c r="O9386" s="268"/>
    </row>
    <row r="9387" spans="9:15" x14ac:dyDescent="0.25">
      <c r="I9387" s="268"/>
      <c r="O9387" s="268"/>
    </row>
    <row r="9388" spans="9:15" x14ac:dyDescent="0.25">
      <c r="I9388" s="268"/>
      <c r="O9388" s="268"/>
    </row>
    <row r="9389" spans="9:15" x14ac:dyDescent="0.25">
      <c r="I9389" s="268"/>
      <c r="O9389" s="268"/>
    </row>
    <row r="9390" spans="9:15" x14ac:dyDescent="0.25">
      <c r="I9390" s="268"/>
      <c r="O9390" s="268"/>
    </row>
    <row r="9391" spans="9:15" x14ac:dyDescent="0.25">
      <c r="I9391" s="268"/>
      <c r="O9391" s="268"/>
    </row>
    <row r="9392" spans="9:15" x14ac:dyDescent="0.25">
      <c r="I9392" s="268"/>
      <c r="O9392" s="268"/>
    </row>
    <row r="9393" spans="9:15" x14ac:dyDescent="0.25">
      <c r="I9393" s="268"/>
      <c r="O9393" s="268"/>
    </row>
    <row r="9394" spans="9:15" x14ac:dyDescent="0.25">
      <c r="I9394" s="268"/>
      <c r="O9394" s="268"/>
    </row>
    <row r="9395" spans="9:15" x14ac:dyDescent="0.25">
      <c r="I9395" s="268"/>
      <c r="O9395" s="268"/>
    </row>
    <row r="9396" spans="9:15" x14ac:dyDescent="0.25">
      <c r="I9396" s="268"/>
      <c r="O9396" s="268"/>
    </row>
    <row r="9397" spans="9:15" x14ac:dyDescent="0.25">
      <c r="I9397" s="268"/>
      <c r="O9397" s="268"/>
    </row>
    <row r="9398" spans="9:15" x14ac:dyDescent="0.25">
      <c r="I9398" s="268"/>
      <c r="O9398" s="268"/>
    </row>
    <row r="9399" spans="9:15" x14ac:dyDescent="0.25">
      <c r="I9399" s="268"/>
      <c r="O9399" s="268"/>
    </row>
    <row r="9400" spans="9:15" x14ac:dyDescent="0.25">
      <c r="I9400" s="268"/>
      <c r="O9400" s="268"/>
    </row>
    <row r="9401" spans="9:15" x14ac:dyDescent="0.25">
      <c r="I9401" s="268"/>
      <c r="O9401" s="268"/>
    </row>
    <row r="9402" spans="9:15" x14ac:dyDescent="0.25">
      <c r="I9402" s="268"/>
      <c r="O9402" s="268"/>
    </row>
    <row r="9403" spans="9:15" x14ac:dyDescent="0.25">
      <c r="I9403" s="268"/>
      <c r="O9403" s="268"/>
    </row>
    <row r="9404" spans="9:15" x14ac:dyDescent="0.25">
      <c r="I9404" s="268"/>
      <c r="O9404" s="268"/>
    </row>
    <row r="9405" spans="9:15" x14ac:dyDescent="0.25">
      <c r="I9405" s="268"/>
      <c r="O9405" s="268"/>
    </row>
    <row r="9406" spans="9:15" x14ac:dyDescent="0.25">
      <c r="I9406" s="268"/>
      <c r="O9406" s="268"/>
    </row>
    <row r="9407" spans="9:15" x14ac:dyDescent="0.25">
      <c r="I9407" s="268"/>
      <c r="O9407" s="268"/>
    </row>
    <row r="9408" spans="9:15" x14ac:dyDescent="0.25">
      <c r="I9408" s="268"/>
      <c r="O9408" s="268"/>
    </row>
    <row r="9409" spans="9:15" x14ac:dyDescent="0.25">
      <c r="I9409" s="268"/>
      <c r="O9409" s="268"/>
    </row>
    <row r="9410" spans="9:15" x14ac:dyDescent="0.25">
      <c r="I9410" s="268"/>
      <c r="O9410" s="268"/>
    </row>
    <row r="9411" spans="9:15" x14ac:dyDescent="0.25">
      <c r="I9411" s="268"/>
      <c r="O9411" s="268"/>
    </row>
    <row r="9412" spans="9:15" x14ac:dyDescent="0.25">
      <c r="I9412" s="268"/>
      <c r="O9412" s="268"/>
    </row>
    <row r="9413" spans="9:15" x14ac:dyDescent="0.25">
      <c r="I9413" s="268"/>
      <c r="O9413" s="268"/>
    </row>
    <row r="9414" spans="9:15" x14ac:dyDescent="0.25">
      <c r="I9414" s="268"/>
      <c r="O9414" s="268"/>
    </row>
    <row r="9415" spans="9:15" x14ac:dyDescent="0.25">
      <c r="I9415" s="268"/>
      <c r="O9415" s="268"/>
    </row>
    <row r="9416" spans="9:15" x14ac:dyDescent="0.25">
      <c r="I9416" s="268"/>
      <c r="O9416" s="268"/>
    </row>
    <row r="9417" spans="9:15" x14ac:dyDescent="0.25">
      <c r="I9417" s="268"/>
      <c r="O9417" s="268"/>
    </row>
    <row r="9418" spans="9:15" x14ac:dyDescent="0.25">
      <c r="I9418" s="268"/>
      <c r="O9418" s="268"/>
    </row>
    <row r="9419" spans="9:15" x14ac:dyDescent="0.25">
      <c r="I9419" s="268"/>
      <c r="O9419" s="268"/>
    </row>
    <row r="9420" spans="9:15" x14ac:dyDescent="0.25">
      <c r="I9420" s="268"/>
      <c r="O9420" s="268"/>
    </row>
    <row r="9421" spans="9:15" x14ac:dyDescent="0.25">
      <c r="I9421" s="268"/>
      <c r="O9421" s="268"/>
    </row>
    <row r="9422" spans="9:15" x14ac:dyDescent="0.25">
      <c r="I9422" s="268"/>
      <c r="O9422" s="268"/>
    </row>
    <row r="9423" spans="9:15" x14ac:dyDescent="0.25">
      <c r="I9423" s="268"/>
      <c r="O9423" s="268"/>
    </row>
    <row r="9424" spans="9:15" x14ac:dyDescent="0.25">
      <c r="I9424" s="268"/>
      <c r="O9424" s="268"/>
    </row>
    <row r="9425" spans="9:15" x14ac:dyDescent="0.25">
      <c r="I9425" s="268"/>
      <c r="O9425" s="268"/>
    </row>
    <row r="9426" spans="9:15" x14ac:dyDescent="0.25">
      <c r="I9426" s="268"/>
      <c r="O9426" s="268"/>
    </row>
    <row r="9427" spans="9:15" x14ac:dyDescent="0.25">
      <c r="I9427" s="268"/>
      <c r="O9427" s="268"/>
    </row>
    <row r="9428" spans="9:15" x14ac:dyDescent="0.25">
      <c r="I9428" s="268"/>
      <c r="O9428" s="268"/>
    </row>
    <row r="9429" spans="9:15" x14ac:dyDescent="0.25">
      <c r="I9429" s="268"/>
      <c r="O9429" s="268"/>
    </row>
    <row r="9430" spans="9:15" x14ac:dyDescent="0.25">
      <c r="I9430" s="268"/>
      <c r="O9430" s="268"/>
    </row>
    <row r="9431" spans="9:15" x14ac:dyDescent="0.25">
      <c r="I9431" s="268"/>
      <c r="O9431" s="268"/>
    </row>
    <row r="9432" spans="9:15" x14ac:dyDescent="0.25">
      <c r="I9432" s="268"/>
      <c r="O9432" s="268"/>
    </row>
    <row r="9433" spans="9:15" x14ac:dyDescent="0.25">
      <c r="I9433" s="268"/>
      <c r="O9433" s="268"/>
    </row>
    <row r="9434" spans="9:15" x14ac:dyDescent="0.25">
      <c r="I9434" s="268"/>
      <c r="O9434" s="268"/>
    </row>
    <row r="9435" spans="9:15" x14ac:dyDescent="0.25">
      <c r="I9435" s="268"/>
      <c r="O9435" s="268"/>
    </row>
    <row r="9436" spans="9:15" x14ac:dyDescent="0.25">
      <c r="I9436" s="268"/>
      <c r="O9436" s="268"/>
    </row>
    <row r="9437" spans="9:15" x14ac:dyDescent="0.25">
      <c r="I9437" s="268"/>
      <c r="O9437" s="268"/>
    </row>
    <row r="9438" spans="9:15" x14ac:dyDescent="0.25">
      <c r="I9438" s="268"/>
      <c r="O9438" s="268"/>
    </row>
    <row r="9439" spans="9:15" x14ac:dyDescent="0.25">
      <c r="I9439" s="268"/>
      <c r="O9439" s="268"/>
    </row>
    <row r="9440" spans="9:15" x14ac:dyDescent="0.25">
      <c r="I9440" s="268"/>
      <c r="O9440" s="268"/>
    </row>
    <row r="9441" spans="9:15" x14ac:dyDescent="0.25">
      <c r="I9441" s="268"/>
      <c r="O9441" s="268"/>
    </row>
    <row r="9442" spans="9:15" x14ac:dyDescent="0.25">
      <c r="I9442" s="268"/>
      <c r="O9442" s="268"/>
    </row>
    <row r="9443" spans="9:15" x14ac:dyDescent="0.25">
      <c r="I9443" s="268"/>
      <c r="O9443" s="268"/>
    </row>
    <row r="9444" spans="9:15" x14ac:dyDescent="0.25">
      <c r="I9444" s="268"/>
      <c r="O9444" s="268"/>
    </row>
    <row r="9445" spans="9:15" x14ac:dyDescent="0.25">
      <c r="I9445" s="268"/>
      <c r="O9445" s="268"/>
    </row>
    <row r="9446" spans="9:15" x14ac:dyDescent="0.25">
      <c r="I9446" s="268"/>
      <c r="O9446" s="268"/>
    </row>
    <row r="9447" spans="9:15" x14ac:dyDescent="0.25">
      <c r="I9447" s="268"/>
      <c r="O9447" s="268"/>
    </row>
    <row r="9448" spans="9:15" x14ac:dyDescent="0.25">
      <c r="I9448" s="268"/>
      <c r="O9448" s="268"/>
    </row>
    <row r="9449" spans="9:15" x14ac:dyDescent="0.25">
      <c r="I9449" s="268"/>
      <c r="O9449" s="268"/>
    </row>
    <row r="9450" spans="9:15" x14ac:dyDescent="0.25">
      <c r="I9450" s="268"/>
      <c r="O9450" s="268"/>
    </row>
    <row r="9451" spans="9:15" x14ac:dyDescent="0.25">
      <c r="I9451" s="268"/>
      <c r="O9451" s="268"/>
    </row>
    <row r="9452" spans="9:15" x14ac:dyDescent="0.25">
      <c r="I9452" s="268"/>
      <c r="O9452" s="268"/>
    </row>
    <row r="9453" spans="9:15" x14ac:dyDescent="0.25">
      <c r="I9453" s="268"/>
      <c r="O9453" s="268"/>
    </row>
    <row r="9454" spans="9:15" x14ac:dyDescent="0.25">
      <c r="I9454" s="268"/>
      <c r="O9454" s="268"/>
    </row>
    <row r="9455" spans="9:15" x14ac:dyDescent="0.25">
      <c r="I9455" s="268"/>
      <c r="O9455" s="268"/>
    </row>
    <row r="9456" spans="9:15" x14ac:dyDescent="0.25">
      <c r="I9456" s="268"/>
      <c r="O9456" s="268"/>
    </row>
    <row r="9457" spans="9:15" x14ac:dyDescent="0.25">
      <c r="I9457" s="268"/>
      <c r="O9457" s="268"/>
    </row>
    <row r="9458" spans="9:15" x14ac:dyDescent="0.25">
      <c r="I9458" s="268"/>
      <c r="O9458" s="268"/>
    </row>
    <row r="9459" spans="9:15" x14ac:dyDescent="0.25">
      <c r="I9459" s="268"/>
      <c r="O9459" s="268"/>
    </row>
    <row r="9460" spans="9:15" x14ac:dyDescent="0.25">
      <c r="I9460" s="268"/>
      <c r="O9460" s="268"/>
    </row>
    <row r="9461" spans="9:15" x14ac:dyDescent="0.25">
      <c r="I9461" s="268"/>
      <c r="O9461" s="268"/>
    </row>
    <row r="9462" spans="9:15" x14ac:dyDescent="0.25">
      <c r="I9462" s="268"/>
      <c r="O9462" s="268"/>
    </row>
    <row r="9463" spans="9:15" x14ac:dyDescent="0.25">
      <c r="I9463" s="268"/>
      <c r="O9463" s="268"/>
    </row>
    <row r="9464" spans="9:15" x14ac:dyDescent="0.25">
      <c r="I9464" s="268"/>
      <c r="O9464" s="268"/>
    </row>
    <row r="9465" spans="9:15" x14ac:dyDescent="0.25">
      <c r="I9465" s="268"/>
      <c r="O9465" s="268"/>
    </row>
    <row r="9466" spans="9:15" x14ac:dyDescent="0.25">
      <c r="I9466" s="268"/>
      <c r="O9466" s="268"/>
    </row>
    <row r="9467" spans="9:15" x14ac:dyDescent="0.25">
      <c r="I9467" s="268"/>
      <c r="O9467" s="268"/>
    </row>
    <row r="9468" spans="9:15" x14ac:dyDescent="0.25">
      <c r="I9468" s="268"/>
      <c r="O9468" s="268"/>
    </row>
    <row r="9469" spans="9:15" x14ac:dyDescent="0.25">
      <c r="I9469" s="268"/>
      <c r="O9469" s="268"/>
    </row>
    <row r="9470" spans="9:15" x14ac:dyDescent="0.25">
      <c r="I9470" s="268"/>
      <c r="O9470" s="268"/>
    </row>
    <row r="9471" spans="9:15" x14ac:dyDescent="0.25">
      <c r="I9471" s="268"/>
      <c r="O9471" s="268"/>
    </row>
    <row r="9472" spans="9:15" x14ac:dyDescent="0.25">
      <c r="I9472" s="268"/>
      <c r="O9472" s="268"/>
    </row>
    <row r="9473" spans="9:15" x14ac:dyDescent="0.25">
      <c r="I9473" s="268"/>
      <c r="O9473" s="268"/>
    </row>
    <row r="9474" spans="9:15" x14ac:dyDescent="0.25">
      <c r="I9474" s="268"/>
      <c r="O9474" s="268"/>
    </row>
    <row r="9475" spans="9:15" x14ac:dyDescent="0.25">
      <c r="I9475" s="268"/>
      <c r="O9475" s="268"/>
    </row>
    <row r="9476" spans="9:15" x14ac:dyDescent="0.25">
      <c r="I9476" s="268"/>
      <c r="O9476" s="268"/>
    </row>
    <row r="9477" spans="9:15" x14ac:dyDescent="0.25">
      <c r="I9477" s="268"/>
      <c r="O9477" s="268"/>
    </row>
    <row r="9478" spans="9:15" x14ac:dyDescent="0.25">
      <c r="I9478" s="268"/>
      <c r="O9478" s="268"/>
    </row>
    <row r="9479" spans="9:15" x14ac:dyDescent="0.25">
      <c r="I9479" s="268"/>
      <c r="O9479" s="268"/>
    </row>
    <row r="9480" spans="9:15" x14ac:dyDescent="0.25">
      <c r="I9480" s="268"/>
      <c r="O9480" s="268"/>
    </row>
    <row r="9481" spans="9:15" x14ac:dyDescent="0.25">
      <c r="I9481" s="268"/>
      <c r="O9481" s="268"/>
    </row>
    <row r="9482" spans="9:15" x14ac:dyDescent="0.25">
      <c r="I9482" s="268"/>
      <c r="O9482" s="268"/>
    </row>
    <row r="9483" spans="9:15" x14ac:dyDescent="0.25">
      <c r="I9483" s="268"/>
      <c r="O9483" s="268"/>
    </row>
    <row r="9484" spans="9:15" x14ac:dyDescent="0.25">
      <c r="I9484" s="268"/>
      <c r="O9484" s="268"/>
    </row>
    <row r="9485" spans="9:15" x14ac:dyDescent="0.25">
      <c r="I9485" s="268"/>
      <c r="O9485" s="268"/>
    </row>
    <row r="9486" spans="9:15" x14ac:dyDescent="0.25">
      <c r="I9486" s="268"/>
      <c r="O9486" s="268"/>
    </row>
    <row r="9487" spans="9:15" x14ac:dyDescent="0.25">
      <c r="I9487" s="268"/>
      <c r="O9487" s="268"/>
    </row>
    <row r="9488" spans="9:15" x14ac:dyDescent="0.25">
      <c r="I9488" s="268"/>
      <c r="O9488" s="268"/>
    </row>
    <row r="9489" spans="9:15" x14ac:dyDescent="0.25">
      <c r="I9489" s="268"/>
      <c r="O9489" s="268"/>
    </row>
    <row r="9490" spans="9:15" x14ac:dyDescent="0.25">
      <c r="I9490" s="268"/>
      <c r="O9490" s="268"/>
    </row>
    <row r="9491" spans="9:15" x14ac:dyDescent="0.25">
      <c r="I9491" s="268"/>
      <c r="O9491" s="268"/>
    </row>
    <row r="9492" spans="9:15" x14ac:dyDescent="0.25">
      <c r="I9492" s="268"/>
      <c r="O9492" s="268"/>
    </row>
    <row r="9493" spans="9:15" x14ac:dyDescent="0.25">
      <c r="I9493" s="268"/>
      <c r="O9493" s="268"/>
    </row>
    <row r="9494" spans="9:15" x14ac:dyDescent="0.25">
      <c r="I9494" s="268"/>
      <c r="O9494" s="268"/>
    </row>
    <row r="9495" spans="9:15" x14ac:dyDescent="0.25">
      <c r="I9495" s="268"/>
      <c r="O9495" s="268"/>
    </row>
    <row r="9496" spans="9:15" x14ac:dyDescent="0.25">
      <c r="I9496" s="268"/>
      <c r="O9496" s="268"/>
    </row>
    <row r="9497" spans="9:15" x14ac:dyDescent="0.25">
      <c r="I9497" s="268"/>
      <c r="O9497" s="268"/>
    </row>
    <row r="9498" spans="9:15" x14ac:dyDescent="0.25">
      <c r="I9498" s="268"/>
      <c r="O9498" s="268"/>
    </row>
    <row r="9499" spans="9:15" x14ac:dyDescent="0.25">
      <c r="I9499" s="268"/>
      <c r="O9499" s="268"/>
    </row>
    <row r="9500" spans="9:15" x14ac:dyDescent="0.25">
      <c r="I9500" s="268"/>
      <c r="O9500" s="268"/>
    </row>
    <row r="9501" spans="9:15" x14ac:dyDescent="0.25">
      <c r="I9501" s="268"/>
      <c r="O9501" s="268"/>
    </row>
    <row r="9502" spans="9:15" x14ac:dyDescent="0.25">
      <c r="I9502" s="268"/>
      <c r="O9502" s="268"/>
    </row>
    <row r="9503" spans="9:15" x14ac:dyDescent="0.25">
      <c r="I9503" s="268"/>
      <c r="O9503" s="268"/>
    </row>
    <row r="9504" spans="9:15" x14ac:dyDescent="0.25">
      <c r="I9504" s="268"/>
      <c r="O9504" s="268"/>
    </row>
    <row r="9505" spans="9:15" x14ac:dyDescent="0.25">
      <c r="I9505" s="268"/>
      <c r="O9505" s="268"/>
    </row>
    <row r="9506" spans="9:15" x14ac:dyDescent="0.25">
      <c r="I9506" s="268"/>
      <c r="O9506" s="268"/>
    </row>
    <row r="9507" spans="9:15" x14ac:dyDescent="0.25">
      <c r="I9507" s="268"/>
      <c r="O9507" s="268"/>
    </row>
    <row r="9508" spans="9:15" x14ac:dyDescent="0.25">
      <c r="I9508" s="268"/>
      <c r="O9508" s="268"/>
    </row>
    <row r="9509" spans="9:15" x14ac:dyDescent="0.25">
      <c r="I9509" s="268"/>
      <c r="O9509" s="268"/>
    </row>
    <row r="9510" spans="9:15" x14ac:dyDescent="0.25">
      <c r="I9510" s="268"/>
      <c r="O9510" s="268"/>
    </row>
    <row r="9511" spans="9:15" x14ac:dyDescent="0.25">
      <c r="I9511" s="268"/>
      <c r="O9511" s="268"/>
    </row>
    <row r="9512" spans="9:15" x14ac:dyDescent="0.25">
      <c r="I9512" s="268"/>
      <c r="O9512" s="268"/>
    </row>
    <row r="9513" spans="9:15" x14ac:dyDescent="0.25">
      <c r="I9513" s="268"/>
      <c r="O9513" s="268"/>
    </row>
    <row r="9514" spans="9:15" x14ac:dyDescent="0.25">
      <c r="I9514" s="268"/>
      <c r="O9514" s="268"/>
    </row>
    <row r="9515" spans="9:15" x14ac:dyDescent="0.25">
      <c r="I9515" s="268"/>
      <c r="O9515" s="268"/>
    </row>
    <row r="9516" spans="9:15" x14ac:dyDescent="0.25">
      <c r="I9516" s="268"/>
      <c r="O9516" s="268"/>
    </row>
    <row r="9517" spans="9:15" x14ac:dyDescent="0.25">
      <c r="I9517" s="268"/>
      <c r="O9517" s="268"/>
    </row>
    <row r="9518" spans="9:15" x14ac:dyDescent="0.25">
      <c r="I9518" s="268"/>
      <c r="O9518" s="268"/>
    </row>
    <row r="9519" spans="9:15" x14ac:dyDescent="0.25">
      <c r="I9519" s="268"/>
      <c r="O9519" s="268"/>
    </row>
    <row r="9520" spans="9:15" x14ac:dyDescent="0.25">
      <c r="I9520" s="268"/>
      <c r="O9520" s="268"/>
    </row>
    <row r="9521" spans="9:15" x14ac:dyDescent="0.25">
      <c r="I9521" s="268"/>
      <c r="O9521" s="268"/>
    </row>
    <row r="9522" spans="9:15" x14ac:dyDescent="0.25">
      <c r="I9522" s="268"/>
      <c r="O9522" s="268"/>
    </row>
    <row r="9523" spans="9:15" x14ac:dyDescent="0.25">
      <c r="I9523" s="268"/>
      <c r="O9523" s="268"/>
    </row>
    <row r="9524" spans="9:15" x14ac:dyDescent="0.25">
      <c r="I9524" s="268"/>
      <c r="O9524" s="268"/>
    </row>
    <row r="9525" spans="9:15" x14ac:dyDescent="0.25">
      <c r="I9525" s="268"/>
      <c r="O9525" s="268"/>
    </row>
    <row r="9526" spans="9:15" x14ac:dyDescent="0.25">
      <c r="I9526" s="268"/>
      <c r="O9526" s="268"/>
    </row>
    <row r="9527" spans="9:15" x14ac:dyDescent="0.25">
      <c r="I9527" s="268"/>
      <c r="O9527" s="268"/>
    </row>
    <row r="9528" spans="9:15" x14ac:dyDescent="0.25">
      <c r="I9528" s="268"/>
      <c r="O9528" s="268"/>
    </row>
    <row r="9529" spans="9:15" x14ac:dyDescent="0.25">
      <c r="I9529" s="268"/>
      <c r="O9529" s="268"/>
    </row>
    <row r="9530" spans="9:15" x14ac:dyDescent="0.25">
      <c r="I9530" s="268"/>
      <c r="O9530" s="268"/>
    </row>
    <row r="9531" spans="9:15" x14ac:dyDescent="0.25">
      <c r="I9531" s="268"/>
      <c r="O9531" s="268"/>
    </row>
    <row r="9532" spans="9:15" x14ac:dyDescent="0.25">
      <c r="I9532" s="268"/>
      <c r="O9532" s="268"/>
    </row>
    <row r="9533" spans="9:15" x14ac:dyDescent="0.25">
      <c r="I9533" s="268"/>
      <c r="O9533" s="268"/>
    </row>
    <row r="9534" spans="9:15" x14ac:dyDescent="0.25">
      <c r="I9534" s="268"/>
      <c r="O9534" s="268"/>
    </row>
    <row r="9535" spans="9:15" x14ac:dyDescent="0.25">
      <c r="I9535" s="268"/>
      <c r="O9535" s="268"/>
    </row>
    <row r="9536" spans="9:15" x14ac:dyDescent="0.25">
      <c r="I9536" s="268"/>
      <c r="O9536" s="268"/>
    </row>
    <row r="9537" spans="9:15" x14ac:dyDescent="0.25">
      <c r="I9537" s="268"/>
      <c r="O9537" s="268"/>
    </row>
    <row r="9538" spans="9:15" x14ac:dyDescent="0.25">
      <c r="I9538" s="268"/>
      <c r="O9538" s="268"/>
    </row>
    <row r="9539" spans="9:15" x14ac:dyDescent="0.25">
      <c r="I9539" s="268"/>
      <c r="O9539" s="268"/>
    </row>
    <row r="9540" spans="9:15" x14ac:dyDescent="0.25">
      <c r="I9540" s="268"/>
      <c r="O9540" s="268"/>
    </row>
    <row r="9541" spans="9:15" x14ac:dyDescent="0.25">
      <c r="I9541" s="268"/>
      <c r="O9541" s="268"/>
    </row>
    <row r="9542" spans="9:15" x14ac:dyDescent="0.25">
      <c r="I9542" s="268"/>
      <c r="O9542" s="268"/>
    </row>
    <row r="9543" spans="9:15" x14ac:dyDescent="0.25">
      <c r="I9543" s="268"/>
      <c r="O9543" s="268"/>
    </row>
    <row r="9544" spans="9:15" x14ac:dyDescent="0.25">
      <c r="I9544" s="268"/>
      <c r="O9544" s="268"/>
    </row>
    <row r="9545" spans="9:15" x14ac:dyDescent="0.25">
      <c r="I9545" s="268"/>
      <c r="O9545" s="268"/>
    </row>
    <row r="9546" spans="9:15" x14ac:dyDescent="0.25">
      <c r="I9546" s="268"/>
      <c r="O9546" s="268"/>
    </row>
    <row r="9547" spans="9:15" x14ac:dyDescent="0.25">
      <c r="I9547" s="268"/>
      <c r="O9547" s="268"/>
    </row>
    <row r="9548" spans="9:15" x14ac:dyDescent="0.25">
      <c r="I9548" s="268"/>
      <c r="O9548" s="268"/>
    </row>
    <row r="9549" spans="9:15" x14ac:dyDescent="0.25">
      <c r="I9549" s="268"/>
      <c r="O9549" s="268"/>
    </row>
    <row r="9550" spans="9:15" x14ac:dyDescent="0.25">
      <c r="I9550" s="268"/>
      <c r="O9550" s="268"/>
    </row>
    <row r="9551" spans="9:15" x14ac:dyDescent="0.25">
      <c r="I9551" s="268"/>
      <c r="O9551" s="268"/>
    </row>
    <row r="9552" spans="9:15" x14ac:dyDescent="0.25">
      <c r="I9552" s="268"/>
      <c r="O9552" s="268"/>
    </row>
    <row r="9553" spans="9:15" x14ac:dyDescent="0.25">
      <c r="I9553" s="268"/>
      <c r="O9553" s="268"/>
    </row>
    <row r="9554" spans="9:15" x14ac:dyDescent="0.25">
      <c r="I9554" s="268"/>
      <c r="O9554" s="268"/>
    </row>
    <row r="9555" spans="9:15" x14ac:dyDescent="0.25">
      <c r="I9555" s="268"/>
      <c r="O9555" s="268"/>
    </row>
    <row r="9556" spans="9:15" x14ac:dyDescent="0.25">
      <c r="I9556" s="268"/>
      <c r="O9556" s="268"/>
    </row>
    <row r="9557" spans="9:15" x14ac:dyDescent="0.25">
      <c r="I9557" s="268"/>
      <c r="O9557" s="268"/>
    </row>
    <row r="9558" spans="9:15" x14ac:dyDescent="0.25">
      <c r="I9558" s="268"/>
      <c r="O9558" s="268"/>
    </row>
    <row r="9559" spans="9:15" x14ac:dyDescent="0.25">
      <c r="I9559" s="268"/>
      <c r="O9559" s="268"/>
    </row>
    <row r="9560" spans="9:15" x14ac:dyDescent="0.25">
      <c r="I9560" s="268"/>
      <c r="O9560" s="268"/>
    </row>
    <row r="9561" spans="9:15" x14ac:dyDescent="0.25">
      <c r="I9561" s="268"/>
      <c r="O9561" s="268"/>
    </row>
    <row r="9562" spans="9:15" x14ac:dyDescent="0.25">
      <c r="I9562" s="268"/>
      <c r="O9562" s="268"/>
    </row>
    <row r="9563" spans="9:15" x14ac:dyDescent="0.25">
      <c r="I9563" s="268"/>
      <c r="O9563" s="268"/>
    </row>
    <row r="9564" spans="9:15" x14ac:dyDescent="0.25">
      <c r="I9564" s="268"/>
      <c r="O9564" s="268"/>
    </row>
    <row r="9565" spans="9:15" x14ac:dyDescent="0.25">
      <c r="I9565" s="268"/>
      <c r="O9565" s="268"/>
    </row>
    <row r="9566" spans="9:15" x14ac:dyDescent="0.25">
      <c r="I9566" s="268"/>
      <c r="O9566" s="268"/>
    </row>
    <row r="9567" spans="9:15" x14ac:dyDescent="0.25">
      <c r="I9567" s="268"/>
      <c r="O9567" s="268"/>
    </row>
    <row r="9568" spans="9:15" x14ac:dyDescent="0.25">
      <c r="I9568" s="268"/>
      <c r="O9568" s="268"/>
    </row>
    <row r="9569" spans="9:15" x14ac:dyDescent="0.25">
      <c r="I9569" s="268"/>
      <c r="O9569" s="268"/>
    </row>
    <row r="9570" spans="9:15" x14ac:dyDescent="0.25">
      <c r="I9570" s="268"/>
      <c r="O9570" s="268"/>
    </row>
    <row r="9571" spans="9:15" x14ac:dyDescent="0.25">
      <c r="I9571" s="268"/>
      <c r="O9571" s="268"/>
    </row>
    <row r="9572" spans="9:15" x14ac:dyDescent="0.25">
      <c r="I9572" s="268"/>
      <c r="O9572" s="268"/>
    </row>
    <row r="9573" spans="9:15" x14ac:dyDescent="0.25">
      <c r="I9573" s="268"/>
      <c r="O9573" s="268"/>
    </row>
    <row r="9574" spans="9:15" x14ac:dyDescent="0.25">
      <c r="I9574" s="268"/>
      <c r="O9574" s="268"/>
    </row>
    <row r="9575" spans="9:15" x14ac:dyDescent="0.25">
      <c r="I9575" s="268"/>
      <c r="O9575" s="268"/>
    </row>
    <row r="9576" spans="9:15" x14ac:dyDescent="0.25">
      <c r="I9576" s="268"/>
      <c r="O9576" s="268"/>
    </row>
    <row r="9577" spans="9:15" x14ac:dyDescent="0.25">
      <c r="I9577" s="268"/>
      <c r="O9577" s="268"/>
    </row>
    <row r="9578" spans="9:15" x14ac:dyDescent="0.25">
      <c r="I9578" s="268"/>
      <c r="O9578" s="268"/>
    </row>
    <row r="9579" spans="9:15" x14ac:dyDescent="0.25">
      <c r="I9579" s="268"/>
      <c r="O9579" s="268"/>
    </row>
    <row r="9580" spans="9:15" x14ac:dyDescent="0.25">
      <c r="I9580" s="268"/>
      <c r="O9580" s="268"/>
    </row>
    <row r="9581" spans="9:15" x14ac:dyDescent="0.25">
      <c r="I9581" s="268"/>
      <c r="O9581" s="268"/>
    </row>
    <row r="9582" spans="9:15" x14ac:dyDescent="0.25">
      <c r="I9582" s="268"/>
      <c r="O9582" s="268"/>
    </row>
    <row r="9583" spans="9:15" x14ac:dyDescent="0.25">
      <c r="I9583" s="268"/>
      <c r="O9583" s="268"/>
    </row>
    <row r="9584" spans="9:15" x14ac:dyDescent="0.25">
      <c r="I9584" s="268"/>
      <c r="O9584" s="268"/>
    </row>
    <row r="9585" spans="9:15" x14ac:dyDescent="0.25">
      <c r="I9585" s="268"/>
      <c r="O9585" s="268"/>
    </row>
    <row r="9586" spans="9:15" x14ac:dyDescent="0.25">
      <c r="I9586" s="268"/>
      <c r="O9586" s="268"/>
    </row>
    <row r="9587" spans="9:15" x14ac:dyDescent="0.25">
      <c r="I9587" s="268"/>
      <c r="O9587" s="268"/>
    </row>
    <row r="9588" spans="9:15" x14ac:dyDescent="0.25">
      <c r="I9588" s="268"/>
      <c r="O9588" s="268"/>
    </row>
    <row r="9589" spans="9:15" x14ac:dyDescent="0.25">
      <c r="I9589" s="268"/>
      <c r="O9589" s="268"/>
    </row>
    <row r="9590" spans="9:15" x14ac:dyDescent="0.25">
      <c r="I9590" s="268"/>
      <c r="O9590" s="268"/>
    </row>
    <row r="9591" spans="9:15" x14ac:dyDescent="0.25">
      <c r="I9591" s="268"/>
      <c r="O9591" s="268"/>
    </row>
    <row r="9592" spans="9:15" x14ac:dyDescent="0.25">
      <c r="I9592" s="268"/>
      <c r="O9592" s="268"/>
    </row>
    <row r="9593" spans="9:15" x14ac:dyDescent="0.25">
      <c r="I9593" s="268"/>
      <c r="O9593" s="268"/>
    </row>
    <row r="9594" spans="9:15" x14ac:dyDescent="0.25">
      <c r="I9594" s="268"/>
      <c r="O9594" s="268"/>
    </row>
    <row r="9595" spans="9:15" x14ac:dyDescent="0.25">
      <c r="I9595" s="268"/>
      <c r="O9595" s="268"/>
    </row>
    <row r="9596" spans="9:15" x14ac:dyDescent="0.25">
      <c r="I9596" s="268"/>
      <c r="O9596" s="268"/>
    </row>
    <row r="9597" spans="9:15" x14ac:dyDescent="0.25">
      <c r="I9597" s="268"/>
      <c r="O9597" s="268"/>
    </row>
    <row r="9598" spans="9:15" x14ac:dyDescent="0.25">
      <c r="I9598" s="268"/>
      <c r="O9598" s="268"/>
    </row>
    <row r="9599" spans="9:15" x14ac:dyDescent="0.25">
      <c r="I9599" s="268"/>
      <c r="O9599" s="268"/>
    </row>
    <row r="9600" spans="9:15" x14ac:dyDescent="0.25">
      <c r="I9600" s="268"/>
      <c r="O9600" s="268"/>
    </row>
    <row r="9601" spans="9:15" x14ac:dyDescent="0.25">
      <c r="I9601" s="268"/>
      <c r="O9601" s="268"/>
    </row>
    <row r="9602" spans="9:15" x14ac:dyDescent="0.25">
      <c r="I9602" s="268"/>
      <c r="O9602" s="268"/>
    </row>
    <row r="9603" spans="9:15" x14ac:dyDescent="0.25">
      <c r="I9603" s="268"/>
      <c r="O9603" s="268"/>
    </row>
    <row r="9604" spans="9:15" x14ac:dyDescent="0.25">
      <c r="I9604" s="268"/>
      <c r="O9604" s="268"/>
    </row>
    <row r="9605" spans="9:15" x14ac:dyDescent="0.25">
      <c r="I9605" s="268"/>
      <c r="O9605" s="268"/>
    </row>
    <row r="9606" spans="9:15" x14ac:dyDescent="0.25">
      <c r="I9606" s="268"/>
      <c r="O9606" s="268"/>
    </row>
    <row r="9607" spans="9:15" x14ac:dyDescent="0.25">
      <c r="I9607" s="268"/>
      <c r="O9607" s="268"/>
    </row>
    <row r="9608" spans="9:15" x14ac:dyDescent="0.25">
      <c r="I9608" s="268"/>
      <c r="O9608" s="268"/>
    </row>
    <row r="9609" spans="9:15" x14ac:dyDescent="0.25">
      <c r="I9609" s="268"/>
      <c r="O9609" s="268"/>
    </row>
    <row r="9610" spans="9:15" x14ac:dyDescent="0.25">
      <c r="I9610" s="268"/>
      <c r="O9610" s="268"/>
    </row>
    <row r="9611" spans="9:15" x14ac:dyDescent="0.25">
      <c r="I9611" s="268"/>
      <c r="O9611" s="268"/>
    </row>
    <row r="9612" spans="9:15" x14ac:dyDescent="0.25">
      <c r="I9612" s="268"/>
      <c r="O9612" s="268"/>
    </row>
    <row r="9613" spans="9:15" x14ac:dyDescent="0.25">
      <c r="I9613" s="268"/>
      <c r="O9613" s="268"/>
    </row>
    <row r="9614" spans="9:15" x14ac:dyDescent="0.25">
      <c r="I9614" s="268"/>
      <c r="O9614" s="268"/>
    </row>
    <row r="9615" spans="9:15" x14ac:dyDescent="0.25">
      <c r="I9615" s="268"/>
      <c r="O9615" s="268"/>
    </row>
    <row r="9616" spans="9:15" x14ac:dyDescent="0.25">
      <c r="I9616" s="268"/>
      <c r="O9616" s="268"/>
    </row>
    <row r="9617" spans="9:15" x14ac:dyDescent="0.25">
      <c r="I9617" s="268"/>
      <c r="O9617" s="268"/>
    </row>
    <row r="9618" spans="9:15" x14ac:dyDescent="0.25">
      <c r="I9618" s="268"/>
      <c r="O9618" s="268"/>
    </row>
    <row r="9619" spans="9:15" x14ac:dyDescent="0.25">
      <c r="I9619" s="268"/>
      <c r="O9619" s="268"/>
    </row>
    <row r="9620" spans="9:15" x14ac:dyDescent="0.25">
      <c r="I9620" s="268"/>
      <c r="O9620" s="268"/>
    </row>
    <row r="9621" spans="9:15" x14ac:dyDescent="0.25">
      <c r="I9621" s="268"/>
      <c r="O9621" s="268"/>
    </row>
    <row r="9622" spans="9:15" x14ac:dyDescent="0.25">
      <c r="I9622" s="268"/>
      <c r="O9622" s="268"/>
    </row>
    <row r="9623" spans="9:15" x14ac:dyDescent="0.25">
      <c r="I9623" s="268"/>
      <c r="O9623" s="268"/>
    </row>
    <row r="9624" spans="9:15" x14ac:dyDescent="0.25">
      <c r="I9624" s="268"/>
      <c r="O9624" s="268"/>
    </row>
    <row r="9625" spans="9:15" x14ac:dyDescent="0.25">
      <c r="I9625" s="268"/>
      <c r="O9625" s="268"/>
    </row>
    <row r="9626" spans="9:15" x14ac:dyDescent="0.25">
      <c r="I9626" s="268"/>
      <c r="O9626" s="268"/>
    </row>
    <row r="9627" spans="9:15" x14ac:dyDescent="0.25">
      <c r="I9627" s="268"/>
      <c r="O9627" s="268"/>
    </row>
    <row r="9628" spans="9:15" x14ac:dyDescent="0.25">
      <c r="I9628" s="268"/>
      <c r="O9628" s="268"/>
    </row>
    <row r="9629" spans="9:15" x14ac:dyDescent="0.25">
      <c r="I9629" s="268"/>
      <c r="O9629" s="268"/>
    </row>
    <row r="9630" spans="9:15" x14ac:dyDescent="0.25">
      <c r="I9630" s="268"/>
      <c r="O9630" s="268"/>
    </row>
    <row r="9631" spans="9:15" x14ac:dyDescent="0.25">
      <c r="I9631" s="268"/>
      <c r="O9631" s="268"/>
    </row>
    <row r="9632" spans="9:15" x14ac:dyDescent="0.25">
      <c r="I9632" s="268"/>
      <c r="O9632" s="268"/>
    </row>
    <row r="9633" spans="9:15" x14ac:dyDescent="0.25">
      <c r="I9633" s="268"/>
      <c r="O9633" s="268"/>
    </row>
    <row r="9634" spans="9:15" x14ac:dyDescent="0.25">
      <c r="I9634" s="268"/>
      <c r="O9634" s="268"/>
    </row>
    <row r="9635" spans="9:15" x14ac:dyDescent="0.25">
      <c r="I9635" s="268"/>
      <c r="O9635" s="268"/>
    </row>
    <row r="9636" spans="9:15" x14ac:dyDescent="0.25">
      <c r="I9636" s="268"/>
      <c r="O9636" s="268"/>
    </row>
    <row r="9637" spans="9:15" x14ac:dyDescent="0.25">
      <c r="I9637" s="268"/>
      <c r="O9637" s="268"/>
    </row>
    <row r="9638" spans="9:15" x14ac:dyDescent="0.25">
      <c r="I9638" s="268"/>
      <c r="O9638" s="268"/>
    </row>
    <row r="9639" spans="9:15" x14ac:dyDescent="0.25">
      <c r="I9639" s="268"/>
      <c r="O9639" s="268"/>
    </row>
    <row r="9640" spans="9:15" x14ac:dyDescent="0.25">
      <c r="I9640" s="268"/>
      <c r="O9640" s="268"/>
    </row>
    <row r="9641" spans="9:15" x14ac:dyDescent="0.25">
      <c r="I9641" s="268"/>
      <c r="O9641" s="268"/>
    </row>
    <row r="9642" spans="9:15" x14ac:dyDescent="0.25">
      <c r="I9642" s="268"/>
      <c r="O9642" s="268"/>
    </row>
    <row r="9643" spans="9:15" x14ac:dyDescent="0.25">
      <c r="I9643" s="268"/>
      <c r="O9643" s="268"/>
    </row>
    <row r="9644" spans="9:15" x14ac:dyDescent="0.25">
      <c r="I9644" s="268"/>
      <c r="O9644" s="268"/>
    </row>
    <row r="9645" spans="9:15" x14ac:dyDescent="0.25">
      <c r="I9645" s="268"/>
      <c r="O9645" s="268"/>
    </row>
    <row r="9646" spans="9:15" x14ac:dyDescent="0.25">
      <c r="I9646" s="268"/>
      <c r="O9646" s="268"/>
    </row>
    <row r="9647" spans="9:15" x14ac:dyDescent="0.25">
      <c r="I9647" s="268"/>
      <c r="O9647" s="268"/>
    </row>
    <row r="9648" spans="9:15" x14ac:dyDescent="0.25">
      <c r="I9648" s="268"/>
      <c r="O9648" s="268"/>
    </row>
    <row r="9649" spans="9:15" x14ac:dyDescent="0.25">
      <c r="I9649" s="268"/>
      <c r="O9649" s="268"/>
    </row>
    <row r="9650" spans="9:15" x14ac:dyDescent="0.25">
      <c r="I9650" s="268"/>
      <c r="O9650" s="268"/>
    </row>
    <row r="9651" spans="9:15" x14ac:dyDescent="0.25">
      <c r="I9651" s="268"/>
      <c r="O9651" s="268"/>
    </row>
    <row r="9652" spans="9:15" x14ac:dyDescent="0.25">
      <c r="I9652" s="268"/>
      <c r="O9652" s="268"/>
    </row>
    <row r="9653" spans="9:15" x14ac:dyDescent="0.25">
      <c r="I9653" s="268"/>
      <c r="O9653" s="268"/>
    </row>
    <row r="9654" spans="9:15" x14ac:dyDescent="0.25">
      <c r="I9654" s="268"/>
      <c r="O9654" s="268"/>
    </row>
    <row r="9655" spans="9:15" x14ac:dyDescent="0.25">
      <c r="I9655" s="268"/>
      <c r="O9655" s="268"/>
    </row>
    <row r="9656" spans="9:15" x14ac:dyDescent="0.25">
      <c r="I9656" s="268"/>
      <c r="O9656" s="268"/>
    </row>
    <row r="9657" spans="9:15" x14ac:dyDescent="0.25">
      <c r="I9657" s="268"/>
      <c r="O9657" s="268"/>
    </row>
    <row r="9658" spans="9:15" x14ac:dyDescent="0.25">
      <c r="I9658" s="268"/>
      <c r="O9658" s="268"/>
    </row>
    <row r="9659" spans="9:15" x14ac:dyDescent="0.25">
      <c r="I9659" s="268"/>
      <c r="O9659" s="268"/>
    </row>
    <row r="9660" spans="9:15" x14ac:dyDescent="0.25">
      <c r="I9660" s="268"/>
      <c r="O9660" s="268"/>
    </row>
    <row r="9661" spans="9:15" x14ac:dyDescent="0.25">
      <c r="I9661" s="268"/>
      <c r="O9661" s="268"/>
    </row>
    <row r="9662" spans="9:15" x14ac:dyDescent="0.25">
      <c r="I9662" s="268"/>
      <c r="O9662" s="268"/>
    </row>
    <row r="9663" spans="9:15" x14ac:dyDescent="0.25">
      <c r="I9663" s="268"/>
      <c r="O9663" s="268"/>
    </row>
    <row r="9664" spans="9:15" x14ac:dyDescent="0.25">
      <c r="I9664" s="268"/>
      <c r="O9664" s="268"/>
    </row>
    <row r="9665" spans="9:15" x14ac:dyDescent="0.25">
      <c r="I9665" s="268"/>
      <c r="O9665" s="268"/>
    </row>
    <row r="9666" spans="9:15" x14ac:dyDescent="0.25">
      <c r="I9666" s="268"/>
      <c r="O9666" s="268"/>
    </row>
    <row r="9667" spans="9:15" x14ac:dyDescent="0.25">
      <c r="I9667" s="268"/>
      <c r="O9667" s="268"/>
    </row>
    <row r="9668" spans="9:15" x14ac:dyDescent="0.25">
      <c r="I9668" s="268"/>
      <c r="O9668" s="268"/>
    </row>
    <row r="9669" spans="9:15" x14ac:dyDescent="0.25">
      <c r="I9669" s="268"/>
      <c r="O9669" s="268"/>
    </row>
    <row r="9670" spans="9:15" x14ac:dyDescent="0.25">
      <c r="I9670" s="268"/>
      <c r="O9670" s="268"/>
    </row>
    <row r="9671" spans="9:15" x14ac:dyDescent="0.25">
      <c r="I9671" s="268"/>
      <c r="O9671" s="268"/>
    </row>
    <row r="9672" spans="9:15" x14ac:dyDescent="0.25">
      <c r="I9672" s="268"/>
      <c r="O9672" s="268"/>
    </row>
    <row r="9673" spans="9:15" x14ac:dyDescent="0.25">
      <c r="I9673" s="268"/>
      <c r="O9673" s="268"/>
    </row>
    <row r="9674" spans="9:15" x14ac:dyDescent="0.25">
      <c r="I9674" s="268"/>
      <c r="O9674" s="268"/>
    </row>
    <row r="9675" spans="9:15" x14ac:dyDescent="0.25">
      <c r="I9675" s="268"/>
      <c r="O9675" s="268"/>
    </row>
    <row r="9676" spans="9:15" x14ac:dyDescent="0.25">
      <c r="I9676" s="268"/>
      <c r="O9676" s="268"/>
    </row>
    <row r="9677" spans="9:15" x14ac:dyDescent="0.25">
      <c r="I9677" s="268"/>
      <c r="O9677" s="268"/>
    </row>
    <row r="9678" spans="9:15" x14ac:dyDescent="0.25">
      <c r="I9678" s="268"/>
      <c r="O9678" s="268"/>
    </row>
    <row r="9679" spans="9:15" x14ac:dyDescent="0.25">
      <c r="I9679" s="268"/>
      <c r="O9679" s="268"/>
    </row>
    <row r="9680" spans="9:15" x14ac:dyDescent="0.25">
      <c r="I9680" s="268"/>
      <c r="O9680" s="268"/>
    </row>
    <row r="9681" spans="9:15" x14ac:dyDescent="0.25">
      <c r="I9681" s="268"/>
      <c r="O9681" s="268"/>
    </row>
    <row r="9682" spans="9:15" x14ac:dyDescent="0.25">
      <c r="I9682" s="268"/>
      <c r="O9682" s="268"/>
    </row>
    <row r="9683" spans="9:15" x14ac:dyDescent="0.25">
      <c r="I9683" s="268"/>
      <c r="O9683" s="268"/>
    </row>
    <row r="9684" spans="9:15" x14ac:dyDescent="0.25">
      <c r="I9684" s="268"/>
      <c r="O9684" s="268"/>
    </row>
    <row r="9685" spans="9:15" x14ac:dyDescent="0.25">
      <c r="I9685" s="268"/>
      <c r="O9685" s="268"/>
    </row>
    <row r="9686" spans="9:15" x14ac:dyDescent="0.25">
      <c r="I9686" s="268"/>
      <c r="O9686" s="268"/>
    </row>
    <row r="9687" spans="9:15" x14ac:dyDescent="0.25">
      <c r="I9687" s="268"/>
      <c r="O9687" s="268"/>
    </row>
    <row r="9688" spans="9:15" x14ac:dyDescent="0.25">
      <c r="I9688" s="268"/>
      <c r="O9688" s="268"/>
    </row>
    <row r="9689" spans="9:15" x14ac:dyDescent="0.25">
      <c r="I9689" s="268"/>
      <c r="O9689" s="268"/>
    </row>
    <row r="9690" spans="9:15" x14ac:dyDescent="0.25">
      <c r="I9690" s="268"/>
      <c r="O9690" s="268"/>
    </row>
    <row r="9691" spans="9:15" x14ac:dyDescent="0.25">
      <c r="I9691" s="268"/>
      <c r="O9691" s="268"/>
    </row>
    <row r="9692" spans="9:15" x14ac:dyDescent="0.25">
      <c r="I9692" s="268"/>
      <c r="O9692" s="268"/>
    </row>
    <row r="9693" spans="9:15" x14ac:dyDescent="0.25">
      <c r="I9693" s="268"/>
      <c r="O9693" s="268"/>
    </row>
    <row r="9694" spans="9:15" x14ac:dyDescent="0.25">
      <c r="I9694" s="268"/>
      <c r="O9694" s="268"/>
    </row>
    <row r="9695" spans="9:15" x14ac:dyDescent="0.25">
      <c r="I9695" s="268"/>
      <c r="O9695" s="268"/>
    </row>
    <row r="9696" spans="9:15" x14ac:dyDescent="0.25">
      <c r="I9696" s="268"/>
      <c r="O9696" s="268"/>
    </row>
    <row r="9697" spans="9:15" x14ac:dyDescent="0.25">
      <c r="I9697" s="268"/>
      <c r="O9697" s="268"/>
    </row>
    <row r="9698" spans="9:15" x14ac:dyDescent="0.25">
      <c r="I9698" s="268"/>
      <c r="O9698" s="268"/>
    </row>
    <row r="9699" spans="9:15" x14ac:dyDescent="0.25">
      <c r="I9699" s="268"/>
      <c r="O9699" s="268"/>
    </row>
    <row r="9700" spans="9:15" x14ac:dyDescent="0.25">
      <c r="I9700" s="268"/>
      <c r="O9700" s="268"/>
    </row>
    <row r="9701" spans="9:15" x14ac:dyDescent="0.25">
      <c r="I9701" s="268"/>
      <c r="O9701" s="268"/>
    </row>
    <row r="9702" spans="9:15" x14ac:dyDescent="0.25">
      <c r="I9702" s="268"/>
      <c r="O9702" s="268"/>
    </row>
    <row r="9703" spans="9:15" x14ac:dyDescent="0.25">
      <c r="I9703" s="268"/>
      <c r="O9703" s="268"/>
    </row>
    <row r="9704" spans="9:15" x14ac:dyDescent="0.25">
      <c r="I9704" s="268"/>
      <c r="O9704" s="268"/>
    </row>
    <row r="9705" spans="9:15" x14ac:dyDescent="0.25">
      <c r="I9705" s="268"/>
      <c r="O9705" s="268"/>
    </row>
    <row r="9706" spans="9:15" x14ac:dyDescent="0.25">
      <c r="I9706" s="268"/>
      <c r="O9706" s="268"/>
    </row>
    <row r="9707" spans="9:15" x14ac:dyDescent="0.25">
      <c r="I9707" s="268"/>
      <c r="O9707" s="268"/>
    </row>
    <row r="9708" spans="9:15" x14ac:dyDescent="0.25">
      <c r="I9708" s="268"/>
      <c r="O9708" s="268"/>
    </row>
    <row r="9709" spans="9:15" x14ac:dyDescent="0.25">
      <c r="I9709" s="268"/>
      <c r="O9709" s="268"/>
    </row>
    <row r="9710" spans="9:15" x14ac:dyDescent="0.25">
      <c r="I9710" s="268"/>
      <c r="O9710" s="268"/>
    </row>
    <row r="9711" spans="9:15" x14ac:dyDescent="0.25">
      <c r="I9711" s="268"/>
      <c r="O9711" s="268"/>
    </row>
    <row r="9712" spans="9:15" x14ac:dyDescent="0.25">
      <c r="I9712" s="268"/>
      <c r="O9712" s="268"/>
    </row>
    <row r="9713" spans="9:15" x14ac:dyDescent="0.25">
      <c r="I9713" s="268"/>
      <c r="O9713" s="268"/>
    </row>
    <row r="9714" spans="9:15" x14ac:dyDescent="0.25">
      <c r="I9714" s="268"/>
      <c r="O9714" s="268"/>
    </row>
    <row r="9715" spans="9:15" x14ac:dyDescent="0.25">
      <c r="I9715" s="268"/>
      <c r="O9715" s="268"/>
    </row>
    <row r="9716" spans="9:15" x14ac:dyDescent="0.25">
      <c r="I9716" s="268"/>
      <c r="O9716" s="268"/>
    </row>
    <row r="9717" spans="9:15" x14ac:dyDescent="0.25">
      <c r="I9717" s="268"/>
      <c r="O9717" s="268"/>
    </row>
    <row r="9718" spans="9:15" x14ac:dyDescent="0.25">
      <c r="I9718" s="268"/>
      <c r="O9718" s="268"/>
    </row>
    <row r="9719" spans="9:15" x14ac:dyDescent="0.25">
      <c r="I9719" s="268"/>
      <c r="O9719" s="268"/>
    </row>
    <row r="9720" spans="9:15" x14ac:dyDescent="0.25">
      <c r="I9720" s="268"/>
      <c r="O9720" s="268"/>
    </row>
    <row r="9721" spans="9:15" x14ac:dyDescent="0.25">
      <c r="I9721" s="268"/>
      <c r="O9721" s="268"/>
    </row>
    <row r="9722" spans="9:15" x14ac:dyDescent="0.25">
      <c r="I9722" s="268"/>
      <c r="O9722" s="268"/>
    </row>
    <row r="9723" spans="9:15" x14ac:dyDescent="0.25">
      <c r="I9723" s="268"/>
      <c r="O9723" s="268"/>
    </row>
    <row r="9724" spans="9:15" x14ac:dyDescent="0.25">
      <c r="I9724" s="268"/>
      <c r="O9724" s="268"/>
    </row>
    <row r="9725" spans="9:15" x14ac:dyDescent="0.25">
      <c r="I9725" s="268"/>
      <c r="O9725" s="268"/>
    </row>
    <row r="9726" spans="9:15" x14ac:dyDescent="0.25">
      <c r="I9726" s="268"/>
      <c r="O9726" s="268"/>
    </row>
    <row r="9727" spans="9:15" x14ac:dyDescent="0.25">
      <c r="I9727" s="268"/>
      <c r="O9727" s="268"/>
    </row>
    <row r="9728" spans="9:15" x14ac:dyDescent="0.25">
      <c r="I9728" s="268"/>
      <c r="O9728" s="268"/>
    </row>
    <row r="9729" spans="9:15" x14ac:dyDescent="0.25">
      <c r="I9729" s="268"/>
      <c r="O9729" s="268"/>
    </row>
    <row r="9730" spans="9:15" x14ac:dyDescent="0.25">
      <c r="I9730" s="268"/>
      <c r="O9730" s="268"/>
    </row>
    <row r="9731" spans="9:15" x14ac:dyDescent="0.25">
      <c r="I9731" s="268"/>
      <c r="O9731" s="268"/>
    </row>
    <row r="9732" spans="9:15" x14ac:dyDescent="0.25">
      <c r="I9732" s="268"/>
      <c r="O9732" s="268"/>
    </row>
    <row r="9733" spans="9:15" x14ac:dyDescent="0.25">
      <c r="I9733" s="268"/>
      <c r="O9733" s="268"/>
    </row>
    <row r="9734" spans="9:15" x14ac:dyDescent="0.25">
      <c r="I9734" s="268"/>
      <c r="O9734" s="268"/>
    </row>
    <row r="9735" spans="9:15" x14ac:dyDescent="0.25">
      <c r="I9735" s="268"/>
      <c r="O9735" s="268"/>
    </row>
    <row r="9736" spans="9:15" x14ac:dyDescent="0.25">
      <c r="I9736" s="268"/>
      <c r="O9736" s="268"/>
    </row>
    <row r="9737" spans="9:15" x14ac:dyDescent="0.25">
      <c r="I9737" s="268"/>
      <c r="O9737" s="268"/>
    </row>
    <row r="9738" spans="9:15" x14ac:dyDescent="0.25">
      <c r="I9738" s="268"/>
      <c r="O9738" s="268"/>
    </row>
    <row r="9739" spans="9:15" x14ac:dyDescent="0.25">
      <c r="I9739" s="268"/>
      <c r="O9739" s="268"/>
    </row>
    <row r="9740" spans="9:15" x14ac:dyDescent="0.25">
      <c r="I9740" s="268"/>
      <c r="O9740" s="268"/>
    </row>
    <row r="9741" spans="9:15" x14ac:dyDescent="0.25">
      <c r="I9741" s="268"/>
      <c r="O9741" s="268"/>
    </row>
    <row r="9742" spans="9:15" x14ac:dyDescent="0.25">
      <c r="I9742" s="268"/>
      <c r="O9742" s="268"/>
    </row>
    <row r="9743" spans="9:15" x14ac:dyDescent="0.25">
      <c r="I9743" s="268"/>
      <c r="O9743" s="268"/>
    </row>
    <row r="9744" spans="9:15" x14ac:dyDescent="0.25">
      <c r="I9744" s="268"/>
      <c r="O9744" s="268"/>
    </row>
    <row r="9745" spans="9:15" x14ac:dyDescent="0.25">
      <c r="I9745" s="268"/>
      <c r="O9745" s="268"/>
    </row>
    <row r="9746" spans="9:15" x14ac:dyDescent="0.25">
      <c r="I9746" s="268"/>
      <c r="O9746" s="268"/>
    </row>
    <row r="9747" spans="9:15" x14ac:dyDescent="0.25">
      <c r="I9747" s="268"/>
      <c r="O9747" s="268"/>
    </row>
    <row r="9748" spans="9:15" x14ac:dyDescent="0.25">
      <c r="I9748" s="268"/>
      <c r="O9748" s="268"/>
    </row>
    <row r="9749" spans="9:15" x14ac:dyDescent="0.25">
      <c r="I9749" s="268"/>
      <c r="O9749" s="268"/>
    </row>
    <row r="9750" spans="9:15" x14ac:dyDescent="0.25">
      <c r="I9750" s="268"/>
      <c r="O9750" s="268"/>
    </row>
    <row r="9751" spans="9:15" x14ac:dyDescent="0.25">
      <c r="I9751" s="268"/>
      <c r="O9751" s="268"/>
    </row>
    <row r="9752" spans="9:15" x14ac:dyDescent="0.25">
      <c r="I9752" s="268"/>
      <c r="O9752" s="268"/>
    </row>
    <row r="9753" spans="9:15" x14ac:dyDescent="0.25">
      <c r="I9753" s="268"/>
      <c r="O9753" s="268"/>
    </row>
    <row r="9754" spans="9:15" x14ac:dyDescent="0.25">
      <c r="I9754" s="268"/>
      <c r="O9754" s="268"/>
    </row>
    <row r="9755" spans="9:15" x14ac:dyDescent="0.25">
      <c r="I9755" s="268"/>
      <c r="O9755" s="268"/>
    </row>
    <row r="9756" spans="9:15" x14ac:dyDescent="0.25">
      <c r="I9756" s="268"/>
      <c r="O9756" s="268"/>
    </row>
    <row r="9757" spans="9:15" x14ac:dyDescent="0.25">
      <c r="I9757" s="268"/>
      <c r="O9757" s="268"/>
    </row>
    <row r="9758" spans="9:15" x14ac:dyDescent="0.25">
      <c r="I9758" s="268"/>
      <c r="O9758" s="268"/>
    </row>
    <row r="9759" spans="9:15" x14ac:dyDescent="0.25">
      <c r="I9759" s="268"/>
      <c r="O9759" s="268"/>
    </row>
    <row r="9760" spans="9:15" x14ac:dyDescent="0.25">
      <c r="I9760" s="268"/>
      <c r="O9760" s="268"/>
    </row>
    <row r="9761" spans="9:15" x14ac:dyDescent="0.25">
      <c r="I9761" s="268"/>
      <c r="O9761" s="268"/>
    </row>
    <row r="9762" spans="9:15" x14ac:dyDescent="0.25">
      <c r="I9762" s="268"/>
      <c r="O9762" s="268"/>
    </row>
    <row r="9763" spans="9:15" x14ac:dyDescent="0.25">
      <c r="I9763" s="268"/>
      <c r="O9763" s="268"/>
    </row>
    <row r="9764" spans="9:15" x14ac:dyDescent="0.25">
      <c r="I9764" s="268"/>
      <c r="O9764" s="268"/>
    </row>
    <row r="9765" spans="9:15" x14ac:dyDescent="0.25">
      <c r="I9765" s="268"/>
      <c r="O9765" s="268"/>
    </row>
    <row r="9766" spans="9:15" x14ac:dyDescent="0.25">
      <c r="I9766" s="268"/>
      <c r="O9766" s="268"/>
    </row>
    <row r="9767" spans="9:15" x14ac:dyDescent="0.25">
      <c r="I9767" s="268"/>
      <c r="O9767" s="268"/>
    </row>
    <row r="9768" spans="9:15" x14ac:dyDescent="0.25">
      <c r="I9768" s="268"/>
      <c r="O9768" s="268"/>
    </row>
    <row r="9769" spans="9:15" x14ac:dyDescent="0.25">
      <c r="I9769" s="268"/>
      <c r="O9769" s="268"/>
    </row>
    <row r="9770" spans="9:15" x14ac:dyDescent="0.25">
      <c r="I9770" s="268"/>
      <c r="O9770" s="268"/>
    </row>
    <row r="9771" spans="9:15" x14ac:dyDescent="0.25">
      <c r="I9771" s="268"/>
      <c r="O9771" s="268"/>
    </row>
    <row r="9772" spans="9:15" x14ac:dyDescent="0.25">
      <c r="I9772" s="268"/>
      <c r="O9772" s="268"/>
    </row>
    <row r="9773" spans="9:15" x14ac:dyDescent="0.25">
      <c r="I9773" s="268"/>
      <c r="O9773" s="268"/>
    </row>
    <row r="9774" spans="9:15" x14ac:dyDescent="0.25">
      <c r="I9774" s="268"/>
      <c r="O9774" s="268"/>
    </row>
    <row r="9775" spans="9:15" x14ac:dyDescent="0.25">
      <c r="I9775" s="268"/>
      <c r="O9775" s="268"/>
    </row>
    <row r="9776" spans="9:15" x14ac:dyDescent="0.25">
      <c r="I9776" s="268"/>
      <c r="O9776" s="268"/>
    </row>
    <row r="9777" spans="9:15" x14ac:dyDescent="0.25">
      <c r="I9777" s="268"/>
      <c r="O9777" s="268"/>
    </row>
    <row r="9778" spans="9:15" x14ac:dyDescent="0.25">
      <c r="I9778" s="268"/>
      <c r="O9778" s="268"/>
    </row>
    <row r="9779" spans="9:15" x14ac:dyDescent="0.25">
      <c r="I9779" s="268"/>
      <c r="O9779" s="268"/>
    </row>
    <row r="9780" spans="9:15" x14ac:dyDescent="0.25">
      <c r="I9780" s="268"/>
      <c r="O9780" s="268"/>
    </row>
    <row r="9781" spans="9:15" x14ac:dyDescent="0.25">
      <c r="I9781" s="268"/>
      <c r="O9781" s="268"/>
    </row>
    <row r="9782" spans="9:15" x14ac:dyDescent="0.25">
      <c r="I9782" s="268"/>
      <c r="O9782" s="268"/>
    </row>
    <row r="9783" spans="9:15" x14ac:dyDescent="0.25">
      <c r="I9783" s="268"/>
      <c r="O9783" s="268"/>
    </row>
    <row r="9784" spans="9:15" x14ac:dyDescent="0.25">
      <c r="I9784" s="268"/>
      <c r="O9784" s="268"/>
    </row>
    <row r="9785" spans="9:15" x14ac:dyDescent="0.25">
      <c r="I9785" s="268"/>
      <c r="O9785" s="268"/>
    </row>
    <row r="9786" spans="9:15" x14ac:dyDescent="0.25">
      <c r="I9786" s="268"/>
      <c r="O9786" s="268"/>
    </row>
    <row r="9787" spans="9:15" x14ac:dyDescent="0.25">
      <c r="I9787" s="268"/>
      <c r="O9787" s="268"/>
    </row>
    <row r="9788" spans="9:15" x14ac:dyDescent="0.25">
      <c r="I9788" s="268"/>
      <c r="O9788" s="268"/>
    </row>
    <row r="9789" spans="9:15" x14ac:dyDescent="0.25">
      <c r="I9789" s="268"/>
      <c r="O9789" s="268"/>
    </row>
    <row r="9790" spans="9:15" x14ac:dyDescent="0.25">
      <c r="I9790" s="268"/>
      <c r="O9790" s="268"/>
    </row>
    <row r="9791" spans="9:15" x14ac:dyDescent="0.25">
      <c r="I9791" s="268"/>
      <c r="O9791" s="268"/>
    </row>
    <row r="9792" spans="9:15" x14ac:dyDescent="0.25">
      <c r="I9792" s="268"/>
      <c r="O9792" s="268"/>
    </row>
    <row r="9793" spans="9:15" x14ac:dyDescent="0.25">
      <c r="I9793" s="268"/>
      <c r="O9793" s="268"/>
    </row>
    <row r="9794" spans="9:15" x14ac:dyDescent="0.25">
      <c r="I9794" s="268"/>
      <c r="O9794" s="268"/>
    </row>
    <row r="9795" spans="9:15" x14ac:dyDescent="0.25">
      <c r="I9795" s="268"/>
      <c r="O9795" s="268"/>
    </row>
    <row r="9796" spans="9:15" x14ac:dyDescent="0.25">
      <c r="I9796" s="268"/>
      <c r="O9796" s="268"/>
    </row>
    <row r="9797" spans="9:15" x14ac:dyDescent="0.25">
      <c r="I9797" s="268"/>
      <c r="O9797" s="268"/>
    </row>
    <row r="9798" spans="9:15" x14ac:dyDescent="0.25">
      <c r="I9798" s="268"/>
      <c r="O9798" s="268"/>
    </row>
    <row r="9799" spans="9:15" x14ac:dyDescent="0.25">
      <c r="I9799" s="268"/>
      <c r="O9799" s="268"/>
    </row>
    <row r="9800" spans="9:15" x14ac:dyDescent="0.25">
      <c r="I9800" s="268"/>
      <c r="O9800" s="268"/>
    </row>
    <row r="9801" spans="9:15" x14ac:dyDescent="0.25">
      <c r="I9801" s="268"/>
      <c r="O9801" s="268"/>
    </row>
    <row r="9802" spans="9:15" x14ac:dyDescent="0.25">
      <c r="I9802" s="268"/>
      <c r="O9802" s="268"/>
    </row>
    <row r="9803" spans="9:15" x14ac:dyDescent="0.25">
      <c r="I9803" s="268"/>
      <c r="O9803" s="268"/>
    </row>
    <row r="9804" spans="9:15" x14ac:dyDescent="0.25">
      <c r="I9804" s="268"/>
      <c r="O9804" s="268"/>
    </row>
    <row r="9805" spans="9:15" x14ac:dyDescent="0.25">
      <c r="I9805" s="268"/>
      <c r="O9805" s="268"/>
    </row>
    <row r="9806" spans="9:15" x14ac:dyDescent="0.25">
      <c r="I9806" s="268"/>
      <c r="O9806" s="268"/>
    </row>
    <row r="9807" spans="9:15" x14ac:dyDescent="0.25">
      <c r="I9807" s="268"/>
      <c r="O9807" s="268"/>
    </row>
    <row r="9808" spans="9:15" x14ac:dyDescent="0.25">
      <c r="I9808" s="268"/>
      <c r="O9808" s="268"/>
    </row>
    <row r="9809" spans="9:15" x14ac:dyDescent="0.25">
      <c r="I9809" s="268"/>
      <c r="O9809" s="268"/>
    </row>
    <row r="9810" spans="9:15" x14ac:dyDescent="0.25">
      <c r="I9810" s="268"/>
      <c r="O9810" s="268"/>
    </row>
    <row r="9811" spans="9:15" x14ac:dyDescent="0.25">
      <c r="I9811" s="268"/>
      <c r="O9811" s="268"/>
    </row>
    <row r="9812" spans="9:15" x14ac:dyDescent="0.25">
      <c r="I9812" s="268"/>
      <c r="O9812" s="268"/>
    </row>
    <row r="9813" spans="9:15" x14ac:dyDescent="0.25">
      <c r="I9813" s="268"/>
      <c r="O9813" s="268"/>
    </row>
    <row r="9814" spans="9:15" x14ac:dyDescent="0.25">
      <c r="I9814" s="268"/>
      <c r="O9814" s="268"/>
    </row>
    <row r="9815" spans="9:15" x14ac:dyDescent="0.25">
      <c r="I9815" s="268"/>
      <c r="O9815" s="268"/>
    </row>
    <row r="9816" spans="9:15" x14ac:dyDescent="0.25">
      <c r="I9816" s="268"/>
      <c r="O9816" s="268"/>
    </row>
    <row r="9817" spans="9:15" x14ac:dyDescent="0.25">
      <c r="I9817" s="268"/>
      <c r="O9817" s="268"/>
    </row>
    <row r="9818" spans="9:15" x14ac:dyDescent="0.25">
      <c r="I9818" s="268"/>
      <c r="O9818" s="268"/>
    </row>
    <row r="9819" spans="9:15" x14ac:dyDescent="0.25">
      <c r="I9819" s="268"/>
      <c r="O9819" s="268"/>
    </row>
    <row r="9820" spans="9:15" x14ac:dyDescent="0.25">
      <c r="I9820" s="268"/>
      <c r="O9820" s="268"/>
    </row>
    <row r="9821" spans="9:15" x14ac:dyDescent="0.25">
      <c r="I9821" s="268"/>
      <c r="O9821" s="268"/>
    </row>
    <row r="9822" spans="9:15" x14ac:dyDescent="0.25">
      <c r="I9822" s="268"/>
      <c r="O9822" s="268"/>
    </row>
    <row r="9823" spans="9:15" x14ac:dyDescent="0.25">
      <c r="I9823" s="268"/>
      <c r="O9823" s="268"/>
    </row>
    <row r="9824" spans="9:15" x14ac:dyDescent="0.25">
      <c r="I9824" s="268"/>
      <c r="O9824" s="268"/>
    </row>
    <row r="9825" spans="9:15" x14ac:dyDescent="0.25">
      <c r="I9825" s="268"/>
      <c r="O9825" s="268"/>
    </row>
    <row r="9826" spans="9:15" x14ac:dyDescent="0.25">
      <c r="I9826" s="268"/>
      <c r="O9826" s="268"/>
    </row>
    <row r="9827" spans="9:15" x14ac:dyDescent="0.25">
      <c r="I9827" s="268"/>
      <c r="O9827" s="268"/>
    </row>
    <row r="9828" spans="9:15" x14ac:dyDescent="0.25">
      <c r="I9828" s="268"/>
      <c r="O9828" s="268"/>
    </row>
    <row r="9829" spans="9:15" x14ac:dyDescent="0.25">
      <c r="I9829" s="268"/>
      <c r="O9829" s="268"/>
    </row>
    <row r="9830" spans="9:15" x14ac:dyDescent="0.25">
      <c r="I9830" s="268"/>
      <c r="O9830" s="268"/>
    </row>
    <row r="9831" spans="9:15" x14ac:dyDescent="0.25">
      <c r="I9831" s="268"/>
      <c r="O9831" s="268"/>
    </row>
    <row r="9832" spans="9:15" x14ac:dyDescent="0.25">
      <c r="I9832" s="268"/>
      <c r="O9832" s="268"/>
    </row>
    <row r="9833" spans="9:15" x14ac:dyDescent="0.25">
      <c r="I9833" s="268"/>
      <c r="O9833" s="268"/>
    </row>
    <row r="9834" spans="9:15" x14ac:dyDescent="0.25">
      <c r="I9834" s="268"/>
      <c r="O9834" s="268"/>
    </row>
    <row r="9835" spans="9:15" x14ac:dyDescent="0.25">
      <c r="I9835" s="268"/>
      <c r="O9835" s="268"/>
    </row>
    <row r="9836" spans="9:15" x14ac:dyDescent="0.25">
      <c r="I9836" s="268"/>
      <c r="O9836" s="268"/>
    </row>
    <row r="9837" spans="9:15" x14ac:dyDescent="0.25">
      <c r="I9837" s="268"/>
      <c r="O9837" s="268"/>
    </row>
    <row r="9838" spans="9:15" x14ac:dyDescent="0.25">
      <c r="I9838" s="268"/>
      <c r="O9838" s="268"/>
    </row>
    <row r="9839" spans="9:15" x14ac:dyDescent="0.25">
      <c r="I9839" s="268"/>
      <c r="O9839" s="268"/>
    </row>
    <row r="9840" spans="9:15" x14ac:dyDescent="0.25">
      <c r="I9840" s="268"/>
      <c r="O9840" s="268"/>
    </row>
    <row r="9841" spans="9:15" x14ac:dyDescent="0.25">
      <c r="I9841" s="268"/>
      <c r="O9841" s="268"/>
    </row>
    <row r="9842" spans="9:15" x14ac:dyDescent="0.25">
      <c r="I9842" s="268"/>
      <c r="O9842" s="268"/>
    </row>
    <row r="9843" spans="9:15" x14ac:dyDescent="0.25">
      <c r="I9843" s="268"/>
      <c r="O9843" s="268"/>
    </row>
    <row r="9844" spans="9:15" x14ac:dyDescent="0.25">
      <c r="I9844" s="268"/>
      <c r="O9844" s="268"/>
    </row>
    <row r="9845" spans="9:15" x14ac:dyDescent="0.25">
      <c r="I9845" s="268"/>
      <c r="O9845" s="268"/>
    </row>
    <row r="9846" spans="9:15" x14ac:dyDescent="0.25">
      <c r="I9846" s="268"/>
      <c r="O9846" s="268"/>
    </row>
    <row r="9847" spans="9:15" x14ac:dyDescent="0.25">
      <c r="I9847" s="268"/>
      <c r="O9847" s="268"/>
    </row>
    <row r="9848" spans="9:15" x14ac:dyDescent="0.25">
      <c r="I9848" s="268"/>
      <c r="O9848" s="268"/>
    </row>
    <row r="9849" spans="9:15" x14ac:dyDescent="0.25">
      <c r="I9849" s="268"/>
      <c r="O9849" s="268"/>
    </row>
    <row r="9850" spans="9:15" x14ac:dyDescent="0.25">
      <c r="I9850" s="268"/>
      <c r="O9850" s="268"/>
    </row>
    <row r="9851" spans="9:15" x14ac:dyDescent="0.25">
      <c r="I9851" s="268"/>
      <c r="O9851" s="268"/>
    </row>
    <row r="9852" spans="9:15" x14ac:dyDescent="0.25">
      <c r="I9852" s="268"/>
      <c r="O9852" s="268"/>
    </row>
    <row r="9853" spans="9:15" x14ac:dyDescent="0.25">
      <c r="I9853" s="268"/>
      <c r="O9853" s="268"/>
    </row>
    <row r="9854" spans="9:15" x14ac:dyDescent="0.25">
      <c r="I9854" s="268"/>
      <c r="O9854" s="268"/>
    </row>
    <row r="9855" spans="9:15" x14ac:dyDescent="0.25">
      <c r="I9855" s="268"/>
      <c r="O9855" s="268"/>
    </row>
    <row r="9856" spans="9:15" x14ac:dyDescent="0.25">
      <c r="I9856" s="268"/>
      <c r="O9856" s="268"/>
    </row>
    <row r="9857" spans="9:15" x14ac:dyDescent="0.25">
      <c r="I9857" s="268"/>
      <c r="O9857" s="268"/>
    </row>
    <row r="9858" spans="9:15" x14ac:dyDescent="0.25">
      <c r="I9858" s="268"/>
      <c r="O9858" s="268"/>
    </row>
    <row r="9859" spans="9:15" x14ac:dyDescent="0.25">
      <c r="I9859" s="268"/>
      <c r="O9859" s="268"/>
    </row>
    <row r="9860" spans="9:15" x14ac:dyDescent="0.25">
      <c r="I9860" s="268"/>
      <c r="O9860" s="268"/>
    </row>
    <row r="9861" spans="9:15" x14ac:dyDescent="0.25">
      <c r="I9861" s="268"/>
      <c r="O9861" s="268"/>
    </row>
    <row r="9862" spans="9:15" x14ac:dyDescent="0.25">
      <c r="I9862" s="268"/>
      <c r="O9862" s="268"/>
    </row>
    <row r="9863" spans="9:15" x14ac:dyDescent="0.25">
      <c r="I9863" s="268"/>
      <c r="O9863" s="268"/>
    </row>
    <row r="9864" spans="9:15" x14ac:dyDescent="0.25">
      <c r="I9864" s="268"/>
      <c r="O9864" s="268"/>
    </row>
    <row r="9865" spans="9:15" x14ac:dyDescent="0.25">
      <c r="I9865" s="268"/>
      <c r="O9865" s="268"/>
    </row>
    <row r="9866" spans="9:15" x14ac:dyDescent="0.25">
      <c r="I9866" s="268"/>
      <c r="O9866" s="268"/>
    </row>
    <row r="9867" spans="9:15" x14ac:dyDescent="0.25">
      <c r="I9867" s="268"/>
      <c r="O9867" s="268"/>
    </row>
    <row r="9868" spans="9:15" x14ac:dyDescent="0.25">
      <c r="I9868" s="268"/>
      <c r="O9868" s="268"/>
    </row>
    <row r="9869" spans="9:15" x14ac:dyDescent="0.25">
      <c r="I9869" s="268"/>
      <c r="O9869" s="268"/>
    </row>
    <row r="9870" spans="9:15" x14ac:dyDescent="0.25">
      <c r="I9870" s="268"/>
      <c r="O9870" s="268"/>
    </row>
    <row r="9871" spans="9:15" x14ac:dyDescent="0.25">
      <c r="I9871" s="268"/>
      <c r="O9871" s="268"/>
    </row>
    <row r="9872" spans="9:15" x14ac:dyDescent="0.25">
      <c r="I9872" s="268"/>
      <c r="O9872" s="268"/>
    </row>
    <row r="9873" spans="9:15" x14ac:dyDescent="0.25">
      <c r="I9873" s="268"/>
      <c r="O9873" s="268"/>
    </row>
    <row r="9874" spans="9:15" x14ac:dyDescent="0.25">
      <c r="I9874" s="268"/>
      <c r="O9874" s="268"/>
    </row>
    <row r="9875" spans="9:15" x14ac:dyDescent="0.25">
      <c r="I9875" s="268"/>
      <c r="O9875" s="268"/>
    </row>
    <row r="9876" spans="9:15" x14ac:dyDescent="0.25">
      <c r="I9876" s="268"/>
      <c r="O9876" s="268"/>
    </row>
    <row r="9877" spans="9:15" x14ac:dyDescent="0.25">
      <c r="I9877" s="268"/>
      <c r="O9877" s="268"/>
    </row>
    <row r="9878" spans="9:15" x14ac:dyDescent="0.25">
      <c r="I9878" s="268"/>
      <c r="O9878" s="268"/>
    </row>
    <row r="9879" spans="9:15" x14ac:dyDescent="0.25">
      <c r="I9879" s="268"/>
      <c r="O9879" s="268"/>
    </row>
    <row r="9880" spans="9:15" x14ac:dyDescent="0.25">
      <c r="I9880" s="268"/>
      <c r="O9880" s="268"/>
    </row>
    <row r="9881" spans="9:15" x14ac:dyDescent="0.25">
      <c r="I9881" s="268"/>
      <c r="O9881" s="268"/>
    </row>
    <row r="9882" spans="9:15" x14ac:dyDescent="0.25">
      <c r="I9882" s="268"/>
      <c r="O9882" s="268"/>
    </row>
    <row r="9883" spans="9:15" x14ac:dyDescent="0.25">
      <c r="I9883" s="268"/>
      <c r="O9883" s="268"/>
    </row>
    <row r="9884" spans="9:15" x14ac:dyDescent="0.25">
      <c r="I9884" s="268"/>
      <c r="O9884" s="268"/>
    </row>
    <row r="9885" spans="9:15" x14ac:dyDescent="0.25">
      <c r="I9885" s="268"/>
      <c r="O9885" s="268"/>
    </row>
    <row r="9886" spans="9:15" x14ac:dyDescent="0.25">
      <c r="I9886" s="268"/>
      <c r="O9886" s="268"/>
    </row>
    <row r="9887" spans="9:15" x14ac:dyDescent="0.25">
      <c r="I9887" s="268"/>
      <c r="O9887" s="268"/>
    </row>
    <row r="9888" spans="9:15" x14ac:dyDescent="0.25">
      <c r="I9888" s="268"/>
      <c r="O9888" s="268"/>
    </row>
    <row r="9889" spans="9:15" x14ac:dyDescent="0.25">
      <c r="I9889" s="268"/>
      <c r="O9889" s="268"/>
    </row>
    <row r="9890" spans="9:15" x14ac:dyDescent="0.25">
      <c r="I9890" s="268"/>
      <c r="O9890" s="268"/>
    </row>
    <row r="9891" spans="9:15" x14ac:dyDescent="0.25">
      <c r="I9891" s="268"/>
      <c r="O9891" s="268"/>
    </row>
    <row r="9892" spans="9:15" x14ac:dyDescent="0.25">
      <c r="I9892" s="268"/>
      <c r="O9892" s="268"/>
    </row>
    <row r="9893" spans="9:15" x14ac:dyDescent="0.25">
      <c r="I9893" s="268"/>
      <c r="O9893" s="268"/>
    </row>
    <row r="9894" spans="9:15" x14ac:dyDescent="0.25">
      <c r="I9894" s="268"/>
      <c r="O9894" s="268"/>
    </row>
    <row r="9895" spans="9:15" x14ac:dyDescent="0.25">
      <c r="I9895" s="268"/>
      <c r="O9895" s="268"/>
    </row>
    <row r="9896" spans="9:15" x14ac:dyDescent="0.25">
      <c r="I9896" s="268"/>
      <c r="O9896" s="268"/>
    </row>
    <row r="9897" spans="9:15" x14ac:dyDescent="0.25">
      <c r="I9897" s="268"/>
      <c r="O9897" s="268"/>
    </row>
    <row r="9898" spans="9:15" x14ac:dyDescent="0.25">
      <c r="I9898" s="268"/>
      <c r="O9898" s="268"/>
    </row>
    <row r="9899" spans="9:15" x14ac:dyDescent="0.25">
      <c r="I9899" s="268"/>
      <c r="O9899" s="268"/>
    </row>
    <row r="9900" spans="9:15" x14ac:dyDescent="0.25">
      <c r="I9900" s="268"/>
      <c r="O9900" s="268"/>
    </row>
    <row r="9901" spans="9:15" x14ac:dyDescent="0.25">
      <c r="I9901" s="268"/>
      <c r="O9901" s="268"/>
    </row>
    <row r="9902" spans="9:15" x14ac:dyDescent="0.25">
      <c r="I9902" s="268"/>
      <c r="O9902" s="268"/>
    </row>
    <row r="9903" spans="9:15" x14ac:dyDescent="0.25">
      <c r="I9903" s="268"/>
      <c r="O9903" s="268"/>
    </row>
    <row r="9904" spans="9:15" x14ac:dyDescent="0.25">
      <c r="I9904" s="268"/>
      <c r="O9904" s="268"/>
    </row>
    <row r="9905" spans="9:15" x14ac:dyDescent="0.25">
      <c r="I9905" s="268"/>
      <c r="O9905" s="268"/>
    </row>
    <row r="9906" spans="9:15" x14ac:dyDescent="0.25">
      <c r="I9906" s="268"/>
      <c r="O9906" s="268"/>
    </row>
    <row r="9907" spans="9:15" x14ac:dyDescent="0.25">
      <c r="I9907" s="268"/>
      <c r="O9907" s="268"/>
    </row>
    <row r="9908" spans="9:15" x14ac:dyDescent="0.25">
      <c r="I9908" s="268"/>
      <c r="O9908" s="268"/>
    </row>
    <row r="9909" spans="9:15" x14ac:dyDescent="0.25">
      <c r="I9909" s="268"/>
      <c r="O9909" s="268"/>
    </row>
    <row r="9910" spans="9:15" x14ac:dyDescent="0.25">
      <c r="I9910" s="268"/>
      <c r="O9910" s="268"/>
    </row>
    <row r="9911" spans="9:15" x14ac:dyDescent="0.25">
      <c r="I9911" s="268"/>
      <c r="O9911" s="268"/>
    </row>
    <row r="9912" spans="9:15" x14ac:dyDescent="0.25">
      <c r="I9912" s="268"/>
      <c r="O9912" s="268"/>
    </row>
    <row r="9913" spans="9:15" x14ac:dyDescent="0.25">
      <c r="I9913" s="268"/>
      <c r="O9913" s="268"/>
    </row>
    <row r="9914" spans="9:15" x14ac:dyDescent="0.25">
      <c r="I9914" s="268"/>
      <c r="O9914" s="268"/>
    </row>
    <row r="9915" spans="9:15" x14ac:dyDescent="0.25">
      <c r="I9915" s="268"/>
      <c r="O9915" s="268"/>
    </row>
    <row r="9916" spans="9:15" x14ac:dyDescent="0.25">
      <c r="I9916" s="268"/>
      <c r="O9916" s="268"/>
    </row>
    <row r="9917" spans="9:15" x14ac:dyDescent="0.25">
      <c r="I9917" s="268"/>
      <c r="O9917" s="268"/>
    </row>
    <row r="9918" spans="9:15" x14ac:dyDescent="0.25">
      <c r="I9918" s="268"/>
      <c r="O9918" s="268"/>
    </row>
    <row r="9919" spans="9:15" x14ac:dyDescent="0.25">
      <c r="I9919" s="268"/>
      <c r="O9919" s="268"/>
    </row>
    <row r="9920" spans="9:15" x14ac:dyDescent="0.25">
      <c r="I9920" s="268"/>
      <c r="O9920" s="268"/>
    </row>
    <row r="9921" spans="9:15" x14ac:dyDescent="0.25">
      <c r="I9921" s="268"/>
      <c r="O9921" s="268"/>
    </row>
    <row r="9922" spans="9:15" x14ac:dyDescent="0.25">
      <c r="I9922" s="268"/>
      <c r="O9922" s="268"/>
    </row>
    <row r="9923" spans="9:15" x14ac:dyDescent="0.25">
      <c r="I9923" s="268"/>
      <c r="O9923" s="268"/>
    </row>
    <row r="9924" spans="9:15" x14ac:dyDescent="0.25">
      <c r="I9924" s="268"/>
      <c r="O9924" s="268"/>
    </row>
    <row r="9925" spans="9:15" x14ac:dyDescent="0.25">
      <c r="I9925" s="268"/>
      <c r="O9925" s="268"/>
    </row>
    <row r="9926" spans="9:15" x14ac:dyDescent="0.25">
      <c r="I9926" s="268"/>
      <c r="O9926" s="268"/>
    </row>
    <row r="9927" spans="9:15" x14ac:dyDescent="0.25">
      <c r="I9927" s="268"/>
      <c r="O9927" s="268"/>
    </row>
    <row r="9928" spans="9:15" x14ac:dyDescent="0.25">
      <c r="I9928" s="268"/>
      <c r="O9928" s="268"/>
    </row>
    <row r="9929" spans="9:15" x14ac:dyDescent="0.25">
      <c r="I9929" s="268"/>
      <c r="O9929" s="268"/>
    </row>
    <row r="9930" spans="9:15" x14ac:dyDescent="0.25">
      <c r="I9930" s="268"/>
      <c r="O9930" s="268"/>
    </row>
    <row r="9931" spans="9:15" x14ac:dyDescent="0.25">
      <c r="I9931" s="268"/>
      <c r="O9931" s="268"/>
    </row>
    <row r="9932" spans="9:15" x14ac:dyDescent="0.25">
      <c r="I9932" s="268"/>
      <c r="O9932" s="268"/>
    </row>
    <row r="9933" spans="9:15" x14ac:dyDescent="0.25">
      <c r="I9933" s="268"/>
      <c r="O9933" s="268"/>
    </row>
    <row r="9934" spans="9:15" x14ac:dyDescent="0.25">
      <c r="I9934" s="268"/>
      <c r="O9934" s="268"/>
    </row>
    <row r="9935" spans="9:15" x14ac:dyDescent="0.25">
      <c r="I9935" s="268"/>
      <c r="O9935" s="268"/>
    </row>
    <row r="9936" spans="9:15" x14ac:dyDescent="0.25">
      <c r="I9936" s="268"/>
      <c r="O9936" s="268"/>
    </row>
    <row r="9937" spans="9:15" x14ac:dyDescent="0.25">
      <c r="I9937" s="268"/>
      <c r="O9937" s="268"/>
    </row>
    <row r="9938" spans="9:15" x14ac:dyDescent="0.25">
      <c r="I9938" s="268"/>
      <c r="O9938" s="268"/>
    </row>
    <row r="9939" spans="9:15" x14ac:dyDescent="0.25">
      <c r="I9939" s="268"/>
      <c r="O9939" s="268"/>
    </row>
    <row r="9940" spans="9:15" x14ac:dyDescent="0.25">
      <c r="I9940" s="268"/>
      <c r="O9940" s="268"/>
    </row>
    <row r="9941" spans="9:15" x14ac:dyDescent="0.25">
      <c r="I9941" s="268"/>
      <c r="O9941" s="268"/>
    </row>
    <row r="9942" spans="9:15" x14ac:dyDescent="0.25">
      <c r="I9942" s="268"/>
      <c r="O9942" s="268"/>
    </row>
    <row r="9943" spans="9:15" x14ac:dyDescent="0.25">
      <c r="I9943" s="268"/>
      <c r="O9943" s="268"/>
    </row>
    <row r="9944" spans="9:15" x14ac:dyDescent="0.25">
      <c r="I9944" s="268"/>
      <c r="O9944" s="268"/>
    </row>
    <row r="9945" spans="9:15" x14ac:dyDescent="0.25">
      <c r="I9945" s="268"/>
      <c r="O9945" s="268"/>
    </row>
    <row r="9946" spans="9:15" x14ac:dyDescent="0.25">
      <c r="I9946" s="268"/>
      <c r="O9946" s="268"/>
    </row>
    <row r="9947" spans="9:15" x14ac:dyDescent="0.25">
      <c r="I9947" s="268"/>
      <c r="O9947" s="268"/>
    </row>
    <row r="9948" spans="9:15" x14ac:dyDescent="0.25">
      <c r="I9948" s="268"/>
      <c r="O9948" s="268"/>
    </row>
    <row r="9949" spans="9:15" x14ac:dyDescent="0.25">
      <c r="I9949" s="268"/>
      <c r="O9949" s="268"/>
    </row>
    <row r="9950" spans="9:15" x14ac:dyDescent="0.25">
      <c r="I9950" s="268"/>
      <c r="O9950" s="268"/>
    </row>
    <row r="9951" spans="9:15" x14ac:dyDescent="0.25">
      <c r="I9951" s="268"/>
      <c r="O9951" s="268"/>
    </row>
    <row r="9952" spans="9:15" x14ac:dyDescent="0.25">
      <c r="I9952" s="268"/>
      <c r="O9952" s="268"/>
    </row>
    <row r="9953" spans="9:15" x14ac:dyDescent="0.25">
      <c r="I9953" s="268"/>
      <c r="O9953" s="268"/>
    </row>
    <row r="9954" spans="9:15" x14ac:dyDescent="0.25">
      <c r="I9954" s="268"/>
      <c r="O9954" s="268"/>
    </row>
    <row r="9955" spans="9:15" x14ac:dyDescent="0.25">
      <c r="I9955" s="268"/>
      <c r="O9955" s="268"/>
    </row>
    <row r="9956" spans="9:15" x14ac:dyDescent="0.25">
      <c r="I9956" s="268"/>
      <c r="O9956" s="268"/>
    </row>
    <row r="9957" spans="9:15" x14ac:dyDescent="0.25">
      <c r="I9957" s="268"/>
      <c r="O9957" s="268"/>
    </row>
    <row r="9958" spans="9:15" x14ac:dyDescent="0.25">
      <c r="I9958" s="268"/>
      <c r="O9958" s="268"/>
    </row>
    <row r="9959" spans="9:15" x14ac:dyDescent="0.25">
      <c r="I9959" s="268"/>
      <c r="O9959" s="268"/>
    </row>
    <row r="9960" spans="9:15" x14ac:dyDescent="0.25">
      <c r="I9960" s="268"/>
      <c r="O9960" s="268"/>
    </row>
    <row r="9961" spans="9:15" x14ac:dyDescent="0.25">
      <c r="I9961" s="268"/>
      <c r="O9961" s="268"/>
    </row>
    <row r="9962" spans="9:15" x14ac:dyDescent="0.25">
      <c r="I9962" s="268"/>
      <c r="O9962" s="268"/>
    </row>
    <row r="9963" spans="9:15" x14ac:dyDescent="0.25">
      <c r="I9963" s="268"/>
      <c r="O9963" s="268"/>
    </row>
    <row r="9964" spans="9:15" x14ac:dyDescent="0.25">
      <c r="I9964" s="268"/>
      <c r="O9964" s="268"/>
    </row>
    <row r="9965" spans="9:15" x14ac:dyDescent="0.25">
      <c r="I9965" s="268"/>
      <c r="O9965" s="268"/>
    </row>
    <row r="9966" spans="9:15" x14ac:dyDescent="0.25">
      <c r="I9966" s="268"/>
      <c r="O9966" s="268"/>
    </row>
    <row r="9967" spans="9:15" x14ac:dyDescent="0.25">
      <c r="I9967" s="268"/>
      <c r="O9967" s="268"/>
    </row>
    <row r="9968" spans="9:15" x14ac:dyDescent="0.25">
      <c r="I9968" s="268"/>
      <c r="O9968" s="268"/>
    </row>
    <row r="9969" spans="9:15" x14ac:dyDescent="0.25">
      <c r="I9969" s="268"/>
      <c r="O9969" s="268"/>
    </row>
    <row r="9970" spans="9:15" x14ac:dyDescent="0.25">
      <c r="I9970" s="268"/>
      <c r="O9970" s="268"/>
    </row>
    <row r="9971" spans="9:15" x14ac:dyDescent="0.25">
      <c r="I9971" s="268"/>
      <c r="O9971" s="268"/>
    </row>
    <row r="9972" spans="9:15" x14ac:dyDescent="0.25">
      <c r="I9972" s="268"/>
      <c r="O9972" s="268"/>
    </row>
    <row r="9973" spans="9:15" x14ac:dyDescent="0.25">
      <c r="I9973" s="268"/>
      <c r="O9973" s="268"/>
    </row>
    <row r="9974" spans="9:15" x14ac:dyDescent="0.25">
      <c r="I9974" s="268"/>
      <c r="O9974" s="268"/>
    </row>
    <row r="9975" spans="9:15" x14ac:dyDescent="0.25">
      <c r="I9975" s="268"/>
      <c r="O9975" s="268"/>
    </row>
    <row r="9976" spans="9:15" x14ac:dyDescent="0.25">
      <c r="I9976" s="268"/>
      <c r="O9976" s="268"/>
    </row>
    <row r="9977" spans="9:15" x14ac:dyDescent="0.25">
      <c r="I9977" s="268"/>
      <c r="O9977" s="268"/>
    </row>
    <row r="9978" spans="9:15" x14ac:dyDescent="0.25">
      <c r="I9978" s="268"/>
      <c r="O9978" s="268"/>
    </row>
    <row r="9979" spans="9:15" x14ac:dyDescent="0.25">
      <c r="I9979" s="268"/>
      <c r="O9979" s="268"/>
    </row>
    <row r="9980" spans="9:15" x14ac:dyDescent="0.25">
      <c r="I9980" s="268"/>
      <c r="O9980" s="268"/>
    </row>
    <row r="9981" spans="9:15" x14ac:dyDescent="0.25">
      <c r="I9981" s="268"/>
      <c r="O9981" s="268"/>
    </row>
    <row r="9982" spans="9:15" x14ac:dyDescent="0.25">
      <c r="I9982" s="268"/>
      <c r="O9982" s="268"/>
    </row>
    <row r="9983" spans="9:15" x14ac:dyDescent="0.25">
      <c r="I9983" s="268"/>
      <c r="O9983" s="268"/>
    </row>
    <row r="9984" spans="9:15" x14ac:dyDescent="0.25">
      <c r="I9984" s="268"/>
      <c r="O9984" s="268"/>
    </row>
    <row r="9985" spans="9:15" x14ac:dyDescent="0.25">
      <c r="I9985" s="268"/>
      <c r="O9985" s="268"/>
    </row>
    <row r="9986" spans="9:15" x14ac:dyDescent="0.25">
      <c r="I9986" s="268"/>
      <c r="O9986" s="268"/>
    </row>
    <row r="9987" spans="9:15" x14ac:dyDescent="0.25">
      <c r="I9987" s="268"/>
      <c r="O9987" s="268"/>
    </row>
    <row r="9988" spans="9:15" x14ac:dyDescent="0.25">
      <c r="I9988" s="268"/>
      <c r="O9988" s="268"/>
    </row>
    <row r="9989" spans="9:15" x14ac:dyDescent="0.25">
      <c r="I9989" s="268"/>
      <c r="O9989" s="268"/>
    </row>
    <row r="9990" spans="9:15" x14ac:dyDescent="0.25">
      <c r="I9990" s="268"/>
      <c r="O9990" s="268"/>
    </row>
    <row r="9991" spans="9:15" x14ac:dyDescent="0.25">
      <c r="I9991" s="268"/>
      <c r="O9991" s="268"/>
    </row>
    <row r="9992" spans="9:15" x14ac:dyDescent="0.25">
      <c r="I9992" s="268"/>
      <c r="O9992" s="268"/>
    </row>
    <row r="9993" spans="9:15" x14ac:dyDescent="0.25">
      <c r="I9993" s="268"/>
      <c r="O9993" s="268"/>
    </row>
    <row r="9994" spans="9:15" x14ac:dyDescent="0.25">
      <c r="I9994" s="268"/>
      <c r="O9994" s="268"/>
    </row>
    <row r="9995" spans="9:15" x14ac:dyDescent="0.25">
      <c r="I9995" s="268"/>
      <c r="O9995" s="268"/>
    </row>
    <row r="9996" spans="9:15" x14ac:dyDescent="0.25">
      <c r="I9996" s="268"/>
      <c r="O9996" s="268"/>
    </row>
    <row r="9997" spans="9:15" x14ac:dyDescent="0.25">
      <c r="I9997" s="268"/>
      <c r="O9997" s="268"/>
    </row>
    <row r="9998" spans="9:15" x14ac:dyDescent="0.25">
      <c r="I9998" s="268"/>
      <c r="O9998" s="268"/>
    </row>
    <row r="9999" spans="9:15" x14ac:dyDescent="0.25">
      <c r="I9999" s="268"/>
      <c r="O9999" s="268"/>
    </row>
  </sheetData>
  <autoFilter ref="A1:AF158" xr:uid="{00000000-0009-0000-0000-000002000000}">
    <filterColumn colId="28">
      <filters>
        <filter val="Illinois"/>
      </filters>
    </filterColumn>
  </autoFilter>
  <sortState ref="A2:O261">
    <sortCondition ref="N2:N261"/>
  </sortState>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9" tint="0.59999389629810485"/>
  </sheetPr>
  <dimension ref="A1:O10000"/>
  <sheetViews>
    <sheetView tabSelected="1" workbookViewId="0">
      <pane ySplit="1" topLeftCell="A2" activePane="bottomLeft" state="frozen"/>
      <selection activeCell="I56" sqref="I56"/>
      <selection pane="bottomLeft" activeCell="K395" sqref="K395"/>
    </sheetView>
  </sheetViews>
  <sheetFormatPr defaultRowHeight="15" x14ac:dyDescent="0.25"/>
  <cols>
    <col min="1" max="1" width="9.7109375" customWidth="1"/>
    <col min="2" max="2" width="40.42578125" customWidth="1"/>
    <col min="3" max="3" width="20" bestFit="1" customWidth="1"/>
    <col min="4" max="4" width="79.5703125" style="273" customWidth="1"/>
    <col min="5" max="6" width="24.7109375" hidden="1" customWidth="1"/>
    <col min="7" max="7" width="25.85546875" hidden="1" customWidth="1"/>
    <col min="8" max="8" width="6.140625" hidden="1" customWidth="1"/>
    <col min="9" max="9" width="12.85546875" bestFit="1" customWidth="1"/>
    <col min="10" max="10" width="38.85546875" bestFit="1" customWidth="1"/>
    <col min="11" max="12" width="13.28515625" customWidth="1"/>
    <col min="13" max="13" width="14.85546875" customWidth="1"/>
    <col min="14" max="14" width="9.5703125" bestFit="1" customWidth="1"/>
    <col min="15" max="15" width="16.42578125" bestFit="1" customWidth="1"/>
  </cols>
  <sheetData>
    <row r="1" spans="1:15" ht="75" x14ac:dyDescent="0.25">
      <c r="A1" s="200" t="s">
        <v>663</v>
      </c>
      <c r="B1" s="200" t="s">
        <v>664</v>
      </c>
      <c r="C1" s="200" t="s">
        <v>665</v>
      </c>
      <c r="D1" s="200" t="s">
        <v>666</v>
      </c>
      <c r="E1" s="200" t="s">
        <v>667</v>
      </c>
      <c r="F1" s="200" t="s">
        <v>668</v>
      </c>
      <c r="G1" s="200" t="s">
        <v>669</v>
      </c>
      <c r="H1" s="201" t="s">
        <v>670</v>
      </c>
      <c r="I1" s="200" t="s">
        <v>671</v>
      </c>
      <c r="J1" s="200" t="s">
        <v>672</v>
      </c>
      <c r="K1" s="200" t="s">
        <v>673</v>
      </c>
      <c r="L1" s="200" t="s">
        <v>674</v>
      </c>
      <c r="M1" s="200" t="s">
        <v>675</v>
      </c>
      <c r="N1" s="200" t="s">
        <v>676</v>
      </c>
      <c r="O1" s="200" t="s">
        <v>677</v>
      </c>
    </row>
    <row r="2" spans="1:15" hidden="1" x14ac:dyDescent="0.25">
      <c r="A2">
        <v>30</v>
      </c>
      <c r="B2" t="s">
        <v>1304</v>
      </c>
      <c r="C2" t="s">
        <v>659</v>
      </c>
      <c r="D2" t="s">
        <v>2121</v>
      </c>
      <c r="E2" t="s">
        <v>2122</v>
      </c>
      <c r="F2" t="s">
        <v>758</v>
      </c>
      <c r="G2" t="s">
        <v>906</v>
      </c>
      <c r="H2" s="134" t="s">
        <v>1307</v>
      </c>
      <c r="I2" t="s">
        <v>2123</v>
      </c>
      <c r="J2" t="s">
        <v>683</v>
      </c>
      <c r="K2" t="s">
        <v>695</v>
      </c>
      <c r="L2" t="s">
        <v>761</v>
      </c>
      <c r="M2" t="s">
        <v>686</v>
      </c>
      <c r="N2" t="s">
        <v>687</v>
      </c>
      <c r="O2" t="s">
        <v>639</v>
      </c>
    </row>
    <row r="3" spans="1:15" hidden="1" x14ac:dyDescent="0.25">
      <c r="A3">
        <v>30</v>
      </c>
      <c r="B3" t="s">
        <v>1304</v>
      </c>
      <c r="C3" t="s">
        <v>659</v>
      </c>
      <c r="D3" t="s">
        <v>2124</v>
      </c>
      <c r="E3" t="s">
        <v>2122</v>
      </c>
      <c r="F3" t="s">
        <v>758</v>
      </c>
      <c r="G3" t="s">
        <v>906</v>
      </c>
      <c r="H3" s="134" t="s">
        <v>1307</v>
      </c>
      <c r="I3" t="s">
        <v>2123</v>
      </c>
      <c r="J3" t="s">
        <v>683</v>
      </c>
      <c r="K3" t="s">
        <v>695</v>
      </c>
      <c r="L3" t="s">
        <v>761</v>
      </c>
      <c r="M3" t="s">
        <v>686</v>
      </c>
      <c r="N3" t="s">
        <v>687</v>
      </c>
      <c r="O3" t="s">
        <v>639</v>
      </c>
    </row>
    <row r="4" spans="1:15" hidden="1" x14ac:dyDescent="0.25">
      <c r="A4">
        <v>30</v>
      </c>
      <c r="B4" t="s">
        <v>1304</v>
      </c>
      <c r="C4" t="s">
        <v>659</v>
      </c>
      <c r="D4" t="s">
        <v>2125</v>
      </c>
      <c r="E4" t="s">
        <v>2122</v>
      </c>
      <c r="F4" t="s">
        <v>758</v>
      </c>
      <c r="G4" t="s">
        <v>906</v>
      </c>
      <c r="H4" s="134" t="s">
        <v>1307</v>
      </c>
      <c r="I4" t="s">
        <v>2123</v>
      </c>
      <c r="J4" t="s">
        <v>683</v>
      </c>
      <c r="K4" t="s">
        <v>695</v>
      </c>
      <c r="L4" t="s">
        <v>761</v>
      </c>
      <c r="M4" t="s">
        <v>686</v>
      </c>
      <c r="N4" t="s">
        <v>687</v>
      </c>
      <c r="O4" t="s">
        <v>639</v>
      </c>
    </row>
    <row r="5" spans="1:15" hidden="1" x14ac:dyDescent="0.25">
      <c r="A5">
        <v>30</v>
      </c>
      <c r="B5" t="s">
        <v>1304</v>
      </c>
      <c r="C5" t="s">
        <v>659</v>
      </c>
      <c r="D5" t="s">
        <v>2126</v>
      </c>
      <c r="E5" t="s">
        <v>2122</v>
      </c>
      <c r="F5" t="s">
        <v>758</v>
      </c>
      <c r="G5" t="s">
        <v>906</v>
      </c>
      <c r="H5" s="134" t="s">
        <v>1307</v>
      </c>
      <c r="I5" t="s">
        <v>2123</v>
      </c>
      <c r="J5" t="s">
        <v>683</v>
      </c>
      <c r="K5" t="s">
        <v>695</v>
      </c>
      <c r="L5" t="s">
        <v>761</v>
      </c>
      <c r="M5" t="s">
        <v>686</v>
      </c>
      <c r="N5" t="s">
        <v>687</v>
      </c>
      <c r="O5" t="s">
        <v>639</v>
      </c>
    </row>
    <row r="6" spans="1:15" hidden="1" x14ac:dyDescent="0.25">
      <c r="A6">
        <v>31</v>
      </c>
      <c r="B6" t="s">
        <v>1318</v>
      </c>
      <c r="C6" t="s">
        <v>659</v>
      </c>
      <c r="D6" t="s">
        <v>2127</v>
      </c>
      <c r="E6" t="s">
        <v>800</v>
      </c>
      <c r="F6" t="s">
        <v>892</v>
      </c>
      <c r="G6" t="s">
        <v>892</v>
      </c>
      <c r="H6" s="134" t="s">
        <v>1322</v>
      </c>
      <c r="I6" t="s">
        <v>2128</v>
      </c>
      <c r="J6" t="s">
        <v>683</v>
      </c>
      <c r="K6" t="s">
        <v>695</v>
      </c>
      <c r="L6" t="s">
        <v>2129</v>
      </c>
      <c r="M6" t="s">
        <v>686</v>
      </c>
      <c r="N6" t="s">
        <v>687</v>
      </c>
      <c r="O6" t="s">
        <v>639</v>
      </c>
    </row>
    <row r="7" spans="1:15" hidden="1" x14ac:dyDescent="0.25">
      <c r="A7">
        <v>31</v>
      </c>
      <c r="B7" t="s">
        <v>1318</v>
      </c>
      <c r="C7" t="s">
        <v>659</v>
      </c>
      <c r="D7" t="s">
        <v>2130</v>
      </c>
      <c r="E7" t="s">
        <v>1588</v>
      </c>
      <c r="F7" t="s">
        <v>892</v>
      </c>
      <c r="G7" t="s">
        <v>892</v>
      </c>
      <c r="H7" s="134" t="s">
        <v>1322</v>
      </c>
      <c r="I7" t="s">
        <v>2128</v>
      </c>
      <c r="J7" t="s">
        <v>683</v>
      </c>
      <c r="K7" t="s">
        <v>695</v>
      </c>
      <c r="L7" t="s">
        <v>2131</v>
      </c>
      <c r="M7" t="s">
        <v>686</v>
      </c>
      <c r="N7" t="s">
        <v>687</v>
      </c>
      <c r="O7" t="s">
        <v>639</v>
      </c>
    </row>
    <row r="8" spans="1:15" hidden="1" x14ac:dyDescent="0.25">
      <c r="A8">
        <v>33</v>
      </c>
      <c r="B8" t="s">
        <v>1335</v>
      </c>
      <c r="C8" t="s">
        <v>659</v>
      </c>
      <c r="D8" t="s">
        <v>2132</v>
      </c>
      <c r="E8" t="s">
        <v>1344</v>
      </c>
      <c r="F8" t="s">
        <v>2133</v>
      </c>
      <c r="G8" t="s">
        <v>868</v>
      </c>
      <c r="H8" s="134" t="s">
        <v>1338</v>
      </c>
      <c r="I8" t="s">
        <v>2134</v>
      </c>
      <c r="J8" t="s">
        <v>683</v>
      </c>
      <c r="K8" t="s">
        <v>695</v>
      </c>
      <c r="M8" t="s">
        <v>686</v>
      </c>
      <c r="N8" t="s">
        <v>687</v>
      </c>
      <c r="O8" t="s">
        <v>639</v>
      </c>
    </row>
    <row r="9" spans="1:15" hidden="1" x14ac:dyDescent="0.25">
      <c r="A9">
        <v>33</v>
      </c>
      <c r="B9" t="s">
        <v>1335</v>
      </c>
      <c r="C9" t="s">
        <v>659</v>
      </c>
      <c r="D9" t="s">
        <v>2135</v>
      </c>
      <c r="E9" t="s">
        <v>868</v>
      </c>
      <c r="F9" t="s">
        <v>2136</v>
      </c>
      <c r="G9" t="s">
        <v>868</v>
      </c>
      <c r="H9" s="134" t="s">
        <v>1338</v>
      </c>
      <c r="I9" t="s">
        <v>811</v>
      </c>
      <c r="J9" t="s">
        <v>683</v>
      </c>
      <c r="K9" t="s">
        <v>695</v>
      </c>
      <c r="L9" t="s">
        <v>912</v>
      </c>
      <c r="M9" t="s">
        <v>686</v>
      </c>
      <c r="N9" t="s">
        <v>639</v>
      </c>
      <c r="O9" t="s">
        <v>639</v>
      </c>
    </row>
    <row r="10" spans="1:15" hidden="1" x14ac:dyDescent="0.25">
      <c r="A10">
        <v>33</v>
      </c>
      <c r="B10" t="s">
        <v>1335</v>
      </c>
      <c r="C10" t="s">
        <v>659</v>
      </c>
      <c r="D10" t="s">
        <v>2137</v>
      </c>
      <c r="E10" t="s">
        <v>1344</v>
      </c>
      <c r="F10" t="s">
        <v>868</v>
      </c>
      <c r="G10" t="s">
        <v>868</v>
      </c>
      <c r="H10" s="134" t="s">
        <v>1338</v>
      </c>
      <c r="I10" t="s">
        <v>2138</v>
      </c>
      <c r="J10" t="s">
        <v>683</v>
      </c>
      <c r="K10" t="s">
        <v>695</v>
      </c>
      <c r="M10" t="s">
        <v>686</v>
      </c>
      <c r="N10" t="s">
        <v>687</v>
      </c>
      <c r="O10" t="s">
        <v>639</v>
      </c>
    </row>
    <row r="11" spans="1:15" hidden="1" x14ac:dyDescent="0.25">
      <c r="A11">
        <v>33</v>
      </c>
      <c r="B11" t="s">
        <v>1335</v>
      </c>
      <c r="C11" t="s">
        <v>659</v>
      </c>
      <c r="D11" t="s">
        <v>2139</v>
      </c>
      <c r="E11" t="s">
        <v>1344</v>
      </c>
      <c r="F11" t="s">
        <v>2133</v>
      </c>
      <c r="G11" t="s">
        <v>868</v>
      </c>
      <c r="H11" s="134" t="s">
        <v>1338</v>
      </c>
      <c r="I11" t="s">
        <v>789</v>
      </c>
      <c r="J11" t="s">
        <v>683</v>
      </c>
      <c r="K11" t="s">
        <v>684</v>
      </c>
      <c r="M11" t="s">
        <v>686</v>
      </c>
      <c r="N11" t="s">
        <v>687</v>
      </c>
      <c r="O11" t="s">
        <v>639</v>
      </c>
    </row>
    <row r="12" spans="1:15" hidden="1" x14ac:dyDescent="0.25">
      <c r="A12">
        <v>64</v>
      </c>
      <c r="B12" t="s">
        <v>1360</v>
      </c>
      <c r="C12" t="s">
        <v>659</v>
      </c>
      <c r="D12" t="s">
        <v>2140</v>
      </c>
      <c r="E12" t="s">
        <v>757</v>
      </c>
      <c r="F12" t="s">
        <v>765</v>
      </c>
      <c r="G12" t="s">
        <v>757</v>
      </c>
      <c r="H12" s="134" t="s">
        <v>1363</v>
      </c>
      <c r="I12" t="s">
        <v>2123</v>
      </c>
      <c r="J12" t="s">
        <v>683</v>
      </c>
      <c r="K12" t="s">
        <v>695</v>
      </c>
      <c r="L12" t="s">
        <v>761</v>
      </c>
      <c r="M12" t="s">
        <v>686</v>
      </c>
      <c r="N12" t="s">
        <v>687</v>
      </c>
      <c r="O12" t="s">
        <v>639</v>
      </c>
    </row>
    <row r="13" spans="1:15" hidden="1" x14ac:dyDescent="0.25">
      <c r="A13">
        <v>64</v>
      </c>
      <c r="B13" t="s">
        <v>1360</v>
      </c>
      <c r="C13" t="s">
        <v>659</v>
      </c>
      <c r="D13" t="s">
        <v>2141</v>
      </c>
      <c r="E13" t="s">
        <v>967</v>
      </c>
      <c r="F13" t="s">
        <v>757</v>
      </c>
      <c r="G13" t="s">
        <v>757</v>
      </c>
      <c r="H13" s="134" t="s">
        <v>1363</v>
      </c>
      <c r="I13" t="s">
        <v>2142</v>
      </c>
      <c r="J13" t="s">
        <v>683</v>
      </c>
      <c r="K13" t="s">
        <v>695</v>
      </c>
      <c r="L13" t="s">
        <v>761</v>
      </c>
      <c r="M13" t="s">
        <v>686</v>
      </c>
      <c r="N13" t="s">
        <v>687</v>
      </c>
      <c r="O13" t="s">
        <v>639</v>
      </c>
    </row>
    <row r="14" spans="1:15" hidden="1" x14ac:dyDescent="0.25">
      <c r="A14">
        <v>71</v>
      </c>
      <c r="B14" t="s">
        <v>1372</v>
      </c>
      <c r="C14" t="s">
        <v>659</v>
      </c>
      <c r="D14" t="s">
        <v>2143</v>
      </c>
      <c r="E14" t="s">
        <v>1373</v>
      </c>
      <c r="F14" t="s">
        <v>772</v>
      </c>
      <c r="G14" t="s">
        <v>1373</v>
      </c>
      <c r="H14" s="134" t="s">
        <v>1375</v>
      </c>
      <c r="I14" t="s">
        <v>789</v>
      </c>
      <c r="J14" t="s">
        <v>683</v>
      </c>
      <c r="K14" t="s">
        <v>695</v>
      </c>
      <c r="L14" t="s">
        <v>685</v>
      </c>
      <c r="M14" t="s">
        <v>686</v>
      </c>
      <c r="N14" t="s">
        <v>687</v>
      </c>
      <c r="O14" t="s">
        <v>639</v>
      </c>
    </row>
    <row r="15" spans="1:15" hidden="1" x14ac:dyDescent="0.25">
      <c r="A15">
        <v>71</v>
      </c>
      <c r="B15" t="s">
        <v>1372</v>
      </c>
      <c r="C15" t="s">
        <v>659</v>
      </c>
      <c r="D15" t="s">
        <v>2144</v>
      </c>
      <c r="E15" t="s">
        <v>891</v>
      </c>
      <c r="F15" t="s">
        <v>772</v>
      </c>
      <c r="G15" t="s">
        <v>1373</v>
      </c>
      <c r="H15" s="134" t="s">
        <v>1375</v>
      </c>
      <c r="I15" t="s">
        <v>789</v>
      </c>
      <c r="J15" t="s">
        <v>683</v>
      </c>
      <c r="K15" t="s">
        <v>684</v>
      </c>
      <c r="M15" t="s">
        <v>686</v>
      </c>
      <c r="N15" t="s">
        <v>687</v>
      </c>
      <c r="O15" t="s">
        <v>639</v>
      </c>
    </row>
    <row r="16" spans="1:15" hidden="1" x14ac:dyDescent="0.25">
      <c r="A16">
        <v>71</v>
      </c>
      <c r="B16" t="s">
        <v>1372</v>
      </c>
      <c r="C16" t="s">
        <v>659</v>
      </c>
      <c r="D16" t="s">
        <v>2145</v>
      </c>
      <c r="E16" t="s">
        <v>1373</v>
      </c>
      <c r="F16" t="s">
        <v>772</v>
      </c>
      <c r="G16" t="s">
        <v>1373</v>
      </c>
      <c r="H16" s="134" t="s">
        <v>1375</v>
      </c>
      <c r="I16" t="s">
        <v>789</v>
      </c>
      <c r="J16" t="s">
        <v>683</v>
      </c>
      <c r="K16" t="s">
        <v>684</v>
      </c>
      <c r="L16" t="s">
        <v>685</v>
      </c>
      <c r="M16" t="s">
        <v>686</v>
      </c>
      <c r="N16" t="s">
        <v>687</v>
      </c>
      <c r="O16" t="s">
        <v>639</v>
      </c>
    </row>
    <row r="17" spans="1:15" hidden="1" x14ac:dyDescent="0.25">
      <c r="A17">
        <v>71</v>
      </c>
      <c r="B17" t="s">
        <v>1372</v>
      </c>
      <c r="C17" t="s">
        <v>659</v>
      </c>
      <c r="D17" t="s">
        <v>2146</v>
      </c>
      <c r="E17" t="s">
        <v>721</v>
      </c>
      <c r="F17" t="s">
        <v>772</v>
      </c>
      <c r="G17" t="s">
        <v>1373</v>
      </c>
      <c r="H17" s="134" t="s">
        <v>1375</v>
      </c>
      <c r="I17" t="s">
        <v>789</v>
      </c>
      <c r="J17" t="s">
        <v>683</v>
      </c>
      <c r="K17" t="s">
        <v>684</v>
      </c>
      <c r="M17" t="s">
        <v>686</v>
      </c>
      <c r="N17" t="s">
        <v>687</v>
      </c>
      <c r="O17" t="s">
        <v>639</v>
      </c>
    </row>
    <row r="18" spans="1:15" hidden="1" x14ac:dyDescent="0.25">
      <c r="A18">
        <v>71</v>
      </c>
      <c r="B18" t="s">
        <v>1372</v>
      </c>
      <c r="C18" t="s">
        <v>659</v>
      </c>
      <c r="D18" t="s">
        <v>2147</v>
      </c>
      <c r="E18" t="s">
        <v>721</v>
      </c>
      <c r="F18" t="s">
        <v>772</v>
      </c>
      <c r="G18" t="s">
        <v>1373</v>
      </c>
      <c r="H18" s="134" t="s">
        <v>1375</v>
      </c>
      <c r="I18" t="s">
        <v>789</v>
      </c>
      <c r="J18" t="s">
        <v>683</v>
      </c>
      <c r="K18" t="s">
        <v>684</v>
      </c>
      <c r="M18" t="s">
        <v>686</v>
      </c>
      <c r="N18" t="s">
        <v>687</v>
      </c>
      <c r="O18" t="s">
        <v>639</v>
      </c>
    </row>
    <row r="19" spans="1:15" hidden="1" x14ac:dyDescent="0.25">
      <c r="A19">
        <v>71</v>
      </c>
      <c r="B19" t="s">
        <v>1372</v>
      </c>
      <c r="C19" t="s">
        <v>659</v>
      </c>
      <c r="D19" t="s">
        <v>2148</v>
      </c>
      <c r="E19" t="s">
        <v>721</v>
      </c>
      <c r="F19" t="s">
        <v>772</v>
      </c>
      <c r="G19" t="s">
        <v>1373</v>
      </c>
      <c r="H19" s="134" t="s">
        <v>1375</v>
      </c>
      <c r="I19" t="s">
        <v>789</v>
      </c>
      <c r="J19" t="s">
        <v>683</v>
      </c>
      <c r="K19" t="s">
        <v>684</v>
      </c>
      <c r="M19" t="s">
        <v>686</v>
      </c>
      <c r="N19" t="s">
        <v>687</v>
      </c>
      <c r="O19" t="s">
        <v>639</v>
      </c>
    </row>
    <row r="20" spans="1:15" hidden="1" x14ac:dyDescent="0.25">
      <c r="A20">
        <v>79</v>
      </c>
      <c r="B20" t="s">
        <v>688</v>
      </c>
      <c r="C20" t="s">
        <v>1247</v>
      </c>
      <c r="D20" t="s">
        <v>689</v>
      </c>
      <c r="E20" t="s">
        <v>662</v>
      </c>
      <c r="F20" t="s">
        <v>690</v>
      </c>
      <c r="G20" t="s">
        <v>690</v>
      </c>
      <c r="H20" s="134" t="s">
        <v>691</v>
      </c>
      <c r="J20" t="s">
        <v>683</v>
      </c>
      <c r="K20" t="s">
        <v>692</v>
      </c>
      <c r="L20" t="s">
        <v>685</v>
      </c>
      <c r="M20" t="s">
        <v>686</v>
      </c>
      <c r="N20" t="s">
        <v>687</v>
      </c>
      <c r="O20" t="s">
        <v>639</v>
      </c>
    </row>
    <row r="21" spans="1:15" hidden="1" x14ac:dyDescent="0.25">
      <c r="A21">
        <v>79</v>
      </c>
      <c r="B21" t="s">
        <v>688</v>
      </c>
      <c r="C21" t="s">
        <v>1247</v>
      </c>
      <c r="D21" t="s">
        <v>689</v>
      </c>
      <c r="E21" t="s">
        <v>662</v>
      </c>
      <c r="F21" t="s">
        <v>690</v>
      </c>
      <c r="G21" t="s">
        <v>690</v>
      </c>
      <c r="H21" s="134" t="s">
        <v>691</v>
      </c>
      <c r="J21" t="s">
        <v>683</v>
      </c>
      <c r="K21" t="s">
        <v>692</v>
      </c>
      <c r="L21" t="s">
        <v>7</v>
      </c>
      <c r="M21" t="s">
        <v>686</v>
      </c>
      <c r="N21" t="s">
        <v>687</v>
      </c>
      <c r="O21" t="s">
        <v>639</v>
      </c>
    </row>
    <row r="22" spans="1:15" hidden="1" x14ac:dyDescent="0.25">
      <c r="A22">
        <v>79</v>
      </c>
      <c r="B22" t="s">
        <v>688</v>
      </c>
      <c r="C22" t="s">
        <v>1247</v>
      </c>
      <c r="D22" t="s">
        <v>693</v>
      </c>
      <c r="E22" t="s">
        <v>662</v>
      </c>
      <c r="F22" t="s">
        <v>694</v>
      </c>
      <c r="G22" t="s">
        <v>690</v>
      </c>
      <c r="H22" s="134" t="s">
        <v>691</v>
      </c>
      <c r="J22" t="s">
        <v>683</v>
      </c>
      <c r="K22" t="s">
        <v>695</v>
      </c>
      <c r="L22" t="s">
        <v>685</v>
      </c>
      <c r="M22" t="s">
        <v>686</v>
      </c>
      <c r="N22" t="s">
        <v>687</v>
      </c>
      <c r="O22" t="s">
        <v>639</v>
      </c>
    </row>
    <row r="23" spans="1:15" hidden="1" x14ac:dyDescent="0.25">
      <c r="A23">
        <v>81</v>
      </c>
      <c r="B23" t="s">
        <v>696</v>
      </c>
      <c r="C23" t="s">
        <v>659</v>
      </c>
      <c r="D23" t="s">
        <v>697</v>
      </c>
      <c r="E23" t="s">
        <v>698</v>
      </c>
      <c r="F23" t="s">
        <v>699</v>
      </c>
      <c r="G23" t="s">
        <v>700</v>
      </c>
      <c r="H23" s="134" t="s">
        <v>701</v>
      </c>
      <c r="I23" t="s">
        <v>702</v>
      </c>
      <c r="J23" t="s">
        <v>683</v>
      </c>
      <c r="K23" t="s">
        <v>692</v>
      </c>
      <c r="L23" t="s">
        <v>685</v>
      </c>
      <c r="M23" t="s">
        <v>686</v>
      </c>
      <c r="N23" t="s">
        <v>687</v>
      </c>
      <c r="O23" t="s">
        <v>639</v>
      </c>
    </row>
    <row r="24" spans="1:15" hidden="1" x14ac:dyDescent="0.25">
      <c r="A24">
        <v>81</v>
      </c>
      <c r="B24" t="s">
        <v>696</v>
      </c>
      <c r="C24" t="s">
        <v>659</v>
      </c>
      <c r="D24" t="s">
        <v>703</v>
      </c>
      <c r="E24" t="s">
        <v>698</v>
      </c>
      <c r="F24" t="s">
        <v>699</v>
      </c>
      <c r="G24" t="s">
        <v>700</v>
      </c>
      <c r="H24" s="134" t="s">
        <v>701</v>
      </c>
      <c r="I24" t="s">
        <v>704</v>
      </c>
      <c r="J24" t="s">
        <v>683</v>
      </c>
      <c r="K24" t="s">
        <v>684</v>
      </c>
      <c r="L24" t="s">
        <v>685</v>
      </c>
      <c r="M24" t="s">
        <v>686</v>
      </c>
      <c r="N24" t="s">
        <v>687</v>
      </c>
      <c r="O24" t="s">
        <v>639</v>
      </c>
    </row>
    <row r="25" spans="1:15" hidden="1" x14ac:dyDescent="0.25">
      <c r="A25">
        <v>83</v>
      </c>
      <c r="B25" t="s">
        <v>705</v>
      </c>
      <c r="C25" t="s">
        <v>659</v>
      </c>
      <c r="D25" t="s">
        <v>706</v>
      </c>
      <c r="E25" t="s">
        <v>707</v>
      </c>
      <c r="F25" t="s">
        <v>680</v>
      </c>
      <c r="G25" t="s">
        <v>708</v>
      </c>
      <c r="H25" s="134" t="s">
        <v>709</v>
      </c>
      <c r="I25" t="s">
        <v>710</v>
      </c>
      <c r="J25" t="s">
        <v>683</v>
      </c>
      <c r="K25" t="s">
        <v>695</v>
      </c>
      <c r="L25" t="s">
        <v>685</v>
      </c>
      <c r="M25" t="s">
        <v>686</v>
      </c>
      <c r="N25" t="s">
        <v>687</v>
      </c>
      <c r="O25" t="s">
        <v>639</v>
      </c>
    </row>
    <row r="26" spans="1:15" hidden="1" x14ac:dyDescent="0.25">
      <c r="A26">
        <v>83</v>
      </c>
      <c r="B26" t="s">
        <v>705</v>
      </c>
      <c r="C26" t="s">
        <v>659</v>
      </c>
      <c r="D26" t="s">
        <v>711</v>
      </c>
      <c r="E26" t="s">
        <v>707</v>
      </c>
      <c r="F26" t="s">
        <v>680</v>
      </c>
      <c r="G26" t="s">
        <v>708</v>
      </c>
      <c r="H26" s="134" t="s">
        <v>709</v>
      </c>
      <c r="J26" t="s">
        <v>683</v>
      </c>
      <c r="K26" t="s">
        <v>684</v>
      </c>
      <c r="L26" t="s">
        <v>685</v>
      </c>
      <c r="M26" t="s">
        <v>686</v>
      </c>
      <c r="N26" t="s">
        <v>687</v>
      </c>
      <c r="O26" t="s">
        <v>639</v>
      </c>
    </row>
    <row r="27" spans="1:15" hidden="1" x14ac:dyDescent="0.25">
      <c r="A27">
        <v>83</v>
      </c>
      <c r="B27" t="s">
        <v>705</v>
      </c>
      <c r="C27" t="s">
        <v>659</v>
      </c>
      <c r="D27" t="s">
        <v>712</v>
      </c>
      <c r="E27" t="s">
        <v>707</v>
      </c>
      <c r="F27" t="s">
        <v>680</v>
      </c>
      <c r="G27" t="s">
        <v>708</v>
      </c>
      <c r="H27" s="134" t="s">
        <v>709</v>
      </c>
      <c r="J27" t="s">
        <v>683</v>
      </c>
      <c r="K27" t="s">
        <v>684</v>
      </c>
      <c r="L27" t="s">
        <v>685</v>
      </c>
      <c r="M27" t="s">
        <v>686</v>
      </c>
      <c r="N27" t="s">
        <v>687</v>
      </c>
      <c r="O27" t="s">
        <v>639</v>
      </c>
    </row>
    <row r="28" spans="1:15" hidden="1" x14ac:dyDescent="0.25">
      <c r="A28">
        <v>83</v>
      </c>
      <c r="B28" t="s">
        <v>705</v>
      </c>
      <c r="C28" t="s">
        <v>659</v>
      </c>
      <c r="D28" t="s">
        <v>713</v>
      </c>
      <c r="E28" t="s">
        <v>707</v>
      </c>
      <c r="F28" t="s">
        <v>680</v>
      </c>
      <c r="G28" t="s">
        <v>708</v>
      </c>
      <c r="H28" s="134" t="s">
        <v>709</v>
      </c>
      <c r="I28" t="s">
        <v>714</v>
      </c>
      <c r="J28" t="s">
        <v>683</v>
      </c>
      <c r="K28" t="s">
        <v>684</v>
      </c>
      <c r="L28" t="s">
        <v>685</v>
      </c>
      <c r="M28" t="s">
        <v>686</v>
      </c>
      <c r="N28" t="s">
        <v>687</v>
      </c>
      <c r="O28" t="s">
        <v>639</v>
      </c>
    </row>
    <row r="29" spans="1:15" hidden="1" x14ac:dyDescent="0.25">
      <c r="A29">
        <v>83</v>
      </c>
      <c r="B29" t="s">
        <v>705</v>
      </c>
      <c r="C29" t="s">
        <v>659</v>
      </c>
      <c r="D29" t="s">
        <v>715</v>
      </c>
      <c r="E29" t="s">
        <v>707</v>
      </c>
      <c r="F29" t="s">
        <v>680</v>
      </c>
      <c r="G29" t="s">
        <v>708</v>
      </c>
      <c r="H29" s="134" t="s">
        <v>709</v>
      </c>
      <c r="I29" t="s">
        <v>710</v>
      </c>
      <c r="J29" t="s">
        <v>683</v>
      </c>
      <c r="K29" t="s">
        <v>684</v>
      </c>
      <c r="L29" t="s">
        <v>685</v>
      </c>
      <c r="M29" t="s">
        <v>686</v>
      </c>
      <c r="N29" t="s">
        <v>687</v>
      </c>
      <c r="O29" t="s">
        <v>639</v>
      </c>
    </row>
    <row r="30" spans="1:15" hidden="1" x14ac:dyDescent="0.25">
      <c r="A30">
        <v>83</v>
      </c>
      <c r="B30" t="s">
        <v>705</v>
      </c>
      <c r="C30" t="s">
        <v>659</v>
      </c>
      <c r="D30" t="s">
        <v>716</v>
      </c>
      <c r="E30" t="s">
        <v>717</v>
      </c>
      <c r="F30" t="s">
        <v>680</v>
      </c>
      <c r="G30" t="s">
        <v>708</v>
      </c>
      <c r="H30" s="134" t="s">
        <v>709</v>
      </c>
      <c r="I30" t="s">
        <v>714</v>
      </c>
      <c r="J30" t="s">
        <v>683</v>
      </c>
      <c r="K30" t="s">
        <v>718</v>
      </c>
      <c r="L30" t="s">
        <v>685</v>
      </c>
      <c r="M30" t="s">
        <v>686</v>
      </c>
      <c r="N30" t="s">
        <v>687</v>
      </c>
      <c r="O30" t="s">
        <v>639</v>
      </c>
    </row>
    <row r="31" spans="1:15" hidden="1" x14ac:dyDescent="0.25">
      <c r="A31">
        <v>95</v>
      </c>
      <c r="B31" t="s">
        <v>1406</v>
      </c>
      <c r="C31" t="s">
        <v>659</v>
      </c>
      <c r="D31" t="s">
        <v>2149</v>
      </c>
      <c r="E31" t="s">
        <v>2150</v>
      </c>
      <c r="F31" t="s">
        <v>765</v>
      </c>
      <c r="G31" t="s">
        <v>757</v>
      </c>
      <c r="H31" s="134" t="s">
        <v>759</v>
      </c>
      <c r="I31" t="s">
        <v>2151</v>
      </c>
      <c r="J31" t="s">
        <v>683</v>
      </c>
      <c r="K31" t="s">
        <v>684</v>
      </c>
      <c r="L31" t="s">
        <v>761</v>
      </c>
      <c r="M31" t="s">
        <v>686</v>
      </c>
      <c r="N31" t="s">
        <v>687</v>
      </c>
      <c r="O31" t="s">
        <v>639</v>
      </c>
    </row>
    <row r="32" spans="1:15" hidden="1" x14ac:dyDescent="0.25">
      <c r="A32">
        <v>95</v>
      </c>
      <c r="B32" t="s">
        <v>1406</v>
      </c>
      <c r="C32" t="s">
        <v>659</v>
      </c>
      <c r="D32" t="s">
        <v>2152</v>
      </c>
      <c r="E32" t="s">
        <v>2150</v>
      </c>
      <c r="F32" t="s">
        <v>765</v>
      </c>
      <c r="G32" t="s">
        <v>757</v>
      </c>
      <c r="H32" s="134" t="s">
        <v>759</v>
      </c>
      <c r="J32" t="s">
        <v>683</v>
      </c>
      <c r="K32" t="s">
        <v>684</v>
      </c>
      <c r="L32" t="s">
        <v>761</v>
      </c>
      <c r="M32" t="s">
        <v>686</v>
      </c>
      <c r="N32" t="s">
        <v>687</v>
      </c>
      <c r="O32" t="s">
        <v>639</v>
      </c>
    </row>
    <row r="33" spans="1:15" hidden="1" x14ac:dyDescent="0.25">
      <c r="A33">
        <v>95</v>
      </c>
      <c r="B33" t="s">
        <v>1406</v>
      </c>
      <c r="C33" t="s">
        <v>659</v>
      </c>
      <c r="D33" t="s">
        <v>2153</v>
      </c>
      <c r="E33" t="s">
        <v>707</v>
      </c>
      <c r="F33" t="s">
        <v>765</v>
      </c>
      <c r="G33" t="s">
        <v>757</v>
      </c>
      <c r="H33" s="134" t="s">
        <v>759</v>
      </c>
      <c r="J33" t="s">
        <v>683</v>
      </c>
      <c r="K33" t="s">
        <v>718</v>
      </c>
      <c r="L33" t="s">
        <v>761</v>
      </c>
      <c r="M33" t="s">
        <v>686</v>
      </c>
      <c r="N33" t="s">
        <v>687</v>
      </c>
      <c r="O33" t="s">
        <v>639</v>
      </c>
    </row>
    <row r="34" spans="1:15" hidden="1" x14ac:dyDescent="0.25">
      <c r="A34">
        <v>99</v>
      </c>
      <c r="B34" t="s">
        <v>719</v>
      </c>
      <c r="C34" t="s">
        <v>659</v>
      </c>
      <c r="D34" t="s">
        <v>720</v>
      </c>
      <c r="E34" t="s">
        <v>721</v>
      </c>
      <c r="F34" t="s">
        <v>722</v>
      </c>
      <c r="G34" t="s">
        <v>722</v>
      </c>
      <c r="H34" s="134" t="s">
        <v>723</v>
      </c>
      <c r="I34" t="s">
        <v>724</v>
      </c>
      <c r="J34" t="s">
        <v>683</v>
      </c>
      <c r="K34" t="s">
        <v>684</v>
      </c>
      <c r="L34" t="s">
        <v>6</v>
      </c>
      <c r="M34" t="s">
        <v>686</v>
      </c>
      <c r="N34" t="s">
        <v>687</v>
      </c>
      <c r="O34" t="s">
        <v>639</v>
      </c>
    </row>
    <row r="35" spans="1:15" hidden="1" x14ac:dyDescent="0.25">
      <c r="A35">
        <v>99</v>
      </c>
      <c r="B35" t="s">
        <v>719</v>
      </c>
      <c r="C35" t="s">
        <v>659</v>
      </c>
      <c r="D35" t="s">
        <v>725</v>
      </c>
      <c r="E35" t="s">
        <v>722</v>
      </c>
      <c r="F35" t="s">
        <v>721</v>
      </c>
      <c r="G35" t="s">
        <v>722</v>
      </c>
      <c r="H35" s="134" t="s">
        <v>723</v>
      </c>
      <c r="I35" t="s">
        <v>726</v>
      </c>
      <c r="J35" t="s">
        <v>683</v>
      </c>
      <c r="K35" t="s">
        <v>684</v>
      </c>
      <c r="L35" t="s">
        <v>685</v>
      </c>
      <c r="M35" t="s">
        <v>686</v>
      </c>
      <c r="N35" t="s">
        <v>687</v>
      </c>
      <c r="O35" t="s">
        <v>639</v>
      </c>
    </row>
    <row r="36" spans="1:15" hidden="1" x14ac:dyDescent="0.25">
      <c r="A36">
        <v>99</v>
      </c>
      <c r="B36" t="s">
        <v>719</v>
      </c>
      <c r="C36" t="s">
        <v>659</v>
      </c>
      <c r="D36" t="s">
        <v>727</v>
      </c>
      <c r="E36" t="s">
        <v>722</v>
      </c>
      <c r="F36" t="s">
        <v>721</v>
      </c>
      <c r="G36" t="s">
        <v>722</v>
      </c>
      <c r="H36" s="134" t="s">
        <v>723</v>
      </c>
      <c r="I36" t="s">
        <v>726</v>
      </c>
      <c r="J36" t="s">
        <v>683</v>
      </c>
      <c r="K36" t="s">
        <v>684</v>
      </c>
      <c r="L36" t="s">
        <v>685</v>
      </c>
      <c r="M36" t="s">
        <v>686</v>
      </c>
      <c r="N36" t="s">
        <v>687</v>
      </c>
      <c r="O36" t="s">
        <v>639</v>
      </c>
    </row>
    <row r="37" spans="1:15" hidden="1" x14ac:dyDescent="0.25">
      <c r="A37">
        <v>99</v>
      </c>
      <c r="B37" t="s">
        <v>719</v>
      </c>
      <c r="C37" t="s">
        <v>659</v>
      </c>
      <c r="D37" t="s">
        <v>728</v>
      </c>
      <c r="E37" t="s">
        <v>722</v>
      </c>
      <c r="F37" t="s">
        <v>721</v>
      </c>
      <c r="G37" t="s">
        <v>722</v>
      </c>
      <c r="H37" s="134" t="s">
        <v>723</v>
      </c>
      <c r="I37" t="s">
        <v>726</v>
      </c>
      <c r="J37" t="s">
        <v>683</v>
      </c>
      <c r="K37" t="s">
        <v>684</v>
      </c>
      <c r="L37" t="s">
        <v>685</v>
      </c>
      <c r="M37" t="s">
        <v>686</v>
      </c>
      <c r="N37" t="s">
        <v>687</v>
      </c>
      <c r="O37" t="s">
        <v>639</v>
      </c>
    </row>
    <row r="38" spans="1:15" hidden="1" x14ac:dyDescent="0.25">
      <c r="A38">
        <v>99</v>
      </c>
      <c r="B38" t="s">
        <v>719</v>
      </c>
      <c r="C38" t="s">
        <v>659</v>
      </c>
      <c r="D38" t="s">
        <v>729</v>
      </c>
      <c r="E38" t="s">
        <v>722</v>
      </c>
      <c r="F38" t="s">
        <v>721</v>
      </c>
      <c r="G38" t="s">
        <v>722</v>
      </c>
      <c r="H38" s="134" t="s">
        <v>723</v>
      </c>
      <c r="I38" t="s">
        <v>726</v>
      </c>
      <c r="J38" t="s">
        <v>683</v>
      </c>
      <c r="K38" t="s">
        <v>684</v>
      </c>
      <c r="L38" t="s">
        <v>685</v>
      </c>
      <c r="M38" t="s">
        <v>686</v>
      </c>
      <c r="N38" t="s">
        <v>687</v>
      </c>
      <c r="O38" t="s">
        <v>639</v>
      </c>
    </row>
    <row r="39" spans="1:15" hidden="1" x14ac:dyDescent="0.25">
      <c r="A39">
        <v>100</v>
      </c>
      <c r="B39" t="s">
        <v>1422</v>
      </c>
      <c r="C39" t="s">
        <v>1153</v>
      </c>
      <c r="D39" t="s">
        <v>2154</v>
      </c>
      <c r="G39" t="s">
        <v>1423</v>
      </c>
      <c r="H39" s="134" t="s">
        <v>1425</v>
      </c>
      <c r="J39" t="s">
        <v>858</v>
      </c>
      <c r="N39" t="s">
        <v>639</v>
      </c>
      <c r="O39" t="s">
        <v>639</v>
      </c>
    </row>
    <row r="40" spans="1:15" hidden="1" x14ac:dyDescent="0.25">
      <c r="A40">
        <v>100</v>
      </c>
      <c r="B40" t="s">
        <v>1422</v>
      </c>
      <c r="C40" t="s">
        <v>1153</v>
      </c>
      <c r="D40" t="s">
        <v>2155</v>
      </c>
      <c r="G40" t="s">
        <v>1423</v>
      </c>
      <c r="H40" s="134" t="s">
        <v>1425</v>
      </c>
      <c r="J40" t="s">
        <v>858</v>
      </c>
      <c r="N40" t="s">
        <v>639</v>
      </c>
      <c r="O40" t="s">
        <v>639</v>
      </c>
    </row>
    <row r="41" spans="1:15" hidden="1" x14ac:dyDescent="0.25">
      <c r="A41">
        <v>100</v>
      </c>
      <c r="B41" t="s">
        <v>1422</v>
      </c>
      <c r="C41" t="s">
        <v>1153</v>
      </c>
      <c r="D41" t="s">
        <v>2156</v>
      </c>
      <c r="G41" t="s">
        <v>1423</v>
      </c>
      <c r="H41" s="134" t="s">
        <v>1425</v>
      </c>
      <c r="J41" t="s">
        <v>858</v>
      </c>
      <c r="N41" t="s">
        <v>639</v>
      </c>
      <c r="O41" t="s">
        <v>639</v>
      </c>
    </row>
    <row r="42" spans="1:15" hidden="1" x14ac:dyDescent="0.25">
      <c r="A42">
        <v>105</v>
      </c>
      <c r="B42" t="s">
        <v>1433</v>
      </c>
      <c r="C42" t="s">
        <v>659</v>
      </c>
      <c r="D42" t="s">
        <v>2157</v>
      </c>
      <c r="E42" t="s">
        <v>765</v>
      </c>
      <c r="F42" t="s">
        <v>758</v>
      </c>
      <c r="G42" t="s">
        <v>765</v>
      </c>
      <c r="H42" s="134" t="s">
        <v>824</v>
      </c>
      <c r="I42" t="s">
        <v>742</v>
      </c>
      <c r="J42" t="s">
        <v>683</v>
      </c>
      <c r="K42" t="s">
        <v>695</v>
      </c>
      <c r="L42" t="s">
        <v>761</v>
      </c>
      <c r="M42" t="s">
        <v>686</v>
      </c>
      <c r="N42" t="s">
        <v>687</v>
      </c>
      <c r="O42" t="s">
        <v>639</v>
      </c>
    </row>
    <row r="43" spans="1:15" hidden="1" x14ac:dyDescent="0.25">
      <c r="A43">
        <v>105</v>
      </c>
      <c r="B43" t="s">
        <v>1433</v>
      </c>
      <c r="C43" t="s">
        <v>659</v>
      </c>
      <c r="D43" t="s">
        <v>2158</v>
      </c>
      <c r="E43" t="s">
        <v>1437</v>
      </c>
      <c r="F43" t="s">
        <v>758</v>
      </c>
      <c r="G43" t="s">
        <v>765</v>
      </c>
      <c r="H43" s="134" t="s">
        <v>824</v>
      </c>
      <c r="I43" t="s">
        <v>742</v>
      </c>
      <c r="J43" t="s">
        <v>683</v>
      </c>
      <c r="K43" t="s">
        <v>695</v>
      </c>
      <c r="L43" t="s">
        <v>761</v>
      </c>
      <c r="M43" t="s">
        <v>686</v>
      </c>
      <c r="N43" t="s">
        <v>687</v>
      </c>
      <c r="O43" t="s">
        <v>639</v>
      </c>
    </row>
    <row r="44" spans="1:15" hidden="1" x14ac:dyDescent="0.25">
      <c r="A44">
        <v>108</v>
      </c>
      <c r="B44" t="s">
        <v>730</v>
      </c>
      <c r="C44" t="s">
        <v>659</v>
      </c>
      <c r="D44" t="s">
        <v>731</v>
      </c>
      <c r="E44" t="s">
        <v>658</v>
      </c>
      <c r="F44" t="s">
        <v>694</v>
      </c>
      <c r="G44" t="s">
        <v>658</v>
      </c>
      <c r="H44" s="134" t="s">
        <v>732</v>
      </c>
      <c r="I44" t="s">
        <v>733</v>
      </c>
      <c r="J44" t="s">
        <v>683</v>
      </c>
      <c r="K44" t="s">
        <v>695</v>
      </c>
      <c r="L44" t="s">
        <v>734</v>
      </c>
      <c r="M44" t="s">
        <v>686</v>
      </c>
      <c r="N44" t="s">
        <v>687</v>
      </c>
      <c r="O44" t="s">
        <v>639</v>
      </c>
    </row>
    <row r="45" spans="1:15" hidden="1" x14ac:dyDescent="0.25">
      <c r="A45">
        <v>108</v>
      </c>
      <c r="B45" t="s">
        <v>730</v>
      </c>
      <c r="C45" t="s">
        <v>659</v>
      </c>
      <c r="D45" t="s">
        <v>735</v>
      </c>
      <c r="E45" t="s">
        <v>662</v>
      </c>
      <c r="F45" t="s">
        <v>658</v>
      </c>
      <c r="G45" t="s">
        <v>658</v>
      </c>
      <c r="H45" s="134" t="s">
        <v>732</v>
      </c>
      <c r="I45" t="s">
        <v>736</v>
      </c>
      <c r="J45" t="s">
        <v>683</v>
      </c>
      <c r="K45" t="s">
        <v>695</v>
      </c>
      <c r="L45" t="s">
        <v>685</v>
      </c>
      <c r="M45" t="s">
        <v>686</v>
      </c>
      <c r="N45" t="s">
        <v>687</v>
      </c>
      <c r="O45" t="s">
        <v>639</v>
      </c>
    </row>
    <row r="46" spans="1:15" hidden="1" x14ac:dyDescent="0.25">
      <c r="A46">
        <v>108</v>
      </c>
      <c r="B46" t="s">
        <v>730</v>
      </c>
      <c r="C46" t="s">
        <v>659</v>
      </c>
      <c r="D46" t="s">
        <v>737</v>
      </c>
      <c r="E46" t="s">
        <v>662</v>
      </c>
      <c r="F46" t="s">
        <v>658</v>
      </c>
      <c r="G46" t="s">
        <v>658</v>
      </c>
      <c r="H46" s="134" t="s">
        <v>732</v>
      </c>
      <c r="J46" t="s">
        <v>683</v>
      </c>
      <c r="K46" t="s">
        <v>695</v>
      </c>
      <c r="L46" t="s">
        <v>7</v>
      </c>
      <c r="M46" t="s">
        <v>686</v>
      </c>
      <c r="N46" t="s">
        <v>687</v>
      </c>
      <c r="O46" t="s">
        <v>639</v>
      </c>
    </row>
    <row r="47" spans="1:15" hidden="1" x14ac:dyDescent="0.25">
      <c r="A47">
        <v>108</v>
      </c>
      <c r="B47" t="s">
        <v>730</v>
      </c>
      <c r="C47" t="s">
        <v>659</v>
      </c>
      <c r="D47" t="s">
        <v>738</v>
      </c>
      <c r="E47" t="s">
        <v>662</v>
      </c>
      <c r="F47" t="s">
        <v>658</v>
      </c>
      <c r="G47" t="s">
        <v>658</v>
      </c>
      <c r="H47" s="134" t="s">
        <v>732</v>
      </c>
      <c r="J47" t="s">
        <v>683</v>
      </c>
      <c r="K47" t="s">
        <v>695</v>
      </c>
      <c r="L47" t="s">
        <v>685</v>
      </c>
      <c r="M47" t="s">
        <v>686</v>
      </c>
      <c r="N47" t="s">
        <v>687</v>
      </c>
      <c r="O47" t="s">
        <v>639</v>
      </c>
    </row>
    <row r="48" spans="1:15" hidden="1" x14ac:dyDescent="0.25">
      <c r="A48">
        <v>108</v>
      </c>
      <c r="B48" t="s">
        <v>730</v>
      </c>
      <c r="C48" t="s">
        <v>659</v>
      </c>
      <c r="D48" t="s">
        <v>739</v>
      </c>
      <c r="E48" t="s">
        <v>662</v>
      </c>
      <c r="F48" t="s">
        <v>658</v>
      </c>
      <c r="G48" t="s">
        <v>658</v>
      </c>
      <c r="H48" s="134" t="s">
        <v>732</v>
      </c>
      <c r="I48" t="s">
        <v>740</v>
      </c>
      <c r="J48" t="s">
        <v>683</v>
      </c>
      <c r="K48" t="s">
        <v>684</v>
      </c>
      <c r="L48" t="s">
        <v>7</v>
      </c>
      <c r="M48" t="s">
        <v>686</v>
      </c>
      <c r="N48" t="s">
        <v>687</v>
      </c>
      <c r="O48" t="s">
        <v>639</v>
      </c>
    </row>
    <row r="49" spans="1:15" hidden="1" x14ac:dyDescent="0.25">
      <c r="A49">
        <v>108</v>
      </c>
      <c r="B49" t="s">
        <v>730</v>
      </c>
      <c r="C49" t="s">
        <v>659</v>
      </c>
      <c r="D49" t="s">
        <v>741</v>
      </c>
      <c r="E49" t="s">
        <v>662</v>
      </c>
      <c r="F49" t="s">
        <v>658</v>
      </c>
      <c r="G49" t="s">
        <v>658</v>
      </c>
      <c r="H49" s="134" t="s">
        <v>732</v>
      </c>
      <c r="I49" t="s">
        <v>742</v>
      </c>
      <c r="J49" t="s">
        <v>683</v>
      </c>
      <c r="K49" t="s">
        <v>684</v>
      </c>
      <c r="L49" t="s">
        <v>7</v>
      </c>
      <c r="M49" t="s">
        <v>686</v>
      </c>
      <c r="N49" t="s">
        <v>687</v>
      </c>
      <c r="O49" t="s">
        <v>639</v>
      </c>
    </row>
    <row r="50" spans="1:15" hidden="1" x14ac:dyDescent="0.25">
      <c r="A50">
        <v>108</v>
      </c>
      <c r="B50" t="s">
        <v>730</v>
      </c>
      <c r="C50" t="s">
        <v>659</v>
      </c>
      <c r="D50" t="s">
        <v>743</v>
      </c>
      <c r="E50" t="s">
        <v>662</v>
      </c>
      <c r="F50" t="s">
        <v>658</v>
      </c>
      <c r="G50" t="s">
        <v>658</v>
      </c>
      <c r="H50" s="134" t="s">
        <v>732</v>
      </c>
      <c r="I50" t="s">
        <v>736</v>
      </c>
      <c r="J50" t="s">
        <v>683</v>
      </c>
      <c r="K50" t="s">
        <v>684</v>
      </c>
      <c r="L50" t="s">
        <v>685</v>
      </c>
      <c r="M50" t="s">
        <v>686</v>
      </c>
      <c r="N50" t="s">
        <v>687</v>
      </c>
      <c r="O50" t="s">
        <v>639</v>
      </c>
    </row>
    <row r="51" spans="1:15" hidden="1" x14ac:dyDescent="0.25">
      <c r="A51">
        <v>110</v>
      </c>
      <c r="B51" t="s">
        <v>744</v>
      </c>
      <c r="C51" t="s">
        <v>659</v>
      </c>
      <c r="D51" t="s">
        <v>745</v>
      </c>
      <c r="E51" t="s">
        <v>746</v>
      </c>
      <c r="F51" t="s">
        <v>658</v>
      </c>
      <c r="G51" t="s">
        <v>662</v>
      </c>
      <c r="H51" s="134" t="s">
        <v>747</v>
      </c>
      <c r="I51" t="s">
        <v>748</v>
      </c>
      <c r="J51" t="s">
        <v>683</v>
      </c>
      <c r="K51" t="s">
        <v>695</v>
      </c>
      <c r="L51" t="s">
        <v>685</v>
      </c>
      <c r="M51" t="s">
        <v>686</v>
      </c>
      <c r="N51" t="s">
        <v>687</v>
      </c>
      <c r="O51" t="s">
        <v>639</v>
      </c>
    </row>
    <row r="52" spans="1:15" hidden="1" x14ac:dyDescent="0.25">
      <c r="A52">
        <v>110</v>
      </c>
      <c r="B52" t="s">
        <v>744</v>
      </c>
      <c r="C52" t="s">
        <v>659</v>
      </c>
      <c r="D52" t="s">
        <v>749</v>
      </c>
      <c r="E52" t="s">
        <v>746</v>
      </c>
      <c r="F52" t="s">
        <v>658</v>
      </c>
      <c r="G52" t="s">
        <v>662</v>
      </c>
      <c r="H52" s="134" t="s">
        <v>747</v>
      </c>
      <c r="I52" t="s">
        <v>750</v>
      </c>
      <c r="J52" t="s">
        <v>683</v>
      </c>
      <c r="K52" t="s">
        <v>684</v>
      </c>
      <c r="L52" t="s">
        <v>685</v>
      </c>
      <c r="M52" t="s">
        <v>686</v>
      </c>
      <c r="N52" t="s">
        <v>687</v>
      </c>
      <c r="O52" t="s">
        <v>639</v>
      </c>
    </row>
    <row r="53" spans="1:15" hidden="1" x14ac:dyDescent="0.25">
      <c r="A53">
        <v>110</v>
      </c>
      <c r="B53" t="s">
        <v>744</v>
      </c>
      <c r="C53" t="s">
        <v>659</v>
      </c>
      <c r="D53" t="s">
        <v>751</v>
      </c>
      <c r="E53" t="s">
        <v>746</v>
      </c>
      <c r="F53" t="s">
        <v>658</v>
      </c>
      <c r="G53" t="s">
        <v>662</v>
      </c>
      <c r="H53" s="134" t="s">
        <v>747</v>
      </c>
      <c r="I53" t="s">
        <v>750</v>
      </c>
      <c r="J53" t="s">
        <v>683</v>
      </c>
      <c r="K53" t="s">
        <v>684</v>
      </c>
      <c r="L53" t="s">
        <v>685</v>
      </c>
      <c r="M53" t="s">
        <v>686</v>
      </c>
      <c r="N53" t="s">
        <v>687</v>
      </c>
      <c r="O53" t="s">
        <v>639</v>
      </c>
    </row>
    <row r="54" spans="1:15" hidden="1" x14ac:dyDescent="0.25">
      <c r="A54">
        <v>110</v>
      </c>
      <c r="B54" t="s">
        <v>744</v>
      </c>
      <c r="C54" t="s">
        <v>659</v>
      </c>
      <c r="D54" t="s">
        <v>752</v>
      </c>
      <c r="E54" t="s">
        <v>746</v>
      </c>
      <c r="F54" t="s">
        <v>658</v>
      </c>
      <c r="G54" t="s">
        <v>662</v>
      </c>
      <c r="H54" s="134" t="s">
        <v>747</v>
      </c>
      <c r="I54" t="s">
        <v>753</v>
      </c>
      <c r="J54" t="s">
        <v>683</v>
      </c>
      <c r="K54" t="s">
        <v>684</v>
      </c>
      <c r="L54" t="s">
        <v>685</v>
      </c>
      <c r="M54" t="s">
        <v>686</v>
      </c>
      <c r="N54" t="s">
        <v>687</v>
      </c>
      <c r="O54" t="s">
        <v>639</v>
      </c>
    </row>
    <row r="55" spans="1:15" hidden="1" x14ac:dyDescent="0.25">
      <c r="A55">
        <v>110</v>
      </c>
      <c r="B55" t="s">
        <v>744</v>
      </c>
      <c r="C55" t="s">
        <v>659</v>
      </c>
      <c r="D55" t="s">
        <v>751</v>
      </c>
      <c r="E55" t="s">
        <v>746</v>
      </c>
      <c r="F55" t="s">
        <v>658</v>
      </c>
      <c r="G55" t="s">
        <v>662</v>
      </c>
      <c r="H55" s="134" t="s">
        <v>747</v>
      </c>
      <c r="I55" t="s">
        <v>750</v>
      </c>
      <c r="J55" t="s">
        <v>683</v>
      </c>
      <c r="K55" t="s">
        <v>684</v>
      </c>
      <c r="L55" t="s">
        <v>685</v>
      </c>
      <c r="M55" t="s">
        <v>686</v>
      </c>
      <c r="N55" t="s">
        <v>687</v>
      </c>
      <c r="O55" t="s">
        <v>639</v>
      </c>
    </row>
    <row r="56" spans="1:15" hidden="1" x14ac:dyDescent="0.25">
      <c r="A56">
        <v>110</v>
      </c>
      <c r="B56" t="s">
        <v>744</v>
      </c>
      <c r="C56" t="s">
        <v>659</v>
      </c>
      <c r="D56" t="s">
        <v>754</v>
      </c>
      <c r="E56" t="s">
        <v>746</v>
      </c>
      <c r="F56" t="s">
        <v>658</v>
      </c>
      <c r="G56" t="s">
        <v>662</v>
      </c>
      <c r="H56" s="134" t="s">
        <v>747</v>
      </c>
      <c r="I56" t="s">
        <v>750</v>
      </c>
      <c r="J56" t="s">
        <v>683</v>
      </c>
      <c r="K56" t="s">
        <v>684</v>
      </c>
      <c r="L56" t="s">
        <v>685</v>
      </c>
      <c r="M56" t="s">
        <v>686</v>
      </c>
      <c r="N56" t="s">
        <v>687</v>
      </c>
      <c r="O56" t="s">
        <v>639</v>
      </c>
    </row>
    <row r="57" spans="1:15" hidden="1" x14ac:dyDescent="0.25">
      <c r="A57">
        <v>112</v>
      </c>
      <c r="B57" t="s">
        <v>755</v>
      </c>
      <c r="C57" t="s">
        <v>659</v>
      </c>
      <c r="D57" t="s">
        <v>756</v>
      </c>
      <c r="E57" t="s">
        <v>757</v>
      </c>
      <c r="F57" t="s">
        <v>758</v>
      </c>
      <c r="G57" t="s">
        <v>757</v>
      </c>
      <c r="H57" s="134" t="s">
        <v>759</v>
      </c>
      <c r="I57" t="s">
        <v>760</v>
      </c>
      <c r="J57" t="s">
        <v>683</v>
      </c>
      <c r="K57" t="s">
        <v>684</v>
      </c>
      <c r="L57" t="s">
        <v>761</v>
      </c>
      <c r="M57" t="s">
        <v>686</v>
      </c>
      <c r="N57" t="s">
        <v>687</v>
      </c>
      <c r="O57" t="s">
        <v>639</v>
      </c>
    </row>
    <row r="58" spans="1:15" hidden="1" x14ac:dyDescent="0.25">
      <c r="A58">
        <v>112</v>
      </c>
      <c r="B58" t="s">
        <v>755</v>
      </c>
      <c r="C58" t="s">
        <v>659</v>
      </c>
      <c r="D58" t="s">
        <v>762</v>
      </c>
      <c r="E58" t="s">
        <v>757</v>
      </c>
      <c r="F58" t="s">
        <v>758</v>
      </c>
      <c r="G58" t="s">
        <v>757</v>
      </c>
      <c r="H58" s="134" t="s">
        <v>759</v>
      </c>
      <c r="I58" t="s">
        <v>763</v>
      </c>
      <c r="J58" t="s">
        <v>683</v>
      </c>
      <c r="K58" t="s">
        <v>684</v>
      </c>
      <c r="L58" t="s">
        <v>761</v>
      </c>
      <c r="M58" t="s">
        <v>686</v>
      </c>
      <c r="N58" t="s">
        <v>687</v>
      </c>
      <c r="O58" t="s">
        <v>639</v>
      </c>
    </row>
    <row r="59" spans="1:15" hidden="1" x14ac:dyDescent="0.25">
      <c r="A59">
        <v>112</v>
      </c>
      <c r="B59" t="s">
        <v>755</v>
      </c>
      <c r="C59" t="s">
        <v>659</v>
      </c>
      <c r="D59" t="s">
        <v>764</v>
      </c>
      <c r="E59" t="s">
        <v>765</v>
      </c>
      <c r="F59" t="s">
        <v>766</v>
      </c>
      <c r="G59" t="s">
        <v>757</v>
      </c>
      <c r="H59" s="134" t="s">
        <v>759</v>
      </c>
      <c r="I59" t="s">
        <v>767</v>
      </c>
      <c r="J59" t="s">
        <v>683</v>
      </c>
      <c r="K59" t="s">
        <v>684</v>
      </c>
      <c r="L59" t="s">
        <v>761</v>
      </c>
      <c r="M59" t="s">
        <v>686</v>
      </c>
      <c r="N59" t="s">
        <v>687</v>
      </c>
      <c r="O59" t="s">
        <v>639</v>
      </c>
    </row>
    <row r="60" spans="1:15" hidden="1" x14ac:dyDescent="0.25">
      <c r="A60">
        <v>114</v>
      </c>
      <c r="B60" t="s">
        <v>768</v>
      </c>
      <c r="C60" t="s">
        <v>659</v>
      </c>
      <c r="D60" t="s">
        <v>769</v>
      </c>
      <c r="E60" t="s">
        <v>770</v>
      </c>
      <c r="F60" t="s">
        <v>771</v>
      </c>
      <c r="G60" t="s">
        <v>771</v>
      </c>
      <c r="H60" s="134" t="s">
        <v>772</v>
      </c>
      <c r="J60" t="s">
        <v>683</v>
      </c>
      <c r="L60" t="s">
        <v>685</v>
      </c>
      <c r="M60" t="s">
        <v>686</v>
      </c>
      <c r="N60" t="s">
        <v>687</v>
      </c>
      <c r="O60" t="s">
        <v>639</v>
      </c>
    </row>
    <row r="61" spans="1:15" hidden="1" x14ac:dyDescent="0.25">
      <c r="A61">
        <v>114</v>
      </c>
      <c r="B61" t="s">
        <v>768</v>
      </c>
      <c r="C61" t="s">
        <v>659</v>
      </c>
      <c r="D61" t="s">
        <v>773</v>
      </c>
      <c r="E61" t="s">
        <v>774</v>
      </c>
      <c r="F61" t="s">
        <v>680</v>
      </c>
      <c r="G61" t="s">
        <v>771</v>
      </c>
      <c r="H61" s="134" t="s">
        <v>772</v>
      </c>
      <c r="J61" t="s">
        <v>683</v>
      </c>
      <c r="K61" t="s">
        <v>695</v>
      </c>
      <c r="L61" t="s">
        <v>685</v>
      </c>
      <c r="M61" t="s">
        <v>686</v>
      </c>
      <c r="N61" t="s">
        <v>687</v>
      </c>
      <c r="O61" t="s">
        <v>639</v>
      </c>
    </row>
    <row r="62" spans="1:15" hidden="1" x14ac:dyDescent="0.25">
      <c r="A62">
        <v>114</v>
      </c>
      <c r="B62" t="s">
        <v>768</v>
      </c>
      <c r="C62" t="s">
        <v>659</v>
      </c>
      <c r="D62" t="s">
        <v>775</v>
      </c>
      <c r="E62" t="s">
        <v>774</v>
      </c>
      <c r="F62" t="s">
        <v>680</v>
      </c>
      <c r="G62" t="s">
        <v>771</v>
      </c>
      <c r="H62" s="134" t="s">
        <v>772</v>
      </c>
      <c r="I62" t="s">
        <v>776</v>
      </c>
      <c r="J62" t="s">
        <v>683</v>
      </c>
      <c r="K62" t="s">
        <v>695</v>
      </c>
      <c r="L62" t="s">
        <v>685</v>
      </c>
      <c r="M62" t="s">
        <v>686</v>
      </c>
      <c r="N62" t="s">
        <v>687</v>
      </c>
      <c r="O62" t="s">
        <v>639</v>
      </c>
    </row>
    <row r="63" spans="1:15" hidden="1" x14ac:dyDescent="0.25">
      <c r="A63">
        <v>114</v>
      </c>
      <c r="B63" t="s">
        <v>768</v>
      </c>
      <c r="C63" t="s">
        <v>659</v>
      </c>
      <c r="D63" t="s">
        <v>777</v>
      </c>
      <c r="E63" t="s">
        <v>771</v>
      </c>
      <c r="F63" t="s">
        <v>680</v>
      </c>
      <c r="G63" t="s">
        <v>771</v>
      </c>
      <c r="H63" s="134" t="s">
        <v>772</v>
      </c>
      <c r="I63" t="s">
        <v>778</v>
      </c>
      <c r="J63" t="s">
        <v>683</v>
      </c>
      <c r="K63" t="s">
        <v>695</v>
      </c>
      <c r="L63" t="s">
        <v>685</v>
      </c>
      <c r="M63" t="s">
        <v>686</v>
      </c>
      <c r="N63" t="s">
        <v>687</v>
      </c>
      <c r="O63" t="s">
        <v>639</v>
      </c>
    </row>
    <row r="64" spans="1:15" ht="30" hidden="1" x14ac:dyDescent="0.25">
      <c r="A64">
        <v>116</v>
      </c>
      <c r="B64" t="s">
        <v>779</v>
      </c>
      <c r="C64" t="s">
        <v>659</v>
      </c>
      <c r="D64" s="273" t="s">
        <v>780</v>
      </c>
      <c r="E64" t="s">
        <v>781</v>
      </c>
      <c r="F64" t="s">
        <v>680</v>
      </c>
      <c r="G64" t="s">
        <v>781</v>
      </c>
      <c r="H64" s="134" t="s">
        <v>772</v>
      </c>
      <c r="J64" t="s">
        <v>683</v>
      </c>
      <c r="K64" t="s">
        <v>684</v>
      </c>
      <c r="L64" t="s">
        <v>6</v>
      </c>
      <c r="M64" t="s">
        <v>686</v>
      </c>
      <c r="N64" t="s">
        <v>687</v>
      </c>
      <c r="O64" t="s">
        <v>639</v>
      </c>
    </row>
    <row r="65" spans="1:15" ht="30" hidden="1" x14ac:dyDescent="0.25">
      <c r="A65">
        <v>116</v>
      </c>
      <c r="B65" t="s">
        <v>779</v>
      </c>
      <c r="C65" t="s">
        <v>659</v>
      </c>
      <c r="D65" s="273" t="s">
        <v>782</v>
      </c>
      <c r="E65" t="s">
        <v>781</v>
      </c>
      <c r="F65" t="s">
        <v>680</v>
      </c>
      <c r="G65" t="s">
        <v>781</v>
      </c>
      <c r="H65" s="134" t="s">
        <v>772</v>
      </c>
      <c r="I65" t="s">
        <v>783</v>
      </c>
      <c r="J65" t="s">
        <v>683</v>
      </c>
      <c r="K65" t="s">
        <v>684</v>
      </c>
      <c r="L65" t="s">
        <v>6</v>
      </c>
      <c r="M65" t="s">
        <v>686</v>
      </c>
      <c r="N65" t="s">
        <v>687</v>
      </c>
      <c r="O65" t="s">
        <v>639</v>
      </c>
    </row>
    <row r="66" spans="1:15" hidden="1" x14ac:dyDescent="0.25">
      <c r="A66">
        <v>117</v>
      </c>
      <c r="B66" t="s">
        <v>784</v>
      </c>
      <c r="C66" t="s">
        <v>659</v>
      </c>
      <c r="D66" t="s">
        <v>785</v>
      </c>
      <c r="E66" t="s">
        <v>786</v>
      </c>
      <c r="F66" t="s">
        <v>758</v>
      </c>
      <c r="G66" t="s">
        <v>787</v>
      </c>
      <c r="H66" s="134" t="s">
        <v>788</v>
      </c>
      <c r="I66" t="s">
        <v>789</v>
      </c>
      <c r="J66" t="s">
        <v>683</v>
      </c>
      <c r="K66" t="s">
        <v>695</v>
      </c>
      <c r="L66" t="s">
        <v>761</v>
      </c>
      <c r="M66" t="s">
        <v>686</v>
      </c>
      <c r="N66" t="s">
        <v>687</v>
      </c>
      <c r="O66" t="s">
        <v>639</v>
      </c>
    </row>
    <row r="67" spans="1:15" hidden="1" x14ac:dyDescent="0.25">
      <c r="A67">
        <v>117</v>
      </c>
      <c r="B67" t="s">
        <v>784</v>
      </c>
      <c r="C67" t="s">
        <v>659</v>
      </c>
      <c r="D67" t="s">
        <v>790</v>
      </c>
      <c r="E67" t="s">
        <v>791</v>
      </c>
      <c r="F67" t="s">
        <v>766</v>
      </c>
      <c r="G67" t="s">
        <v>787</v>
      </c>
      <c r="H67" s="134" t="s">
        <v>788</v>
      </c>
      <c r="I67" t="s">
        <v>792</v>
      </c>
      <c r="J67" t="s">
        <v>683</v>
      </c>
      <c r="K67" t="s">
        <v>684</v>
      </c>
      <c r="L67" t="s">
        <v>761</v>
      </c>
      <c r="M67" t="s">
        <v>686</v>
      </c>
      <c r="N67" t="s">
        <v>687</v>
      </c>
      <c r="O67" t="s">
        <v>639</v>
      </c>
    </row>
    <row r="68" spans="1:15" hidden="1" x14ac:dyDescent="0.25">
      <c r="A68">
        <v>120</v>
      </c>
      <c r="B68" t="s">
        <v>1483</v>
      </c>
      <c r="C68" t="s">
        <v>659</v>
      </c>
      <c r="D68" t="s">
        <v>2159</v>
      </c>
      <c r="E68" t="s">
        <v>786</v>
      </c>
      <c r="F68" t="s">
        <v>968</v>
      </c>
      <c r="G68" t="s">
        <v>765</v>
      </c>
      <c r="H68" s="134" t="s">
        <v>759</v>
      </c>
      <c r="I68" t="s">
        <v>2160</v>
      </c>
      <c r="J68" t="s">
        <v>683</v>
      </c>
      <c r="K68" t="s">
        <v>695</v>
      </c>
      <c r="L68" t="s">
        <v>761</v>
      </c>
      <c r="M68" t="s">
        <v>686</v>
      </c>
      <c r="N68" t="s">
        <v>687</v>
      </c>
      <c r="O68" t="s">
        <v>639</v>
      </c>
    </row>
    <row r="69" spans="1:15" hidden="1" x14ac:dyDescent="0.25">
      <c r="A69">
        <v>120</v>
      </c>
      <c r="B69" t="s">
        <v>1483</v>
      </c>
      <c r="C69" t="s">
        <v>659</v>
      </c>
      <c r="D69" t="s">
        <v>2161</v>
      </c>
      <c r="E69" t="s">
        <v>786</v>
      </c>
      <c r="F69" t="s">
        <v>765</v>
      </c>
      <c r="G69" t="s">
        <v>765</v>
      </c>
      <c r="H69" s="134" t="s">
        <v>759</v>
      </c>
      <c r="J69" t="s">
        <v>683</v>
      </c>
      <c r="K69" t="s">
        <v>684</v>
      </c>
      <c r="L69" t="s">
        <v>761</v>
      </c>
      <c r="M69" t="s">
        <v>686</v>
      </c>
      <c r="N69" t="s">
        <v>687</v>
      </c>
      <c r="O69" t="s">
        <v>639</v>
      </c>
    </row>
    <row r="70" spans="1:15" hidden="1" x14ac:dyDescent="0.25">
      <c r="A70">
        <v>122</v>
      </c>
      <c r="B70" t="s">
        <v>793</v>
      </c>
      <c r="C70" t="s">
        <v>659</v>
      </c>
      <c r="D70" t="s">
        <v>794</v>
      </c>
      <c r="E70" t="s">
        <v>721</v>
      </c>
      <c r="F70" t="s">
        <v>772</v>
      </c>
      <c r="G70" t="s">
        <v>781</v>
      </c>
      <c r="H70" s="134" t="s">
        <v>723</v>
      </c>
      <c r="I70" t="s">
        <v>795</v>
      </c>
      <c r="J70" t="s">
        <v>683</v>
      </c>
      <c r="K70" t="s">
        <v>695</v>
      </c>
      <c r="L70" t="s">
        <v>6</v>
      </c>
      <c r="M70" t="s">
        <v>686</v>
      </c>
      <c r="N70" t="s">
        <v>687</v>
      </c>
      <c r="O70" t="s">
        <v>639</v>
      </c>
    </row>
    <row r="71" spans="1:15" hidden="1" x14ac:dyDescent="0.25">
      <c r="A71">
        <v>122</v>
      </c>
      <c r="B71" t="s">
        <v>793</v>
      </c>
      <c r="C71" t="s">
        <v>659</v>
      </c>
      <c r="D71" t="s">
        <v>796</v>
      </c>
      <c r="E71" t="s">
        <v>721</v>
      </c>
      <c r="F71" t="s">
        <v>772</v>
      </c>
      <c r="G71" t="s">
        <v>781</v>
      </c>
      <c r="H71" s="134" t="s">
        <v>723</v>
      </c>
      <c r="I71" t="s">
        <v>797</v>
      </c>
      <c r="J71" t="s">
        <v>683</v>
      </c>
      <c r="K71" t="s">
        <v>684</v>
      </c>
      <c r="L71" t="s">
        <v>6</v>
      </c>
      <c r="M71" t="s">
        <v>686</v>
      </c>
      <c r="N71" t="s">
        <v>687</v>
      </c>
      <c r="O71" t="s">
        <v>639</v>
      </c>
    </row>
    <row r="72" spans="1:15" hidden="1" x14ac:dyDescent="0.25">
      <c r="A72">
        <v>123</v>
      </c>
      <c r="B72" t="s">
        <v>798</v>
      </c>
      <c r="C72" t="s">
        <v>659</v>
      </c>
      <c r="D72" t="s">
        <v>799</v>
      </c>
      <c r="E72" t="s">
        <v>800</v>
      </c>
      <c r="F72" t="s">
        <v>772</v>
      </c>
      <c r="G72" t="s">
        <v>800</v>
      </c>
      <c r="H72" s="134" t="s">
        <v>801</v>
      </c>
      <c r="I72" t="s">
        <v>802</v>
      </c>
      <c r="J72" t="s">
        <v>683</v>
      </c>
      <c r="K72" t="s">
        <v>684</v>
      </c>
      <c r="L72" t="s">
        <v>803</v>
      </c>
      <c r="M72" t="s">
        <v>686</v>
      </c>
      <c r="N72" t="s">
        <v>687</v>
      </c>
      <c r="O72" t="s">
        <v>639</v>
      </c>
    </row>
    <row r="73" spans="1:15" hidden="1" x14ac:dyDescent="0.25">
      <c r="A73">
        <v>123</v>
      </c>
      <c r="B73" t="s">
        <v>798</v>
      </c>
      <c r="C73" t="s">
        <v>659</v>
      </c>
      <c r="D73" t="s">
        <v>804</v>
      </c>
      <c r="E73" t="s">
        <v>805</v>
      </c>
      <c r="F73" t="s">
        <v>770</v>
      </c>
      <c r="G73" t="s">
        <v>800</v>
      </c>
      <c r="H73" s="134" t="s">
        <v>801</v>
      </c>
      <c r="J73" t="s">
        <v>683</v>
      </c>
      <c r="K73" t="s">
        <v>684</v>
      </c>
      <c r="L73" t="s">
        <v>6</v>
      </c>
      <c r="M73" t="s">
        <v>686</v>
      </c>
      <c r="N73" t="s">
        <v>687</v>
      </c>
      <c r="O73" t="s">
        <v>639</v>
      </c>
    </row>
    <row r="74" spans="1:15" hidden="1" x14ac:dyDescent="0.25">
      <c r="A74">
        <v>124</v>
      </c>
      <c r="B74" t="s">
        <v>1503</v>
      </c>
      <c r="C74" t="s">
        <v>659</v>
      </c>
      <c r="D74" t="s">
        <v>2162</v>
      </c>
      <c r="E74" t="s">
        <v>708</v>
      </c>
      <c r="F74" t="s">
        <v>800</v>
      </c>
      <c r="G74" t="s">
        <v>708</v>
      </c>
      <c r="H74" s="134" t="s">
        <v>1506</v>
      </c>
      <c r="J74" t="s">
        <v>683</v>
      </c>
      <c r="K74" t="s">
        <v>684</v>
      </c>
      <c r="L74" t="s">
        <v>988</v>
      </c>
      <c r="M74" t="s">
        <v>686</v>
      </c>
      <c r="N74" t="s">
        <v>687</v>
      </c>
      <c r="O74" t="s">
        <v>639</v>
      </c>
    </row>
    <row r="75" spans="1:15" hidden="1" x14ac:dyDescent="0.25">
      <c r="A75">
        <v>124</v>
      </c>
      <c r="B75" t="s">
        <v>1503</v>
      </c>
      <c r="C75" t="s">
        <v>659</v>
      </c>
      <c r="D75" t="s">
        <v>2163</v>
      </c>
      <c r="E75" t="s">
        <v>708</v>
      </c>
      <c r="F75" t="s">
        <v>875</v>
      </c>
      <c r="G75" t="s">
        <v>708</v>
      </c>
      <c r="H75" s="134" t="s">
        <v>1506</v>
      </c>
      <c r="J75" t="s">
        <v>2164</v>
      </c>
      <c r="K75" t="s">
        <v>718</v>
      </c>
      <c r="M75" t="s">
        <v>686</v>
      </c>
      <c r="N75" t="s">
        <v>687</v>
      </c>
      <c r="O75" t="s">
        <v>639</v>
      </c>
    </row>
    <row r="76" spans="1:15" hidden="1" x14ac:dyDescent="0.25">
      <c r="A76">
        <v>125</v>
      </c>
      <c r="B76" t="s">
        <v>1512</v>
      </c>
      <c r="C76" t="s">
        <v>659</v>
      </c>
      <c r="D76" t="s">
        <v>2165</v>
      </c>
      <c r="E76" t="s">
        <v>1893</v>
      </c>
      <c r="F76" t="s">
        <v>1513</v>
      </c>
      <c r="G76" t="s">
        <v>1513</v>
      </c>
      <c r="H76" s="134" t="s">
        <v>1515</v>
      </c>
      <c r="I76" t="s">
        <v>2166</v>
      </c>
      <c r="J76" t="s">
        <v>683</v>
      </c>
      <c r="K76" t="s">
        <v>695</v>
      </c>
      <c r="L76" t="s">
        <v>685</v>
      </c>
      <c r="M76" t="s">
        <v>686</v>
      </c>
      <c r="N76" t="s">
        <v>687</v>
      </c>
      <c r="O76" t="s">
        <v>639</v>
      </c>
    </row>
    <row r="77" spans="1:15" hidden="1" x14ac:dyDescent="0.25">
      <c r="A77">
        <v>125</v>
      </c>
      <c r="B77" t="s">
        <v>1512</v>
      </c>
      <c r="C77" t="s">
        <v>659</v>
      </c>
      <c r="D77" t="s">
        <v>2167</v>
      </c>
      <c r="E77" t="s">
        <v>1893</v>
      </c>
      <c r="F77" t="s">
        <v>1513</v>
      </c>
      <c r="G77" t="s">
        <v>1513</v>
      </c>
      <c r="H77" s="134" t="s">
        <v>1515</v>
      </c>
      <c r="I77" t="s">
        <v>2123</v>
      </c>
      <c r="J77" t="s">
        <v>683</v>
      </c>
      <c r="K77" t="s">
        <v>695</v>
      </c>
      <c r="L77" t="s">
        <v>685</v>
      </c>
      <c r="M77" t="s">
        <v>686</v>
      </c>
      <c r="N77" t="s">
        <v>687</v>
      </c>
      <c r="O77" t="s">
        <v>639</v>
      </c>
    </row>
    <row r="78" spans="1:15" hidden="1" x14ac:dyDescent="0.25">
      <c r="A78">
        <v>125</v>
      </c>
      <c r="B78" t="s">
        <v>1512</v>
      </c>
      <c r="C78" t="s">
        <v>659</v>
      </c>
      <c r="D78" t="s">
        <v>2168</v>
      </c>
      <c r="E78" t="s">
        <v>2169</v>
      </c>
      <c r="F78" t="s">
        <v>1513</v>
      </c>
      <c r="G78" t="s">
        <v>1513</v>
      </c>
      <c r="H78" s="134" t="s">
        <v>1515</v>
      </c>
      <c r="I78" t="s">
        <v>1560</v>
      </c>
      <c r="J78" t="s">
        <v>683</v>
      </c>
      <c r="K78" t="s">
        <v>684</v>
      </c>
      <c r="L78" t="s">
        <v>685</v>
      </c>
      <c r="M78" t="s">
        <v>686</v>
      </c>
      <c r="N78" t="s">
        <v>687</v>
      </c>
      <c r="O78" t="s">
        <v>639</v>
      </c>
    </row>
    <row r="79" spans="1:15" hidden="1" x14ac:dyDescent="0.25">
      <c r="A79">
        <v>128</v>
      </c>
      <c r="B79" t="s">
        <v>1522</v>
      </c>
      <c r="C79" t="s">
        <v>659</v>
      </c>
      <c r="D79" t="s">
        <v>2170</v>
      </c>
      <c r="E79" t="s">
        <v>888</v>
      </c>
      <c r="F79" t="s">
        <v>694</v>
      </c>
      <c r="G79" t="s">
        <v>694</v>
      </c>
      <c r="H79" s="134" t="s">
        <v>1014</v>
      </c>
      <c r="J79" t="s">
        <v>683</v>
      </c>
      <c r="K79" t="s">
        <v>684</v>
      </c>
      <c r="L79" t="s">
        <v>7</v>
      </c>
      <c r="M79" t="s">
        <v>686</v>
      </c>
      <c r="N79" t="s">
        <v>687</v>
      </c>
      <c r="O79" t="s">
        <v>639</v>
      </c>
    </row>
    <row r="80" spans="1:15" hidden="1" x14ac:dyDescent="0.25">
      <c r="A80">
        <v>128</v>
      </c>
      <c r="B80" t="s">
        <v>1522</v>
      </c>
      <c r="C80" t="s">
        <v>659</v>
      </c>
      <c r="D80" t="s">
        <v>2171</v>
      </c>
      <c r="E80" t="s">
        <v>888</v>
      </c>
      <c r="F80" t="s">
        <v>694</v>
      </c>
      <c r="G80" t="s">
        <v>694</v>
      </c>
      <c r="H80" s="134" t="s">
        <v>1014</v>
      </c>
      <c r="J80" t="s">
        <v>683</v>
      </c>
      <c r="K80" t="s">
        <v>684</v>
      </c>
      <c r="L80" t="s">
        <v>7</v>
      </c>
      <c r="M80" t="s">
        <v>686</v>
      </c>
      <c r="N80" t="s">
        <v>687</v>
      </c>
      <c r="O80" t="s">
        <v>639</v>
      </c>
    </row>
    <row r="81" spans="1:15" hidden="1" x14ac:dyDescent="0.25">
      <c r="A81">
        <v>128</v>
      </c>
      <c r="B81" t="s">
        <v>1522</v>
      </c>
      <c r="C81" t="s">
        <v>659</v>
      </c>
      <c r="D81" t="s">
        <v>2172</v>
      </c>
      <c r="E81" t="s">
        <v>888</v>
      </c>
      <c r="F81" t="s">
        <v>694</v>
      </c>
      <c r="G81" t="s">
        <v>694</v>
      </c>
      <c r="H81" s="134" t="s">
        <v>1014</v>
      </c>
      <c r="J81" t="s">
        <v>683</v>
      </c>
      <c r="K81" t="s">
        <v>684</v>
      </c>
      <c r="L81" t="s">
        <v>7</v>
      </c>
      <c r="M81" t="s">
        <v>686</v>
      </c>
      <c r="N81" t="s">
        <v>687</v>
      </c>
      <c r="O81" t="s">
        <v>639</v>
      </c>
    </row>
    <row r="82" spans="1:15" hidden="1" x14ac:dyDescent="0.25">
      <c r="A82">
        <v>128</v>
      </c>
      <c r="B82" t="s">
        <v>1522</v>
      </c>
      <c r="C82" t="s">
        <v>659</v>
      </c>
      <c r="D82" t="s">
        <v>2173</v>
      </c>
      <c r="E82" t="s">
        <v>888</v>
      </c>
      <c r="F82" t="s">
        <v>694</v>
      </c>
      <c r="G82" t="s">
        <v>694</v>
      </c>
      <c r="H82" s="134" t="s">
        <v>1014</v>
      </c>
      <c r="J82" t="s">
        <v>683</v>
      </c>
      <c r="K82" t="s">
        <v>684</v>
      </c>
      <c r="L82" t="s">
        <v>7</v>
      </c>
      <c r="M82" t="s">
        <v>686</v>
      </c>
      <c r="N82" t="s">
        <v>687</v>
      </c>
      <c r="O82" t="s">
        <v>639</v>
      </c>
    </row>
    <row r="83" spans="1:15" hidden="1" x14ac:dyDescent="0.25">
      <c r="A83">
        <v>132</v>
      </c>
      <c r="B83" t="s">
        <v>1528</v>
      </c>
      <c r="C83" t="s">
        <v>659</v>
      </c>
      <c r="D83" t="s">
        <v>2174</v>
      </c>
      <c r="E83" t="s">
        <v>1529</v>
      </c>
      <c r="F83" t="s">
        <v>800</v>
      </c>
      <c r="G83" t="s">
        <v>1529</v>
      </c>
      <c r="H83" s="134" t="s">
        <v>1533</v>
      </c>
      <c r="I83" t="s">
        <v>2175</v>
      </c>
      <c r="J83" t="s">
        <v>683</v>
      </c>
      <c r="K83" t="s">
        <v>684</v>
      </c>
      <c r="L83" t="s">
        <v>988</v>
      </c>
      <c r="M83" t="s">
        <v>686</v>
      </c>
      <c r="N83" t="s">
        <v>687</v>
      </c>
      <c r="O83" t="s">
        <v>639</v>
      </c>
    </row>
    <row r="84" spans="1:15" hidden="1" x14ac:dyDescent="0.25">
      <c r="A84">
        <v>132</v>
      </c>
      <c r="B84" t="s">
        <v>1528</v>
      </c>
      <c r="C84" t="s">
        <v>659</v>
      </c>
      <c r="D84" t="s">
        <v>2176</v>
      </c>
      <c r="E84" t="s">
        <v>2177</v>
      </c>
      <c r="F84" t="s">
        <v>800</v>
      </c>
      <c r="G84" t="s">
        <v>1529</v>
      </c>
      <c r="H84" s="134" t="s">
        <v>1533</v>
      </c>
      <c r="J84" t="s">
        <v>683</v>
      </c>
      <c r="K84" t="s">
        <v>684</v>
      </c>
      <c r="L84" t="s">
        <v>685</v>
      </c>
      <c r="M84" t="s">
        <v>686</v>
      </c>
      <c r="N84" t="s">
        <v>687</v>
      </c>
      <c r="O84" t="s">
        <v>639</v>
      </c>
    </row>
    <row r="85" spans="1:15" hidden="1" x14ac:dyDescent="0.25">
      <c r="A85">
        <v>132</v>
      </c>
      <c r="B85" t="s">
        <v>1528</v>
      </c>
      <c r="C85" t="s">
        <v>659</v>
      </c>
      <c r="D85" t="s">
        <v>2178</v>
      </c>
      <c r="E85" t="s">
        <v>1534</v>
      </c>
      <c r="F85" t="s">
        <v>1529</v>
      </c>
      <c r="G85" t="s">
        <v>1529</v>
      </c>
      <c r="H85" s="134" t="s">
        <v>1533</v>
      </c>
      <c r="J85" t="s">
        <v>683</v>
      </c>
      <c r="K85" t="s">
        <v>684</v>
      </c>
      <c r="L85" t="s">
        <v>2179</v>
      </c>
      <c r="M85" t="s">
        <v>686</v>
      </c>
      <c r="N85" t="s">
        <v>687</v>
      </c>
      <c r="O85" t="s">
        <v>639</v>
      </c>
    </row>
    <row r="86" spans="1:15" hidden="1" x14ac:dyDescent="0.25">
      <c r="A86">
        <v>132</v>
      </c>
      <c r="B86" t="s">
        <v>1528</v>
      </c>
      <c r="C86" t="s">
        <v>659</v>
      </c>
      <c r="D86" t="s">
        <v>2180</v>
      </c>
      <c r="E86" t="s">
        <v>1534</v>
      </c>
      <c r="F86" t="s">
        <v>1532</v>
      </c>
      <c r="G86" t="s">
        <v>1529</v>
      </c>
      <c r="H86" s="134" t="s">
        <v>1533</v>
      </c>
      <c r="J86" t="s">
        <v>683</v>
      </c>
      <c r="K86" t="s">
        <v>718</v>
      </c>
      <c r="L86" t="s">
        <v>988</v>
      </c>
      <c r="M86" t="s">
        <v>686</v>
      </c>
      <c r="N86" t="s">
        <v>687</v>
      </c>
      <c r="O86" t="s">
        <v>639</v>
      </c>
    </row>
    <row r="87" spans="1:15" hidden="1" x14ac:dyDescent="0.25">
      <c r="A87">
        <v>133</v>
      </c>
      <c r="B87" t="s">
        <v>806</v>
      </c>
      <c r="C87" t="s">
        <v>659</v>
      </c>
      <c r="D87" t="s">
        <v>807</v>
      </c>
      <c r="E87" t="s">
        <v>662</v>
      </c>
      <c r="F87" t="s">
        <v>680</v>
      </c>
      <c r="G87" t="s">
        <v>658</v>
      </c>
      <c r="H87" s="134" t="s">
        <v>732</v>
      </c>
      <c r="I87" t="s">
        <v>748</v>
      </c>
      <c r="J87" t="s">
        <v>683</v>
      </c>
      <c r="K87" t="s">
        <v>684</v>
      </c>
      <c r="L87" t="s">
        <v>7</v>
      </c>
      <c r="M87" t="s">
        <v>686</v>
      </c>
      <c r="N87" t="s">
        <v>687</v>
      </c>
      <c r="O87" t="s">
        <v>639</v>
      </c>
    </row>
    <row r="88" spans="1:15" hidden="1" x14ac:dyDescent="0.25">
      <c r="A88">
        <v>133</v>
      </c>
      <c r="B88" t="s">
        <v>806</v>
      </c>
      <c r="C88" t="s">
        <v>659</v>
      </c>
      <c r="D88" t="s">
        <v>808</v>
      </c>
      <c r="E88" t="s">
        <v>662</v>
      </c>
      <c r="F88" t="s">
        <v>680</v>
      </c>
      <c r="G88" t="s">
        <v>658</v>
      </c>
      <c r="H88" s="134" t="s">
        <v>732</v>
      </c>
      <c r="J88" t="s">
        <v>683</v>
      </c>
      <c r="K88" t="s">
        <v>684</v>
      </c>
      <c r="L88" t="s">
        <v>685</v>
      </c>
      <c r="M88" t="s">
        <v>686</v>
      </c>
      <c r="N88" t="s">
        <v>687</v>
      </c>
      <c r="O88" t="s">
        <v>639</v>
      </c>
    </row>
    <row r="89" spans="1:15" hidden="1" x14ac:dyDescent="0.25">
      <c r="A89">
        <v>133</v>
      </c>
      <c r="B89" t="s">
        <v>806</v>
      </c>
      <c r="C89" t="s">
        <v>659</v>
      </c>
      <c r="D89" t="s">
        <v>809</v>
      </c>
      <c r="E89" t="s">
        <v>662</v>
      </c>
      <c r="F89" t="s">
        <v>680</v>
      </c>
      <c r="G89" t="s">
        <v>658</v>
      </c>
      <c r="H89" s="134" t="s">
        <v>732</v>
      </c>
      <c r="J89" t="s">
        <v>683</v>
      </c>
      <c r="K89" t="s">
        <v>718</v>
      </c>
      <c r="L89" t="s">
        <v>685</v>
      </c>
      <c r="M89" t="s">
        <v>686</v>
      </c>
      <c r="N89" t="s">
        <v>687</v>
      </c>
      <c r="O89" t="s">
        <v>639</v>
      </c>
    </row>
    <row r="90" spans="1:15" hidden="1" x14ac:dyDescent="0.25">
      <c r="A90">
        <v>133</v>
      </c>
      <c r="B90" t="s">
        <v>806</v>
      </c>
      <c r="C90" t="s">
        <v>659</v>
      </c>
      <c r="D90" t="s">
        <v>810</v>
      </c>
      <c r="E90" t="s">
        <v>662</v>
      </c>
      <c r="F90" t="s">
        <v>680</v>
      </c>
      <c r="G90" t="s">
        <v>658</v>
      </c>
      <c r="H90" s="134" t="s">
        <v>732</v>
      </c>
      <c r="I90" t="s">
        <v>811</v>
      </c>
      <c r="J90" t="s">
        <v>683</v>
      </c>
      <c r="K90" t="s">
        <v>718</v>
      </c>
      <c r="L90" t="s">
        <v>7</v>
      </c>
      <c r="M90" t="s">
        <v>686</v>
      </c>
      <c r="N90" t="s">
        <v>687</v>
      </c>
      <c r="O90" t="s">
        <v>639</v>
      </c>
    </row>
    <row r="91" spans="1:15" hidden="1" x14ac:dyDescent="0.25">
      <c r="A91">
        <v>133</v>
      </c>
      <c r="B91" t="s">
        <v>806</v>
      </c>
      <c r="C91" t="s">
        <v>659</v>
      </c>
      <c r="D91" t="s">
        <v>812</v>
      </c>
      <c r="E91" t="s">
        <v>813</v>
      </c>
      <c r="F91" t="s">
        <v>658</v>
      </c>
      <c r="G91" t="s">
        <v>658</v>
      </c>
      <c r="H91" s="134" t="s">
        <v>732</v>
      </c>
      <c r="I91" t="s">
        <v>814</v>
      </c>
      <c r="J91" t="s">
        <v>683</v>
      </c>
      <c r="K91" t="s">
        <v>718</v>
      </c>
      <c r="L91" t="s">
        <v>685</v>
      </c>
      <c r="M91" t="s">
        <v>686</v>
      </c>
      <c r="N91" t="s">
        <v>687</v>
      </c>
      <c r="O91" t="s">
        <v>639</v>
      </c>
    </row>
    <row r="92" spans="1:15" hidden="1" x14ac:dyDescent="0.25">
      <c r="A92">
        <v>136</v>
      </c>
      <c r="B92" t="s">
        <v>815</v>
      </c>
      <c r="C92" t="s">
        <v>659</v>
      </c>
      <c r="D92" t="s">
        <v>816</v>
      </c>
      <c r="E92" t="s">
        <v>658</v>
      </c>
      <c r="F92" t="s">
        <v>694</v>
      </c>
      <c r="G92" t="s">
        <v>658</v>
      </c>
      <c r="H92" s="134" t="s">
        <v>732</v>
      </c>
      <c r="I92" t="s">
        <v>733</v>
      </c>
      <c r="J92" t="s">
        <v>683</v>
      </c>
      <c r="K92" t="s">
        <v>684</v>
      </c>
      <c r="L92" t="s">
        <v>734</v>
      </c>
      <c r="M92" t="s">
        <v>686</v>
      </c>
      <c r="N92" t="s">
        <v>687</v>
      </c>
      <c r="O92" t="s">
        <v>639</v>
      </c>
    </row>
    <row r="93" spans="1:15" hidden="1" x14ac:dyDescent="0.25">
      <c r="A93">
        <v>137</v>
      </c>
      <c r="B93" t="s">
        <v>817</v>
      </c>
      <c r="C93" t="s">
        <v>659</v>
      </c>
      <c r="D93" t="s">
        <v>818</v>
      </c>
      <c r="E93" t="s">
        <v>679</v>
      </c>
      <c r="F93" t="s">
        <v>658</v>
      </c>
      <c r="G93" t="s">
        <v>679</v>
      </c>
      <c r="H93" s="134" t="s">
        <v>732</v>
      </c>
      <c r="I93" t="s">
        <v>819</v>
      </c>
      <c r="J93" t="s">
        <v>683</v>
      </c>
      <c r="K93" t="s">
        <v>684</v>
      </c>
      <c r="L93" t="s">
        <v>685</v>
      </c>
      <c r="M93" t="s">
        <v>686</v>
      </c>
      <c r="N93" t="s">
        <v>687</v>
      </c>
      <c r="O93" t="s">
        <v>639</v>
      </c>
    </row>
    <row r="94" spans="1:15" hidden="1" x14ac:dyDescent="0.25">
      <c r="A94">
        <v>137</v>
      </c>
      <c r="B94" t="s">
        <v>817</v>
      </c>
      <c r="C94" t="s">
        <v>659</v>
      </c>
      <c r="D94" t="s">
        <v>820</v>
      </c>
      <c r="E94" t="s">
        <v>679</v>
      </c>
      <c r="F94" t="s">
        <v>658</v>
      </c>
      <c r="G94" t="s">
        <v>679</v>
      </c>
      <c r="H94" s="134" t="s">
        <v>732</v>
      </c>
      <c r="I94" t="s">
        <v>821</v>
      </c>
      <c r="J94" t="s">
        <v>683</v>
      </c>
      <c r="K94" t="s">
        <v>684</v>
      </c>
      <c r="L94" t="s">
        <v>685</v>
      </c>
      <c r="M94" t="s">
        <v>686</v>
      </c>
      <c r="N94" t="s">
        <v>687</v>
      </c>
      <c r="O94" t="s">
        <v>639</v>
      </c>
    </row>
    <row r="95" spans="1:15" hidden="1" x14ac:dyDescent="0.25">
      <c r="A95">
        <v>138</v>
      </c>
      <c r="B95" t="s">
        <v>822</v>
      </c>
      <c r="C95" t="s">
        <v>659</v>
      </c>
      <c r="D95" t="s">
        <v>823</v>
      </c>
      <c r="E95" t="s">
        <v>791</v>
      </c>
      <c r="F95" t="s">
        <v>765</v>
      </c>
      <c r="G95" t="s">
        <v>791</v>
      </c>
      <c r="H95" s="134" t="s">
        <v>824</v>
      </c>
      <c r="J95" t="s">
        <v>683</v>
      </c>
      <c r="K95" t="s">
        <v>695</v>
      </c>
      <c r="L95" t="s">
        <v>761</v>
      </c>
      <c r="M95" t="s">
        <v>686</v>
      </c>
      <c r="N95" t="s">
        <v>687</v>
      </c>
      <c r="O95" t="s">
        <v>639</v>
      </c>
    </row>
    <row r="96" spans="1:15" hidden="1" x14ac:dyDescent="0.25">
      <c r="A96">
        <v>138</v>
      </c>
      <c r="B96" t="s">
        <v>822</v>
      </c>
      <c r="C96" t="s">
        <v>659</v>
      </c>
      <c r="D96" t="s">
        <v>825</v>
      </c>
      <c r="E96" t="s">
        <v>791</v>
      </c>
      <c r="F96" t="s">
        <v>765</v>
      </c>
      <c r="G96" t="s">
        <v>791</v>
      </c>
      <c r="H96" s="134" t="s">
        <v>824</v>
      </c>
      <c r="I96" t="s">
        <v>826</v>
      </c>
      <c r="J96" t="s">
        <v>683</v>
      </c>
      <c r="K96" t="s">
        <v>695</v>
      </c>
      <c r="L96" t="s">
        <v>761</v>
      </c>
      <c r="M96" t="s">
        <v>686</v>
      </c>
      <c r="N96" t="s">
        <v>687</v>
      </c>
      <c r="O96" t="s">
        <v>639</v>
      </c>
    </row>
    <row r="97" spans="1:15" hidden="1" x14ac:dyDescent="0.25">
      <c r="A97">
        <v>138</v>
      </c>
      <c r="B97" t="s">
        <v>822</v>
      </c>
      <c r="C97" t="s">
        <v>659</v>
      </c>
      <c r="D97" t="s">
        <v>827</v>
      </c>
      <c r="E97" t="s">
        <v>791</v>
      </c>
      <c r="F97" t="s">
        <v>765</v>
      </c>
      <c r="G97" t="s">
        <v>791</v>
      </c>
      <c r="H97" s="134" t="s">
        <v>824</v>
      </c>
      <c r="J97" t="s">
        <v>683</v>
      </c>
      <c r="K97" t="s">
        <v>684</v>
      </c>
      <c r="L97" t="s">
        <v>828</v>
      </c>
      <c r="M97" t="s">
        <v>686</v>
      </c>
      <c r="N97" t="s">
        <v>687</v>
      </c>
      <c r="O97" t="s">
        <v>639</v>
      </c>
    </row>
    <row r="98" spans="1:15" hidden="1" x14ac:dyDescent="0.25">
      <c r="A98">
        <v>139</v>
      </c>
      <c r="B98" t="s">
        <v>829</v>
      </c>
      <c r="C98" t="s">
        <v>659</v>
      </c>
      <c r="D98" t="s">
        <v>830</v>
      </c>
      <c r="E98" t="s">
        <v>791</v>
      </c>
      <c r="F98" t="s">
        <v>758</v>
      </c>
      <c r="G98" t="s">
        <v>791</v>
      </c>
      <c r="H98" s="134" t="s">
        <v>824</v>
      </c>
      <c r="I98" t="s">
        <v>826</v>
      </c>
      <c r="J98" t="s">
        <v>683</v>
      </c>
      <c r="K98" t="s">
        <v>695</v>
      </c>
      <c r="L98" t="s">
        <v>761</v>
      </c>
      <c r="M98" t="s">
        <v>686</v>
      </c>
      <c r="N98" t="s">
        <v>687</v>
      </c>
      <c r="O98" t="s">
        <v>639</v>
      </c>
    </row>
    <row r="99" spans="1:15" hidden="1" x14ac:dyDescent="0.25">
      <c r="A99">
        <v>139</v>
      </c>
      <c r="B99" t="s">
        <v>829</v>
      </c>
      <c r="C99" t="s">
        <v>659</v>
      </c>
      <c r="D99" t="s">
        <v>831</v>
      </c>
      <c r="E99" t="s">
        <v>791</v>
      </c>
      <c r="F99" t="s">
        <v>765</v>
      </c>
      <c r="G99" t="s">
        <v>791</v>
      </c>
      <c r="H99" s="134" t="s">
        <v>824</v>
      </c>
      <c r="J99" t="s">
        <v>683</v>
      </c>
      <c r="K99" t="s">
        <v>695</v>
      </c>
      <c r="L99" t="s">
        <v>761</v>
      </c>
      <c r="M99" t="s">
        <v>686</v>
      </c>
      <c r="N99" t="s">
        <v>687</v>
      </c>
      <c r="O99" t="s">
        <v>639</v>
      </c>
    </row>
    <row r="100" spans="1:15" hidden="1" x14ac:dyDescent="0.25">
      <c r="A100">
        <v>140</v>
      </c>
      <c r="B100" t="s">
        <v>1573</v>
      </c>
      <c r="C100" t="s">
        <v>659</v>
      </c>
      <c r="D100" t="s">
        <v>2181</v>
      </c>
      <c r="E100" t="s">
        <v>1540</v>
      </c>
      <c r="F100" t="s">
        <v>658</v>
      </c>
      <c r="G100" t="s">
        <v>1449</v>
      </c>
      <c r="H100" s="134" t="s">
        <v>1575</v>
      </c>
      <c r="I100" t="s">
        <v>736</v>
      </c>
      <c r="J100" t="s">
        <v>683</v>
      </c>
      <c r="K100" t="s">
        <v>695</v>
      </c>
      <c r="L100" t="s">
        <v>685</v>
      </c>
      <c r="M100" t="s">
        <v>686</v>
      </c>
      <c r="N100" t="s">
        <v>687</v>
      </c>
      <c r="O100" t="s">
        <v>639</v>
      </c>
    </row>
    <row r="101" spans="1:15" hidden="1" x14ac:dyDescent="0.25">
      <c r="A101">
        <v>140</v>
      </c>
      <c r="B101" t="s">
        <v>1573</v>
      </c>
      <c r="C101" t="s">
        <v>659</v>
      </c>
      <c r="D101" t="s">
        <v>2182</v>
      </c>
      <c r="E101" t="s">
        <v>1449</v>
      </c>
      <c r="F101" t="s">
        <v>690</v>
      </c>
      <c r="G101" t="s">
        <v>1449</v>
      </c>
      <c r="H101" s="134" t="s">
        <v>1575</v>
      </c>
      <c r="I101" t="s">
        <v>1553</v>
      </c>
      <c r="J101" t="s">
        <v>683</v>
      </c>
      <c r="K101" t="s">
        <v>684</v>
      </c>
      <c r="L101" t="s">
        <v>685</v>
      </c>
      <c r="M101" t="s">
        <v>686</v>
      </c>
      <c r="N101" t="s">
        <v>687</v>
      </c>
      <c r="O101" t="s">
        <v>639</v>
      </c>
    </row>
    <row r="102" spans="1:15" hidden="1" x14ac:dyDescent="0.25">
      <c r="A102">
        <v>140</v>
      </c>
      <c r="B102" t="s">
        <v>1573</v>
      </c>
      <c r="C102" t="s">
        <v>659</v>
      </c>
      <c r="D102" t="s">
        <v>2182</v>
      </c>
      <c r="E102" t="s">
        <v>1449</v>
      </c>
      <c r="F102" t="s">
        <v>690</v>
      </c>
      <c r="G102" t="s">
        <v>1449</v>
      </c>
      <c r="H102" s="134" t="s">
        <v>1575</v>
      </c>
      <c r="I102" t="s">
        <v>1553</v>
      </c>
      <c r="J102" t="s">
        <v>683</v>
      </c>
      <c r="K102" t="s">
        <v>684</v>
      </c>
      <c r="L102" t="s">
        <v>685</v>
      </c>
      <c r="M102" t="s">
        <v>686</v>
      </c>
      <c r="N102" t="s">
        <v>687</v>
      </c>
      <c r="O102" t="s">
        <v>639</v>
      </c>
    </row>
    <row r="103" spans="1:15" hidden="1" x14ac:dyDescent="0.25">
      <c r="A103">
        <v>146</v>
      </c>
      <c r="B103" t="s">
        <v>832</v>
      </c>
      <c r="C103" t="s">
        <v>659</v>
      </c>
      <c r="D103" t="s">
        <v>833</v>
      </c>
      <c r="E103" t="s">
        <v>834</v>
      </c>
      <c r="F103" t="s">
        <v>708</v>
      </c>
      <c r="G103" t="s">
        <v>708</v>
      </c>
      <c r="H103" s="134" t="s">
        <v>835</v>
      </c>
      <c r="I103" t="s">
        <v>836</v>
      </c>
      <c r="J103" t="s">
        <v>683</v>
      </c>
      <c r="K103" t="s">
        <v>684</v>
      </c>
      <c r="L103" t="s">
        <v>685</v>
      </c>
      <c r="M103" t="s">
        <v>686</v>
      </c>
      <c r="N103" t="s">
        <v>687</v>
      </c>
      <c r="O103" t="s">
        <v>639</v>
      </c>
    </row>
    <row r="104" spans="1:15" hidden="1" x14ac:dyDescent="0.25">
      <c r="A104">
        <v>149</v>
      </c>
      <c r="B104" t="s">
        <v>1587</v>
      </c>
      <c r="C104" t="s">
        <v>659</v>
      </c>
      <c r="D104" t="s">
        <v>2183</v>
      </c>
      <c r="E104" t="s">
        <v>2184</v>
      </c>
      <c r="F104" t="s">
        <v>1321</v>
      </c>
      <c r="G104" t="s">
        <v>1588</v>
      </c>
      <c r="H104" s="134" t="s">
        <v>1590</v>
      </c>
      <c r="I104" t="s">
        <v>1608</v>
      </c>
      <c r="J104" t="s">
        <v>683</v>
      </c>
      <c r="K104" t="s">
        <v>684</v>
      </c>
      <c r="L104" t="s">
        <v>685</v>
      </c>
      <c r="M104" t="s">
        <v>686</v>
      </c>
      <c r="N104" t="s">
        <v>687</v>
      </c>
      <c r="O104" t="s">
        <v>639</v>
      </c>
    </row>
    <row r="105" spans="1:15" hidden="1" x14ac:dyDescent="0.25">
      <c r="A105">
        <v>149</v>
      </c>
      <c r="B105" t="s">
        <v>1587</v>
      </c>
      <c r="C105" t="s">
        <v>659</v>
      </c>
      <c r="D105" t="s">
        <v>2185</v>
      </c>
      <c r="E105" t="s">
        <v>2184</v>
      </c>
      <c r="F105" t="s">
        <v>1321</v>
      </c>
      <c r="G105" t="s">
        <v>1588</v>
      </c>
      <c r="H105" s="134" t="s">
        <v>1590</v>
      </c>
      <c r="I105" t="s">
        <v>1608</v>
      </c>
      <c r="J105" t="s">
        <v>683</v>
      </c>
      <c r="K105" t="s">
        <v>684</v>
      </c>
      <c r="L105" t="s">
        <v>685</v>
      </c>
      <c r="M105" t="s">
        <v>686</v>
      </c>
      <c r="N105" t="s">
        <v>687</v>
      </c>
      <c r="O105" t="s">
        <v>639</v>
      </c>
    </row>
    <row r="106" spans="1:15" hidden="1" x14ac:dyDescent="0.25">
      <c r="A106">
        <v>149</v>
      </c>
      <c r="B106" t="s">
        <v>1587</v>
      </c>
      <c r="C106" t="s">
        <v>659</v>
      </c>
      <c r="D106" t="s">
        <v>2186</v>
      </c>
      <c r="E106" t="s">
        <v>2184</v>
      </c>
      <c r="F106" t="s">
        <v>1321</v>
      </c>
      <c r="G106" t="s">
        <v>1588</v>
      </c>
      <c r="H106" s="134" t="s">
        <v>1590</v>
      </c>
      <c r="J106" t="s">
        <v>683</v>
      </c>
      <c r="K106" t="s">
        <v>684</v>
      </c>
      <c r="L106" t="s">
        <v>685</v>
      </c>
      <c r="M106" t="s">
        <v>686</v>
      </c>
      <c r="N106" t="s">
        <v>687</v>
      </c>
      <c r="O106" t="s">
        <v>639</v>
      </c>
    </row>
    <row r="107" spans="1:15" hidden="1" x14ac:dyDescent="0.25">
      <c r="A107">
        <v>151</v>
      </c>
      <c r="B107" t="s">
        <v>1595</v>
      </c>
      <c r="C107" t="s">
        <v>659</v>
      </c>
      <c r="D107" t="s">
        <v>2187</v>
      </c>
      <c r="E107" t="s">
        <v>2184</v>
      </c>
      <c r="F107" t="s">
        <v>1321</v>
      </c>
      <c r="G107" t="s">
        <v>1588</v>
      </c>
      <c r="H107" s="134" t="s">
        <v>1597</v>
      </c>
      <c r="I107" t="s">
        <v>778</v>
      </c>
      <c r="J107" t="s">
        <v>683</v>
      </c>
      <c r="K107" t="s">
        <v>695</v>
      </c>
      <c r="L107" t="s">
        <v>685</v>
      </c>
      <c r="M107" t="s">
        <v>686</v>
      </c>
      <c r="N107" t="s">
        <v>687</v>
      </c>
      <c r="O107" t="s">
        <v>639</v>
      </c>
    </row>
    <row r="108" spans="1:15" hidden="1" x14ac:dyDescent="0.25">
      <c r="A108">
        <v>151</v>
      </c>
      <c r="B108" t="s">
        <v>1595</v>
      </c>
      <c r="C108" t="s">
        <v>659</v>
      </c>
      <c r="D108" t="s">
        <v>2188</v>
      </c>
      <c r="E108" t="s">
        <v>2184</v>
      </c>
      <c r="F108" t="s">
        <v>1321</v>
      </c>
      <c r="G108" t="s">
        <v>1588</v>
      </c>
      <c r="H108" s="134" t="s">
        <v>1597</v>
      </c>
      <c r="I108" t="s">
        <v>778</v>
      </c>
      <c r="J108" t="s">
        <v>683</v>
      </c>
      <c r="K108" t="s">
        <v>695</v>
      </c>
      <c r="L108" t="s">
        <v>685</v>
      </c>
      <c r="M108" t="s">
        <v>686</v>
      </c>
      <c r="N108" t="s">
        <v>687</v>
      </c>
      <c r="O108" t="s">
        <v>639</v>
      </c>
    </row>
    <row r="109" spans="1:15" hidden="1" x14ac:dyDescent="0.25">
      <c r="A109">
        <v>153</v>
      </c>
      <c r="B109" t="s">
        <v>1600</v>
      </c>
      <c r="C109" t="s">
        <v>659</v>
      </c>
      <c r="D109" t="s">
        <v>2189</v>
      </c>
      <c r="E109" t="s">
        <v>1588</v>
      </c>
      <c r="F109" t="s">
        <v>1321</v>
      </c>
      <c r="G109" t="s">
        <v>1588</v>
      </c>
      <c r="H109" s="134"/>
      <c r="I109" t="s">
        <v>778</v>
      </c>
      <c r="J109" t="s">
        <v>683</v>
      </c>
      <c r="K109" t="s">
        <v>718</v>
      </c>
      <c r="L109" t="s">
        <v>685</v>
      </c>
      <c r="M109" t="s">
        <v>686</v>
      </c>
      <c r="N109" t="s">
        <v>687</v>
      </c>
      <c r="O109" t="s">
        <v>639</v>
      </c>
    </row>
    <row r="110" spans="1:15" hidden="1" x14ac:dyDescent="0.25">
      <c r="A110">
        <v>154</v>
      </c>
      <c r="B110" t="s">
        <v>837</v>
      </c>
      <c r="C110" t="s">
        <v>659</v>
      </c>
      <c r="D110" t="s">
        <v>838</v>
      </c>
      <c r="E110" t="s">
        <v>679</v>
      </c>
      <c r="F110" t="s">
        <v>658</v>
      </c>
      <c r="G110" t="s">
        <v>658</v>
      </c>
      <c r="H110" s="134" t="s">
        <v>732</v>
      </c>
      <c r="I110" t="s">
        <v>839</v>
      </c>
      <c r="J110" t="s">
        <v>683</v>
      </c>
      <c r="K110" t="s">
        <v>695</v>
      </c>
      <c r="L110" t="s">
        <v>685</v>
      </c>
      <c r="M110" t="s">
        <v>686</v>
      </c>
      <c r="N110" t="s">
        <v>687</v>
      </c>
      <c r="O110" t="s">
        <v>639</v>
      </c>
    </row>
    <row r="111" spans="1:15" hidden="1" x14ac:dyDescent="0.25">
      <c r="A111">
        <v>154</v>
      </c>
      <c r="B111" t="s">
        <v>837</v>
      </c>
      <c r="C111" t="s">
        <v>659</v>
      </c>
      <c r="D111" t="s">
        <v>840</v>
      </c>
      <c r="E111" t="s">
        <v>679</v>
      </c>
      <c r="F111" t="s">
        <v>680</v>
      </c>
      <c r="G111" t="s">
        <v>658</v>
      </c>
      <c r="H111" s="134" t="s">
        <v>732</v>
      </c>
      <c r="J111" t="s">
        <v>683</v>
      </c>
      <c r="K111" t="s">
        <v>684</v>
      </c>
      <c r="L111" t="s">
        <v>685</v>
      </c>
      <c r="M111" t="s">
        <v>686</v>
      </c>
      <c r="N111" t="s">
        <v>687</v>
      </c>
      <c r="O111" t="s">
        <v>639</v>
      </c>
    </row>
    <row r="112" spans="1:15" hidden="1" x14ac:dyDescent="0.25">
      <c r="A112">
        <v>154</v>
      </c>
      <c r="B112" t="s">
        <v>837</v>
      </c>
      <c r="C112" t="s">
        <v>659</v>
      </c>
      <c r="D112" t="s">
        <v>841</v>
      </c>
      <c r="E112" t="s">
        <v>679</v>
      </c>
      <c r="F112" t="s">
        <v>680</v>
      </c>
      <c r="G112" t="s">
        <v>658</v>
      </c>
      <c r="H112" s="134" t="s">
        <v>732</v>
      </c>
      <c r="J112" t="s">
        <v>683</v>
      </c>
      <c r="K112" t="s">
        <v>684</v>
      </c>
      <c r="L112" t="s">
        <v>685</v>
      </c>
      <c r="M112" t="s">
        <v>686</v>
      </c>
      <c r="N112" t="s">
        <v>687</v>
      </c>
      <c r="O112" t="s">
        <v>639</v>
      </c>
    </row>
    <row r="113" spans="1:15" hidden="1" x14ac:dyDescent="0.25">
      <c r="A113">
        <v>155</v>
      </c>
      <c r="B113" t="s">
        <v>842</v>
      </c>
      <c r="C113" t="s">
        <v>659</v>
      </c>
      <c r="D113" t="s">
        <v>843</v>
      </c>
      <c r="E113" t="s">
        <v>679</v>
      </c>
      <c r="F113" t="s">
        <v>658</v>
      </c>
      <c r="G113" t="s">
        <v>679</v>
      </c>
      <c r="H113" s="134" t="s">
        <v>732</v>
      </c>
      <c r="I113" t="s">
        <v>844</v>
      </c>
      <c r="J113" t="s">
        <v>683</v>
      </c>
      <c r="L113" t="s">
        <v>685</v>
      </c>
      <c r="M113" t="s">
        <v>686</v>
      </c>
      <c r="N113" t="s">
        <v>687</v>
      </c>
      <c r="O113" t="s">
        <v>639</v>
      </c>
    </row>
    <row r="114" spans="1:15" hidden="1" x14ac:dyDescent="0.25">
      <c r="A114">
        <v>155</v>
      </c>
      <c r="B114" t="s">
        <v>842</v>
      </c>
      <c r="C114" t="s">
        <v>659</v>
      </c>
      <c r="D114" t="s">
        <v>845</v>
      </c>
      <c r="E114" t="s">
        <v>846</v>
      </c>
      <c r="F114" t="s">
        <v>658</v>
      </c>
      <c r="G114" t="s">
        <v>679</v>
      </c>
      <c r="H114" s="134" t="s">
        <v>732</v>
      </c>
      <c r="I114" t="s">
        <v>844</v>
      </c>
      <c r="J114" t="s">
        <v>683</v>
      </c>
      <c r="L114" t="s">
        <v>685</v>
      </c>
      <c r="M114" t="s">
        <v>686</v>
      </c>
      <c r="N114" t="s">
        <v>687</v>
      </c>
      <c r="O114" t="s">
        <v>639</v>
      </c>
    </row>
    <row r="115" spans="1:15" hidden="1" x14ac:dyDescent="0.25">
      <c r="A115">
        <v>155</v>
      </c>
      <c r="B115" t="s">
        <v>842</v>
      </c>
      <c r="C115" t="s">
        <v>659</v>
      </c>
      <c r="D115" t="s">
        <v>847</v>
      </c>
      <c r="E115" t="s">
        <v>658</v>
      </c>
      <c r="F115" t="s">
        <v>680</v>
      </c>
      <c r="G115" t="s">
        <v>679</v>
      </c>
      <c r="H115" s="134" t="s">
        <v>732</v>
      </c>
      <c r="J115" t="s">
        <v>683</v>
      </c>
      <c r="K115" t="s">
        <v>684</v>
      </c>
      <c r="L115" t="s">
        <v>7</v>
      </c>
      <c r="M115" t="s">
        <v>686</v>
      </c>
      <c r="N115" t="s">
        <v>687</v>
      </c>
      <c r="O115" t="s">
        <v>639</v>
      </c>
    </row>
    <row r="116" spans="1:15" ht="45" hidden="1" x14ac:dyDescent="0.25">
      <c r="A116">
        <v>158</v>
      </c>
      <c r="B116" t="s">
        <v>848</v>
      </c>
      <c r="C116" t="s">
        <v>659</v>
      </c>
      <c r="D116" s="273" t="s">
        <v>849</v>
      </c>
      <c r="E116" t="s">
        <v>781</v>
      </c>
      <c r="F116" t="s">
        <v>680</v>
      </c>
      <c r="G116" t="s">
        <v>781</v>
      </c>
      <c r="H116" s="134" t="s">
        <v>772</v>
      </c>
      <c r="J116" t="s">
        <v>683</v>
      </c>
      <c r="K116" t="s">
        <v>695</v>
      </c>
      <c r="L116" t="s">
        <v>6</v>
      </c>
      <c r="M116" t="s">
        <v>686</v>
      </c>
      <c r="N116" t="s">
        <v>687</v>
      </c>
      <c r="O116" t="s">
        <v>639</v>
      </c>
    </row>
    <row r="117" spans="1:15" ht="45" hidden="1" x14ac:dyDescent="0.25">
      <c r="A117">
        <v>158</v>
      </c>
      <c r="B117" t="s">
        <v>848</v>
      </c>
      <c r="C117" t="s">
        <v>659</v>
      </c>
      <c r="D117" s="273" t="s">
        <v>850</v>
      </c>
      <c r="E117" t="s">
        <v>781</v>
      </c>
      <c r="F117" t="s">
        <v>680</v>
      </c>
      <c r="G117" t="s">
        <v>781</v>
      </c>
      <c r="H117" s="134" t="s">
        <v>772</v>
      </c>
      <c r="I117" t="s">
        <v>851</v>
      </c>
      <c r="J117" t="s">
        <v>683</v>
      </c>
      <c r="K117" t="s">
        <v>684</v>
      </c>
      <c r="L117" t="s">
        <v>6</v>
      </c>
      <c r="M117" t="s">
        <v>686</v>
      </c>
      <c r="N117" t="s">
        <v>687</v>
      </c>
      <c r="O117" t="s">
        <v>639</v>
      </c>
    </row>
    <row r="118" spans="1:15" ht="45" hidden="1" x14ac:dyDescent="0.25">
      <c r="A118">
        <v>158</v>
      </c>
      <c r="B118" t="s">
        <v>848</v>
      </c>
      <c r="C118" t="s">
        <v>659</v>
      </c>
      <c r="D118" s="273" t="s">
        <v>852</v>
      </c>
      <c r="E118" t="s">
        <v>781</v>
      </c>
      <c r="F118" t="s">
        <v>680</v>
      </c>
      <c r="G118" t="s">
        <v>781</v>
      </c>
      <c r="H118" s="134" t="s">
        <v>772</v>
      </c>
      <c r="I118" t="s">
        <v>851</v>
      </c>
      <c r="J118" t="s">
        <v>683</v>
      </c>
      <c r="K118" t="s">
        <v>684</v>
      </c>
      <c r="L118" t="s">
        <v>6</v>
      </c>
      <c r="M118" t="s">
        <v>686</v>
      </c>
      <c r="N118" t="s">
        <v>687</v>
      </c>
      <c r="O118" t="s">
        <v>639</v>
      </c>
    </row>
    <row r="119" spans="1:15" hidden="1" x14ac:dyDescent="0.25">
      <c r="A119">
        <v>161</v>
      </c>
      <c r="B119" t="s">
        <v>853</v>
      </c>
      <c r="C119" t="s">
        <v>659</v>
      </c>
      <c r="D119" t="s">
        <v>854</v>
      </c>
      <c r="E119" t="s">
        <v>698</v>
      </c>
      <c r="F119" t="s">
        <v>855</v>
      </c>
      <c r="G119" t="s">
        <v>698</v>
      </c>
      <c r="H119" s="134" t="s">
        <v>856</v>
      </c>
      <c r="I119" t="s">
        <v>857</v>
      </c>
      <c r="J119" t="s">
        <v>858</v>
      </c>
      <c r="N119" t="s">
        <v>639</v>
      </c>
      <c r="O119" t="s">
        <v>639</v>
      </c>
    </row>
    <row r="120" spans="1:15" hidden="1" x14ac:dyDescent="0.25">
      <c r="A120">
        <v>161</v>
      </c>
      <c r="B120" t="s">
        <v>853</v>
      </c>
      <c r="C120" t="s">
        <v>659</v>
      </c>
      <c r="D120" t="s">
        <v>859</v>
      </c>
      <c r="E120" t="s">
        <v>860</v>
      </c>
      <c r="F120" t="s">
        <v>698</v>
      </c>
      <c r="G120" t="s">
        <v>698</v>
      </c>
      <c r="H120" s="134" t="s">
        <v>856</v>
      </c>
      <c r="I120" t="s">
        <v>857</v>
      </c>
      <c r="J120" t="s">
        <v>858</v>
      </c>
      <c r="N120" t="s">
        <v>639</v>
      </c>
      <c r="O120" t="s">
        <v>639</v>
      </c>
    </row>
    <row r="121" spans="1:15" hidden="1" x14ac:dyDescent="0.25">
      <c r="A121">
        <v>162</v>
      </c>
      <c r="B121" t="s">
        <v>861</v>
      </c>
      <c r="C121" t="s">
        <v>659</v>
      </c>
      <c r="D121" t="s">
        <v>862</v>
      </c>
      <c r="E121" t="s">
        <v>791</v>
      </c>
      <c r="F121" t="s">
        <v>863</v>
      </c>
      <c r="G121" t="s">
        <v>791</v>
      </c>
      <c r="H121" s="134" t="s">
        <v>864</v>
      </c>
      <c r="I121" t="s">
        <v>865</v>
      </c>
      <c r="J121" t="s">
        <v>683</v>
      </c>
      <c r="K121" t="s">
        <v>695</v>
      </c>
      <c r="L121" t="s">
        <v>761</v>
      </c>
      <c r="M121" t="s">
        <v>686</v>
      </c>
      <c r="N121" t="s">
        <v>687</v>
      </c>
      <c r="O121" t="s">
        <v>639</v>
      </c>
    </row>
    <row r="122" spans="1:15" hidden="1" x14ac:dyDescent="0.25">
      <c r="A122">
        <v>162</v>
      </c>
      <c r="B122" t="s">
        <v>861</v>
      </c>
      <c r="C122" t="s">
        <v>659</v>
      </c>
      <c r="D122" t="s">
        <v>862</v>
      </c>
      <c r="E122" t="s">
        <v>791</v>
      </c>
      <c r="F122" t="s">
        <v>863</v>
      </c>
      <c r="G122" t="s">
        <v>791</v>
      </c>
      <c r="H122" s="134" t="s">
        <v>864</v>
      </c>
      <c r="I122" t="s">
        <v>865</v>
      </c>
      <c r="J122" t="s">
        <v>683</v>
      </c>
      <c r="K122" t="s">
        <v>695</v>
      </c>
      <c r="L122" t="s">
        <v>761</v>
      </c>
      <c r="M122" t="s">
        <v>686</v>
      </c>
      <c r="N122" t="s">
        <v>687</v>
      </c>
      <c r="O122" t="s">
        <v>639</v>
      </c>
    </row>
    <row r="123" spans="1:15" hidden="1" x14ac:dyDescent="0.25">
      <c r="A123">
        <v>167</v>
      </c>
      <c r="B123" t="s">
        <v>866</v>
      </c>
      <c r="C123" t="s">
        <v>659</v>
      </c>
      <c r="D123" t="s">
        <v>867</v>
      </c>
      <c r="E123" t="s">
        <v>765</v>
      </c>
      <c r="F123" t="s">
        <v>868</v>
      </c>
      <c r="G123" t="s">
        <v>765</v>
      </c>
      <c r="H123" s="134" t="s">
        <v>864</v>
      </c>
      <c r="I123" t="s">
        <v>869</v>
      </c>
      <c r="J123" t="s">
        <v>858</v>
      </c>
      <c r="K123" t="s">
        <v>684</v>
      </c>
      <c r="L123" t="s">
        <v>761</v>
      </c>
      <c r="M123" t="s">
        <v>686</v>
      </c>
      <c r="N123" t="s">
        <v>687</v>
      </c>
      <c r="O123" t="s">
        <v>639</v>
      </c>
    </row>
    <row r="124" spans="1:15" hidden="1" x14ac:dyDescent="0.25">
      <c r="A124">
        <v>167</v>
      </c>
      <c r="B124" t="s">
        <v>866</v>
      </c>
      <c r="C124" t="s">
        <v>659</v>
      </c>
      <c r="D124" t="s">
        <v>870</v>
      </c>
      <c r="E124" t="s">
        <v>766</v>
      </c>
      <c r="F124" t="s">
        <v>868</v>
      </c>
      <c r="G124" t="s">
        <v>765</v>
      </c>
      <c r="H124" s="134" t="s">
        <v>864</v>
      </c>
      <c r="I124" t="s">
        <v>869</v>
      </c>
      <c r="J124" t="s">
        <v>683</v>
      </c>
      <c r="K124" t="s">
        <v>684</v>
      </c>
      <c r="L124" t="s">
        <v>761</v>
      </c>
      <c r="M124" t="s">
        <v>686</v>
      </c>
      <c r="N124" t="s">
        <v>687</v>
      </c>
      <c r="O124" t="s">
        <v>639</v>
      </c>
    </row>
    <row r="125" spans="1:15" hidden="1" x14ac:dyDescent="0.25">
      <c r="A125">
        <v>171</v>
      </c>
      <c r="B125" t="s">
        <v>871</v>
      </c>
      <c r="C125" t="s">
        <v>659</v>
      </c>
      <c r="D125" t="s">
        <v>872</v>
      </c>
      <c r="E125" t="s">
        <v>873</v>
      </c>
      <c r="F125" t="s">
        <v>874</v>
      </c>
      <c r="G125" t="s">
        <v>874</v>
      </c>
      <c r="H125" s="134" t="s">
        <v>875</v>
      </c>
      <c r="J125" t="s">
        <v>683</v>
      </c>
      <c r="K125" t="s">
        <v>684</v>
      </c>
      <c r="L125" t="s">
        <v>685</v>
      </c>
      <c r="M125" t="s">
        <v>686</v>
      </c>
      <c r="N125" t="s">
        <v>687</v>
      </c>
      <c r="O125" t="s">
        <v>639</v>
      </c>
    </row>
    <row r="126" spans="1:15" hidden="1" x14ac:dyDescent="0.25">
      <c r="A126">
        <v>171</v>
      </c>
      <c r="B126" t="s">
        <v>871</v>
      </c>
      <c r="C126" t="s">
        <v>659</v>
      </c>
      <c r="D126" t="s">
        <v>876</v>
      </c>
      <c r="E126" t="s">
        <v>873</v>
      </c>
      <c r="F126" t="s">
        <v>874</v>
      </c>
      <c r="G126" t="s">
        <v>874</v>
      </c>
      <c r="H126" s="134" t="s">
        <v>875</v>
      </c>
      <c r="J126" t="s">
        <v>683</v>
      </c>
      <c r="K126" t="s">
        <v>684</v>
      </c>
      <c r="M126" t="s">
        <v>686</v>
      </c>
      <c r="N126" t="s">
        <v>687</v>
      </c>
      <c r="O126" t="s">
        <v>639</v>
      </c>
    </row>
    <row r="127" spans="1:15" hidden="1" x14ac:dyDescent="0.25">
      <c r="A127">
        <v>173</v>
      </c>
      <c r="B127" t="s">
        <v>877</v>
      </c>
      <c r="C127" t="s">
        <v>659</v>
      </c>
      <c r="D127" t="s">
        <v>878</v>
      </c>
      <c r="E127" t="s">
        <v>662</v>
      </c>
      <c r="F127" t="s">
        <v>680</v>
      </c>
      <c r="G127" t="s">
        <v>680</v>
      </c>
      <c r="H127" s="134" t="s">
        <v>732</v>
      </c>
      <c r="I127" t="s">
        <v>879</v>
      </c>
      <c r="J127" t="s">
        <v>683</v>
      </c>
      <c r="K127" t="s">
        <v>684</v>
      </c>
      <c r="L127" t="s">
        <v>685</v>
      </c>
      <c r="M127" t="s">
        <v>686</v>
      </c>
      <c r="N127" t="s">
        <v>687</v>
      </c>
      <c r="O127" t="s">
        <v>639</v>
      </c>
    </row>
    <row r="128" spans="1:15" hidden="1" x14ac:dyDescent="0.25">
      <c r="A128">
        <v>173</v>
      </c>
      <c r="B128" t="s">
        <v>877</v>
      </c>
      <c r="C128" t="s">
        <v>659</v>
      </c>
      <c r="D128" t="s">
        <v>880</v>
      </c>
      <c r="E128" t="s">
        <v>662</v>
      </c>
      <c r="F128" t="s">
        <v>680</v>
      </c>
      <c r="G128" t="s">
        <v>680</v>
      </c>
      <c r="H128" s="134" t="s">
        <v>732</v>
      </c>
      <c r="I128" t="s">
        <v>881</v>
      </c>
      <c r="J128" t="s">
        <v>683</v>
      </c>
      <c r="K128" t="s">
        <v>684</v>
      </c>
      <c r="L128" t="s">
        <v>685</v>
      </c>
      <c r="M128" t="s">
        <v>686</v>
      </c>
      <c r="N128" t="s">
        <v>687</v>
      </c>
      <c r="O128" t="s">
        <v>639</v>
      </c>
    </row>
    <row r="129" spans="1:15" hidden="1" x14ac:dyDescent="0.25">
      <c r="A129">
        <v>173</v>
      </c>
      <c r="B129" t="s">
        <v>877</v>
      </c>
      <c r="C129" t="s">
        <v>659</v>
      </c>
      <c r="D129" t="s">
        <v>882</v>
      </c>
      <c r="E129" t="s">
        <v>658</v>
      </c>
      <c r="F129" t="s">
        <v>680</v>
      </c>
      <c r="G129" t="s">
        <v>680</v>
      </c>
      <c r="H129" s="134" t="s">
        <v>732</v>
      </c>
      <c r="I129" t="s">
        <v>883</v>
      </c>
      <c r="J129" t="s">
        <v>683</v>
      </c>
      <c r="K129" t="s">
        <v>684</v>
      </c>
      <c r="L129" t="s">
        <v>685</v>
      </c>
      <c r="M129" t="s">
        <v>686</v>
      </c>
      <c r="N129" t="s">
        <v>687</v>
      </c>
      <c r="O129" t="s">
        <v>639</v>
      </c>
    </row>
    <row r="130" spans="1:15" hidden="1" x14ac:dyDescent="0.25">
      <c r="A130">
        <v>173</v>
      </c>
      <c r="B130" t="s">
        <v>877</v>
      </c>
      <c r="C130" t="s">
        <v>659</v>
      </c>
      <c r="D130" t="s">
        <v>884</v>
      </c>
      <c r="E130" t="s">
        <v>662</v>
      </c>
      <c r="F130" t="s">
        <v>658</v>
      </c>
      <c r="G130" t="s">
        <v>680</v>
      </c>
      <c r="H130" s="134" t="s">
        <v>732</v>
      </c>
      <c r="I130" t="s">
        <v>885</v>
      </c>
      <c r="J130" t="s">
        <v>683</v>
      </c>
      <c r="K130" t="s">
        <v>684</v>
      </c>
      <c r="L130" t="s">
        <v>685</v>
      </c>
      <c r="M130" t="s">
        <v>686</v>
      </c>
      <c r="N130" t="s">
        <v>687</v>
      </c>
      <c r="O130" t="s">
        <v>639</v>
      </c>
    </row>
    <row r="131" spans="1:15" hidden="1" x14ac:dyDescent="0.25">
      <c r="A131">
        <v>178</v>
      </c>
      <c r="B131" t="s">
        <v>1642</v>
      </c>
      <c r="C131" t="s">
        <v>659</v>
      </c>
      <c r="D131" t="s">
        <v>2190</v>
      </c>
      <c r="E131" t="s">
        <v>1588</v>
      </c>
      <c r="F131" t="s">
        <v>1321</v>
      </c>
      <c r="G131" t="s">
        <v>1588</v>
      </c>
      <c r="H131" s="134" t="s">
        <v>1644</v>
      </c>
      <c r="I131" t="s">
        <v>753</v>
      </c>
      <c r="J131" t="s">
        <v>683</v>
      </c>
      <c r="K131" t="s">
        <v>718</v>
      </c>
      <c r="L131" t="s">
        <v>685</v>
      </c>
      <c r="M131" t="s">
        <v>686</v>
      </c>
      <c r="N131" t="s">
        <v>687</v>
      </c>
      <c r="O131" t="s">
        <v>639</v>
      </c>
    </row>
    <row r="132" spans="1:15" hidden="1" x14ac:dyDescent="0.25">
      <c r="A132">
        <v>180</v>
      </c>
      <c r="B132" t="s">
        <v>886</v>
      </c>
      <c r="C132" t="s">
        <v>659</v>
      </c>
      <c r="D132" t="s">
        <v>887</v>
      </c>
      <c r="E132" t="s">
        <v>888</v>
      </c>
      <c r="F132" t="s">
        <v>680</v>
      </c>
      <c r="G132" t="s">
        <v>888</v>
      </c>
      <c r="H132" s="134" t="s">
        <v>732</v>
      </c>
      <c r="J132" t="s">
        <v>683</v>
      </c>
      <c r="K132" t="s">
        <v>718</v>
      </c>
      <c r="L132" t="s">
        <v>7</v>
      </c>
      <c r="M132" t="s">
        <v>686</v>
      </c>
      <c r="N132" t="s">
        <v>687</v>
      </c>
      <c r="O132" t="s">
        <v>639</v>
      </c>
    </row>
    <row r="133" spans="1:15" hidden="1" x14ac:dyDescent="0.25">
      <c r="A133">
        <v>182</v>
      </c>
      <c r="B133" t="s">
        <v>889</v>
      </c>
      <c r="C133" t="s">
        <v>659</v>
      </c>
      <c r="D133" t="s">
        <v>895</v>
      </c>
      <c r="E133" t="s">
        <v>896</v>
      </c>
      <c r="F133" t="s">
        <v>892</v>
      </c>
      <c r="G133" t="s">
        <v>892</v>
      </c>
      <c r="H133" s="134" t="s">
        <v>893</v>
      </c>
      <c r="I133" t="s">
        <v>897</v>
      </c>
      <c r="J133" t="s">
        <v>683</v>
      </c>
      <c r="K133" t="s">
        <v>684</v>
      </c>
      <c r="L133" t="s">
        <v>685</v>
      </c>
      <c r="M133" t="s">
        <v>686</v>
      </c>
      <c r="N133" t="s">
        <v>687</v>
      </c>
      <c r="O133" t="s">
        <v>639</v>
      </c>
    </row>
    <row r="134" spans="1:15" hidden="1" x14ac:dyDescent="0.25">
      <c r="A134">
        <v>182</v>
      </c>
      <c r="B134" t="s">
        <v>889</v>
      </c>
      <c r="C134" t="s">
        <v>659</v>
      </c>
      <c r="D134" t="s">
        <v>898</v>
      </c>
      <c r="E134" t="s">
        <v>899</v>
      </c>
      <c r="F134" t="s">
        <v>892</v>
      </c>
      <c r="G134" t="s">
        <v>892</v>
      </c>
      <c r="H134" s="134" t="s">
        <v>893</v>
      </c>
      <c r="I134" t="s">
        <v>900</v>
      </c>
      <c r="J134" t="s">
        <v>683</v>
      </c>
      <c r="K134" t="s">
        <v>684</v>
      </c>
      <c r="L134" t="s">
        <v>685</v>
      </c>
      <c r="M134" t="s">
        <v>686</v>
      </c>
      <c r="N134" t="s">
        <v>687</v>
      </c>
      <c r="O134" t="s">
        <v>639</v>
      </c>
    </row>
    <row r="135" spans="1:15" hidden="1" x14ac:dyDescent="0.25">
      <c r="A135">
        <v>182</v>
      </c>
      <c r="B135" t="s">
        <v>889</v>
      </c>
      <c r="C135" t="s">
        <v>659</v>
      </c>
      <c r="D135" t="s">
        <v>890</v>
      </c>
      <c r="E135" t="s">
        <v>891</v>
      </c>
      <c r="F135" t="s">
        <v>681</v>
      </c>
      <c r="G135" t="s">
        <v>892</v>
      </c>
      <c r="H135" s="134" t="s">
        <v>893</v>
      </c>
      <c r="I135" t="s">
        <v>894</v>
      </c>
      <c r="J135" t="s">
        <v>683</v>
      </c>
      <c r="K135" t="s">
        <v>684</v>
      </c>
      <c r="L135" t="s">
        <v>685</v>
      </c>
      <c r="M135" t="s">
        <v>686</v>
      </c>
      <c r="N135" t="s">
        <v>687</v>
      </c>
      <c r="O135" t="s">
        <v>639</v>
      </c>
    </row>
    <row r="136" spans="1:15" hidden="1" x14ac:dyDescent="0.25">
      <c r="A136">
        <v>182</v>
      </c>
      <c r="B136" t="s">
        <v>889</v>
      </c>
      <c r="C136" t="s">
        <v>659</v>
      </c>
      <c r="D136" t="s">
        <v>901</v>
      </c>
      <c r="E136" t="s">
        <v>891</v>
      </c>
      <c r="F136" t="s">
        <v>681</v>
      </c>
      <c r="G136" t="s">
        <v>892</v>
      </c>
      <c r="H136" s="134" t="s">
        <v>893</v>
      </c>
      <c r="I136" t="s">
        <v>894</v>
      </c>
      <c r="J136" t="s">
        <v>683</v>
      </c>
      <c r="K136" t="s">
        <v>684</v>
      </c>
      <c r="L136" t="s">
        <v>685</v>
      </c>
      <c r="M136" t="s">
        <v>686</v>
      </c>
      <c r="N136" t="s">
        <v>687</v>
      </c>
      <c r="O136" t="s">
        <v>639</v>
      </c>
    </row>
    <row r="137" spans="1:15" hidden="1" x14ac:dyDescent="0.25">
      <c r="A137">
        <v>183</v>
      </c>
      <c r="B137" t="s">
        <v>902</v>
      </c>
      <c r="C137" t="s">
        <v>659</v>
      </c>
      <c r="D137" t="s">
        <v>903</v>
      </c>
      <c r="E137" t="s">
        <v>888</v>
      </c>
      <c r="F137" t="s">
        <v>658</v>
      </c>
      <c r="G137" t="s">
        <v>658</v>
      </c>
      <c r="H137" s="134" t="s">
        <v>694</v>
      </c>
      <c r="I137" t="s">
        <v>821</v>
      </c>
      <c r="J137" t="s">
        <v>683</v>
      </c>
      <c r="K137" t="s">
        <v>718</v>
      </c>
      <c r="L137" t="s">
        <v>7</v>
      </c>
      <c r="M137" t="s">
        <v>686</v>
      </c>
      <c r="N137" t="s">
        <v>687</v>
      </c>
      <c r="O137" t="s">
        <v>639</v>
      </c>
    </row>
    <row r="138" spans="1:15" hidden="1" x14ac:dyDescent="0.25">
      <c r="A138">
        <v>189</v>
      </c>
      <c r="B138" t="s">
        <v>904</v>
      </c>
      <c r="C138" t="s">
        <v>659</v>
      </c>
      <c r="D138" t="s">
        <v>905</v>
      </c>
      <c r="E138" t="s">
        <v>707</v>
      </c>
      <c r="F138" t="s">
        <v>699</v>
      </c>
      <c r="G138" t="s">
        <v>906</v>
      </c>
      <c r="H138" s="134" t="s">
        <v>907</v>
      </c>
      <c r="I138" t="s">
        <v>908</v>
      </c>
      <c r="J138" t="s">
        <v>683</v>
      </c>
      <c r="K138" t="s">
        <v>684</v>
      </c>
      <c r="L138" t="s">
        <v>909</v>
      </c>
      <c r="M138" t="s">
        <v>686</v>
      </c>
      <c r="N138" t="s">
        <v>687</v>
      </c>
      <c r="O138" t="s">
        <v>639</v>
      </c>
    </row>
    <row r="139" spans="1:15" hidden="1" x14ac:dyDescent="0.25">
      <c r="A139">
        <v>189</v>
      </c>
      <c r="B139" t="s">
        <v>904</v>
      </c>
      <c r="C139" t="s">
        <v>659</v>
      </c>
      <c r="D139" t="s">
        <v>910</v>
      </c>
      <c r="E139" t="s">
        <v>699</v>
      </c>
      <c r="F139" t="s">
        <v>721</v>
      </c>
      <c r="G139" t="s">
        <v>906</v>
      </c>
      <c r="H139" s="134" t="s">
        <v>907</v>
      </c>
      <c r="I139" t="s">
        <v>911</v>
      </c>
      <c r="J139" t="s">
        <v>683</v>
      </c>
      <c r="K139" t="s">
        <v>718</v>
      </c>
      <c r="L139" t="s">
        <v>912</v>
      </c>
      <c r="M139" t="s">
        <v>686</v>
      </c>
      <c r="N139" t="s">
        <v>687</v>
      </c>
      <c r="O139" t="s">
        <v>639</v>
      </c>
    </row>
    <row r="140" spans="1:15" hidden="1" x14ac:dyDescent="0.25">
      <c r="A140">
        <v>189</v>
      </c>
      <c r="B140" t="s">
        <v>904</v>
      </c>
      <c r="C140" t="s">
        <v>659</v>
      </c>
      <c r="D140" t="s">
        <v>913</v>
      </c>
      <c r="E140" t="s">
        <v>721</v>
      </c>
      <c r="F140" t="s">
        <v>699</v>
      </c>
      <c r="G140" t="s">
        <v>906</v>
      </c>
      <c r="H140" s="134" t="s">
        <v>907</v>
      </c>
      <c r="I140" t="s">
        <v>911</v>
      </c>
      <c r="J140" t="s">
        <v>683</v>
      </c>
      <c r="K140" t="s">
        <v>718</v>
      </c>
      <c r="L140" t="s">
        <v>912</v>
      </c>
      <c r="M140" t="s">
        <v>686</v>
      </c>
      <c r="N140" t="s">
        <v>687</v>
      </c>
      <c r="O140" t="s">
        <v>639</v>
      </c>
    </row>
    <row r="141" spans="1:15" hidden="1" x14ac:dyDescent="0.25">
      <c r="A141">
        <v>190</v>
      </c>
      <c r="B141" t="s">
        <v>914</v>
      </c>
      <c r="C141" t="s">
        <v>659</v>
      </c>
      <c r="D141" t="s">
        <v>915</v>
      </c>
      <c r="E141" t="s">
        <v>916</v>
      </c>
      <c r="F141" t="s">
        <v>717</v>
      </c>
      <c r="G141" t="s">
        <v>717</v>
      </c>
      <c r="H141" s="134" t="s">
        <v>772</v>
      </c>
      <c r="I141" t="s">
        <v>917</v>
      </c>
      <c r="J141" t="s">
        <v>683</v>
      </c>
      <c r="L141" t="s">
        <v>6</v>
      </c>
      <c r="M141" t="s">
        <v>686</v>
      </c>
      <c r="N141" t="s">
        <v>687</v>
      </c>
      <c r="O141" t="s">
        <v>639</v>
      </c>
    </row>
    <row r="142" spans="1:15" hidden="1" x14ac:dyDescent="0.25">
      <c r="A142">
        <v>190</v>
      </c>
      <c r="B142" t="s">
        <v>914</v>
      </c>
      <c r="C142" t="s">
        <v>659</v>
      </c>
      <c r="D142" t="s">
        <v>918</v>
      </c>
      <c r="E142" t="s">
        <v>916</v>
      </c>
      <c r="F142" t="s">
        <v>717</v>
      </c>
      <c r="G142" t="s">
        <v>717</v>
      </c>
      <c r="H142" s="134" t="s">
        <v>772</v>
      </c>
      <c r="I142" t="s">
        <v>919</v>
      </c>
      <c r="J142" t="s">
        <v>858</v>
      </c>
      <c r="K142" t="s">
        <v>695</v>
      </c>
      <c r="L142" t="s">
        <v>685</v>
      </c>
      <c r="M142" t="s">
        <v>686</v>
      </c>
      <c r="N142" t="s">
        <v>687</v>
      </c>
      <c r="O142" t="s">
        <v>639</v>
      </c>
    </row>
    <row r="143" spans="1:15" hidden="1" x14ac:dyDescent="0.25">
      <c r="A143">
        <v>190</v>
      </c>
      <c r="B143" t="s">
        <v>914</v>
      </c>
      <c r="C143" t="s">
        <v>659</v>
      </c>
      <c r="D143" t="s">
        <v>920</v>
      </c>
      <c r="E143" t="s">
        <v>916</v>
      </c>
      <c r="F143" t="s">
        <v>717</v>
      </c>
      <c r="G143" t="s">
        <v>717</v>
      </c>
      <c r="H143" s="134" t="s">
        <v>772</v>
      </c>
      <c r="J143" t="s">
        <v>683</v>
      </c>
      <c r="K143" t="s">
        <v>695</v>
      </c>
      <c r="L143" t="s">
        <v>685</v>
      </c>
      <c r="M143" t="s">
        <v>686</v>
      </c>
      <c r="N143" t="s">
        <v>687</v>
      </c>
      <c r="O143" t="s">
        <v>639</v>
      </c>
    </row>
    <row r="144" spans="1:15" hidden="1" x14ac:dyDescent="0.25">
      <c r="A144">
        <v>190</v>
      </c>
      <c r="B144" t="s">
        <v>914</v>
      </c>
      <c r="C144" t="s">
        <v>659</v>
      </c>
      <c r="D144" t="s">
        <v>921</v>
      </c>
      <c r="E144" t="s">
        <v>680</v>
      </c>
      <c r="F144" t="s">
        <v>772</v>
      </c>
      <c r="G144" t="s">
        <v>717</v>
      </c>
      <c r="H144" s="134" t="s">
        <v>772</v>
      </c>
      <c r="I144" t="s">
        <v>922</v>
      </c>
      <c r="J144" t="s">
        <v>683</v>
      </c>
      <c r="K144" t="s">
        <v>684</v>
      </c>
      <c r="L144" t="s">
        <v>923</v>
      </c>
      <c r="M144" t="s">
        <v>686</v>
      </c>
      <c r="N144" t="s">
        <v>687</v>
      </c>
      <c r="O144" t="s">
        <v>639</v>
      </c>
    </row>
    <row r="145" spans="1:15" hidden="1" x14ac:dyDescent="0.25">
      <c r="A145">
        <v>190</v>
      </c>
      <c r="B145" t="s">
        <v>914</v>
      </c>
      <c r="C145" t="s">
        <v>659</v>
      </c>
      <c r="D145" t="s">
        <v>924</v>
      </c>
      <c r="E145" t="s">
        <v>680</v>
      </c>
      <c r="F145" t="s">
        <v>772</v>
      </c>
      <c r="G145" t="s">
        <v>717</v>
      </c>
      <c r="H145" s="134" t="s">
        <v>772</v>
      </c>
      <c r="J145" t="s">
        <v>683</v>
      </c>
      <c r="K145" t="s">
        <v>684</v>
      </c>
      <c r="L145" t="s">
        <v>923</v>
      </c>
      <c r="M145" t="s">
        <v>686</v>
      </c>
      <c r="N145" t="s">
        <v>687</v>
      </c>
      <c r="O145" t="s">
        <v>639</v>
      </c>
    </row>
    <row r="146" spans="1:15" hidden="1" x14ac:dyDescent="0.25">
      <c r="A146">
        <v>190</v>
      </c>
      <c r="B146" t="s">
        <v>914</v>
      </c>
      <c r="C146" t="s">
        <v>659</v>
      </c>
      <c r="D146" t="s">
        <v>925</v>
      </c>
      <c r="E146" t="s">
        <v>717</v>
      </c>
      <c r="F146" t="s">
        <v>680</v>
      </c>
      <c r="G146" t="s">
        <v>717</v>
      </c>
      <c r="H146" s="134" t="s">
        <v>772</v>
      </c>
      <c r="I146" t="s">
        <v>844</v>
      </c>
      <c r="J146" t="s">
        <v>683</v>
      </c>
      <c r="K146" t="s">
        <v>684</v>
      </c>
      <c r="L146" t="s">
        <v>685</v>
      </c>
      <c r="M146" t="s">
        <v>686</v>
      </c>
      <c r="N146" t="s">
        <v>687</v>
      </c>
      <c r="O146" t="s">
        <v>639</v>
      </c>
    </row>
    <row r="147" spans="1:15" ht="30" x14ac:dyDescent="0.25">
      <c r="A147">
        <v>191</v>
      </c>
      <c r="B147" t="s">
        <v>926</v>
      </c>
      <c r="C147" t="s">
        <v>659</v>
      </c>
      <c r="D147" s="273" t="s">
        <v>927</v>
      </c>
      <c r="E147" t="s">
        <v>928</v>
      </c>
      <c r="F147" t="s">
        <v>680</v>
      </c>
      <c r="G147" t="s">
        <v>929</v>
      </c>
      <c r="H147" s="134" t="s">
        <v>682</v>
      </c>
      <c r="J147" t="s">
        <v>683</v>
      </c>
      <c r="K147" t="s">
        <v>718</v>
      </c>
      <c r="L147" t="s">
        <v>685</v>
      </c>
      <c r="M147" t="s">
        <v>686</v>
      </c>
      <c r="N147" t="s">
        <v>687</v>
      </c>
      <c r="O147" t="s">
        <v>639</v>
      </c>
    </row>
    <row r="148" spans="1:15" ht="30" x14ac:dyDescent="0.25">
      <c r="A148">
        <v>191</v>
      </c>
      <c r="B148" t="s">
        <v>926</v>
      </c>
      <c r="C148" t="s">
        <v>659</v>
      </c>
      <c r="D148" s="273" t="s">
        <v>930</v>
      </c>
      <c r="E148" t="s">
        <v>928</v>
      </c>
      <c r="F148" t="s">
        <v>680</v>
      </c>
      <c r="G148" t="s">
        <v>929</v>
      </c>
      <c r="H148" s="134" t="s">
        <v>682</v>
      </c>
      <c r="J148" t="s">
        <v>683</v>
      </c>
      <c r="K148" t="s">
        <v>718</v>
      </c>
      <c r="L148" t="s">
        <v>685</v>
      </c>
      <c r="M148" t="s">
        <v>686</v>
      </c>
      <c r="N148" t="s">
        <v>687</v>
      </c>
      <c r="O148" t="s">
        <v>639</v>
      </c>
    </row>
    <row r="149" spans="1:15" hidden="1" x14ac:dyDescent="0.25">
      <c r="A149">
        <v>194</v>
      </c>
      <c r="B149" t="s">
        <v>931</v>
      </c>
      <c r="C149" t="s">
        <v>659</v>
      </c>
      <c r="D149" t="s">
        <v>932</v>
      </c>
      <c r="E149" t="s">
        <v>658</v>
      </c>
      <c r="F149" t="s">
        <v>694</v>
      </c>
      <c r="G149" t="s">
        <v>933</v>
      </c>
      <c r="H149" s="134" t="s">
        <v>934</v>
      </c>
      <c r="I149" t="s">
        <v>935</v>
      </c>
      <c r="J149" t="s">
        <v>683</v>
      </c>
      <c r="K149" t="s">
        <v>695</v>
      </c>
      <c r="L149" t="s">
        <v>685</v>
      </c>
      <c r="N149" t="s">
        <v>687</v>
      </c>
      <c r="O149" t="s">
        <v>639</v>
      </c>
    </row>
    <row r="150" spans="1:15" hidden="1" x14ac:dyDescent="0.25">
      <c r="A150">
        <v>194</v>
      </c>
      <c r="B150" t="s">
        <v>931</v>
      </c>
      <c r="C150" t="s">
        <v>659</v>
      </c>
      <c r="D150" t="s">
        <v>936</v>
      </c>
      <c r="E150" t="s">
        <v>662</v>
      </c>
      <c r="F150" t="s">
        <v>680</v>
      </c>
      <c r="G150" t="s">
        <v>933</v>
      </c>
      <c r="H150" s="134" t="s">
        <v>934</v>
      </c>
      <c r="J150" t="s">
        <v>683</v>
      </c>
      <c r="K150" t="s">
        <v>684</v>
      </c>
      <c r="L150" t="s">
        <v>685</v>
      </c>
      <c r="M150" t="s">
        <v>686</v>
      </c>
      <c r="N150" t="s">
        <v>687</v>
      </c>
      <c r="O150" t="s">
        <v>639</v>
      </c>
    </row>
    <row r="151" spans="1:15" hidden="1" x14ac:dyDescent="0.25">
      <c r="A151">
        <v>194</v>
      </c>
      <c r="B151" t="s">
        <v>931</v>
      </c>
      <c r="C151" t="s">
        <v>659</v>
      </c>
      <c r="D151" t="s">
        <v>937</v>
      </c>
      <c r="E151" t="s">
        <v>662</v>
      </c>
      <c r="F151" t="s">
        <v>680</v>
      </c>
      <c r="G151" t="s">
        <v>933</v>
      </c>
      <c r="H151" s="134" t="s">
        <v>934</v>
      </c>
      <c r="I151" t="s">
        <v>938</v>
      </c>
      <c r="J151" t="s">
        <v>683</v>
      </c>
      <c r="K151" t="s">
        <v>684</v>
      </c>
      <c r="L151" t="s">
        <v>685</v>
      </c>
      <c r="M151" t="s">
        <v>686</v>
      </c>
      <c r="N151" t="s">
        <v>687</v>
      </c>
      <c r="O151" t="s">
        <v>639</v>
      </c>
    </row>
    <row r="152" spans="1:15" hidden="1" x14ac:dyDescent="0.25">
      <c r="A152">
        <v>194</v>
      </c>
      <c r="B152" t="s">
        <v>931</v>
      </c>
      <c r="C152" t="s">
        <v>659</v>
      </c>
      <c r="D152" t="s">
        <v>939</v>
      </c>
      <c r="E152" t="s">
        <v>662</v>
      </c>
      <c r="F152" t="s">
        <v>658</v>
      </c>
      <c r="G152" t="s">
        <v>933</v>
      </c>
      <c r="H152" s="134" t="s">
        <v>934</v>
      </c>
      <c r="I152" t="s">
        <v>940</v>
      </c>
      <c r="J152" t="s">
        <v>683</v>
      </c>
      <c r="K152" t="s">
        <v>684</v>
      </c>
      <c r="L152" t="s">
        <v>685</v>
      </c>
      <c r="M152" t="s">
        <v>686</v>
      </c>
      <c r="N152" t="s">
        <v>687</v>
      </c>
      <c r="O152" t="s">
        <v>639</v>
      </c>
    </row>
    <row r="153" spans="1:15" hidden="1" x14ac:dyDescent="0.25">
      <c r="A153">
        <v>194</v>
      </c>
      <c r="B153" t="s">
        <v>931</v>
      </c>
      <c r="C153" t="s">
        <v>659</v>
      </c>
      <c r="D153" t="s">
        <v>941</v>
      </c>
      <c r="E153" t="s">
        <v>662</v>
      </c>
      <c r="F153" t="s">
        <v>658</v>
      </c>
      <c r="G153" t="s">
        <v>933</v>
      </c>
      <c r="H153" s="134" t="s">
        <v>934</v>
      </c>
      <c r="I153" t="s">
        <v>885</v>
      </c>
      <c r="J153" t="s">
        <v>683</v>
      </c>
      <c r="K153" t="s">
        <v>684</v>
      </c>
      <c r="L153" t="s">
        <v>685</v>
      </c>
      <c r="M153" t="s">
        <v>686</v>
      </c>
      <c r="N153" t="s">
        <v>687</v>
      </c>
      <c r="O153" t="s">
        <v>639</v>
      </c>
    </row>
    <row r="154" spans="1:15" hidden="1" x14ac:dyDescent="0.25">
      <c r="A154">
        <v>194</v>
      </c>
      <c r="B154" t="s">
        <v>931</v>
      </c>
      <c r="C154" t="s">
        <v>659</v>
      </c>
      <c r="D154" t="s">
        <v>942</v>
      </c>
      <c r="E154" t="s">
        <v>662</v>
      </c>
      <c r="F154" t="s">
        <v>658</v>
      </c>
      <c r="G154" t="s">
        <v>933</v>
      </c>
      <c r="H154" s="134" t="s">
        <v>934</v>
      </c>
      <c r="I154" t="s">
        <v>943</v>
      </c>
      <c r="J154" t="s">
        <v>683</v>
      </c>
      <c r="K154" t="s">
        <v>684</v>
      </c>
      <c r="L154" t="s">
        <v>685</v>
      </c>
      <c r="M154" t="s">
        <v>686</v>
      </c>
      <c r="N154" t="s">
        <v>687</v>
      </c>
      <c r="O154" t="s">
        <v>639</v>
      </c>
    </row>
    <row r="155" spans="1:15" hidden="1" x14ac:dyDescent="0.25">
      <c r="A155">
        <v>197</v>
      </c>
      <c r="B155" t="s">
        <v>944</v>
      </c>
      <c r="C155" t="s">
        <v>659</v>
      </c>
      <c r="D155" t="s">
        <v>945</v>
      </c>
      <c r="E155" t="s">
        <v>658</v>
      </c>
      <c r="F155" t="s">
        <v>694</v>
      </c>
      <c r="G155" t="s">
        <v>658</v>
      </c>
      <c r="H155" s="134" t="s">
        <v>732</v>
      </c>
      <c r="J155" t="s">
        <v>683</v>
      </c>
      <c r="K155" t="s">
        <v>684</v>
      </c>
      <c r="L155" t="s">
        <v>685</v>
      </c>
      <c r="N155" t="s">
        <v>687</v>
      </c>
      <c r="O155" t="s">
        <v>639</v>
      </c>
    </row>
    <row r="156" spans="1:15" hidden="1" x14ac:dyDescent="0.25">
      <c r="A156">
        <v>197</v>
      </c>
      <c r="B156" t="s">
        <v>944</v>
      </c>
      <c r="C156" t="s">
        <v>659</v>
      </c>
      <c r="D156" t="s">
        <v>946</v>
      </c>
      <c r="E156" t="s">
        <v>662</v>
      </c>
      <c r="F156" t="s">
        <v>658</v>
      </c>
      <c r="G156" t="s">
        <v>658</v>
      </c>
      <c r="H156" s="134" t="s">
        <v>732</v>
      </c>
      <c r="I156" t="s">
        <v>947</v>
      </c>
      <c r="J156" t="s">
        <v>683</v>
      </c>
      <c r="K156" t="s">
        <v>684</v>
      </c>
      <c r="L156" t="s">
        <v>7</v>
      </c>
      <c r="M156" t="s">
        <v>686</v>
      </c>
      <c r="N156" t="s">
        <v>687</v>
      </c>
      <c r="O156" t="s">
        <v>639</v>
      </c>
    </row>
    <row r="157" spans="1:15" hidden="1" x14ac:dyDescent="0.25">
      <c r="A157">
        <v>200</v>
      </c>
      <c r="B157" t="s">
        <v>948</v>
      </c>
      <c r="C157" t="s">
        <v>659</v>
      </c>
      <c r="D157" t="s">
        <v>949</v>
      </c>
      <c r="E157" t="s">
        <v>774</v>
      </c>
      <c r="F157" t="s">
        <v>680</v>
      </c>
      <c r="G157" t="s">
        <v>950</v>
      </c>
      <c r="H157" s="134" t="s">
        <v>951</v>
      </c>
      <c r="J157" t="s">
        <v>683</v>
      </c>
      <c r="K157" t="s">
        <v>695</v>
      </c>
      <c r="L157" t="s">
        <v>685</v>
      </c>
      <c r="M157" t="s">
        <v>686</v>
      </c>
      <c r="N157" t="s">
        <v>687</v>
      </c>
      <c r="O157" t="s">
        <v>639</v>
      </c>
    </row>
    <row r="158" spans="1:15" hidden="1" x14ac:dyDescent="0.25">
      <c r="A158">
        <v>200</v>
      </c>
      <c r="B158" t="s">
        <v>948</v>
      </c>
      <c r="C158" t="s">
        <v>659</v>
      </c>
      <c r="D158" t="s">
        <v>952</v>
      </c>
      <c r="E158" t="s">
        <v>774</v>
      </c>
      <c r="F158" t="s">
        <v>680</v>
      </c>
      <c r="G158" t="s">
        <v>950</v>
      </c>
      <c r="H158" s="134" t="s">
        <v>951</v>
      </c>
      <c r="I158" t="s">
        <v>953</v>
      </c>
      <c r="J158" t="s">
        <v>683</v>
      </c>
      <c r="K158" t="s">
        <v>695</v>
      </c>
      <c r="M158" t="s">
        <v>686</v>
      </c>
      <c r="N158" t="s">
        <v>687</v>
      </c>
      <c r="O158" t="s">
        <v>639</v>
      </c>
    </row>
    <row r="159" spans="1:15" hidden="1" x14ac:dyDescent="0.25">
      <c r="A159">
        <v>200</v>
      </c>
      <c r="B159" t="s">
        <v>948</v>
      </c>
      <c r="C159" t="s">
        <v>659</v>
      </c>
      <c r="D159" t="s">
        <v>954</v>
      </c>
      <c r="E159" t="s">
        <v>955</v>
      </c>
      <c r="F159" t="s">
        <v>680</v>
      </c>
      <c r="G159" t="s">
        <v>950</v>
      </c>
      <c r="H159" s="134" t="s">
        <v>951</v>
      </c>
      <c r="J159" t="s">
        <v>956</v>
      </c>
      <c r="K159" t="s">
        <v>695</v>
      </c>
      <c r="M159" t="s">
        <v>686</v>
      </c>
      <c r="N159" t="s">
        <v>687</v>
      </c>
      <c r="O159" t="s">
        <v>639</v>
      </c>
    </row>
    <row r="160" spans="1:15" hidden="1" x14ac:dyDescent="0.25">
      <c r="A160">
        <v>200</v>
      </c>
      <c r="B160" t="s">
        <v>948</v>
      </c>
      <c r="C160" t="s">
        <v>659</v>
      </c>
      <c r="D160" t="s">
        <v>957</v>
      </c>
      <c r="E160" t="s">
        <v>955</v>
      </c>
      <c r="F160" t="s">
        <v>680</v>
      </c>
      <c r="G160" t="s">
        <v>950</v>
      </c>
      <c r="H160" s="134" t="s">
        <v>951</v>
      </c>
      <c r="J160" t="s">
        <v>956</v>
      </c>
      <c r="K160" t="s">
        <v>684</v>
      </c>
      <c r="M160" t="s">
        <v>686</v>
      </c>
      <c r="N160" t="s">
        <v>687</v>
      </c>
      <c r="O160" t="s">
        <v>639</v>
      </c>
    </row>
    <row r="161" spans="1:15" hidden="1" x14ac:dyDescent="0.25">
      <c r="A161">
        <v>206</v>
      </c>
      <c r="B161" t="s">
        <v>958</v>
      </c>
      <c r="C161" t="s">
        <v>659</v>
      </c>
      <c r="D161" t="s">
        <v>959</v>
      </c>
      <c r="E161" t="s">
        <v>681</v>
      </c>
      <c r="F161" t="s">
        <v>960</v>
      </c>
      <c r="G161" t="s">
        <v>681</v>
      </c>
      <c r="H161" s="134" t="s">
        <v>961</v>
      </c>
      <c r="J161" t="s">
        <v>683</v>
      </c>
      <c r="K161" t="s">
        <v>718</v>
      </c>
      <c r="L161" t="s">
        <v>685</v>
      </c>
      <c r="M161" t="s">
        <v>686</v>
      </c>
      <c r="N161" t="s">
        <v>687</v>
      </c>
      <c r="O161" t="s">
        <v>639</v>
      </c>
    </row>
    <row r="162" spans="1:15" hidden="1" x14ac:dyDescent="0.25">
      <c r="A162">
        <v>207</v>
      </c>
      <c r="B162" t="s">
        <v>1703</v>
      </c>
      <c r="C162" t="s">
        <v>659</v>
      </c>
      <c r="D162" t="s">
        <v>2191</v>
      </c>
      <c r="E162" t="s">
        <v>781</v>
      </c>
      <c r="F162" t="s">
        <v>1321</v>
      </c>
      <c r="G162" t="s">
        <v>1653</v>
      </c>
      <c r="H162" s="134" t="s">
        <v>1704</v>
      </c>
      <c r="I162" t="s">
        <v>2192</v>
      </c>
      <c r="J162" t="s">
        <v>683</v>
      </c>
      <c r="K162" t="s">
        <v>692</v>
      </c>
      <c r="L162" t="s">
        <v>685</v>
      </c>
      <c r="M162" t="s">
        <v>686</v>
      </c>
      <c r="N162" t="s">
        <v>687</v>
      </c>
      <c r="O162" t="s">
        <v>639</v>
      </c>
    </row>
    <row r="163" spans="1:15" hidden="1" x14ac:dyDescent="0.25">
      <c r="A163">
        <v>207</v>
      </c>
      <c r="B163" t="s">
        <v>1703</v>
      </c>
      <c r="C163" t="s">
        <v>659</v>
      </c>
      <c r="D163" t="s">
        <v>2193</v>
      </c>
      <c r="E163" t="s">
        <v>1588</v>
      </c>
      <c r="F163" t="s">
        <v>1321</v>
      </c>
      <c r="G163" t="s">
        <v>1653</v>
      </c>
      <c r="H163" s="134" t="s">
        <v>1704</v>
      </c>
      <c r="I163" t="s">
        <v>2194</v>
      </c>
      <c r="J163" t="s">
        <v>683</v>
      </c>
      <c r="K163" t="s">
        <v>684</v>
      </c>
      <c r="L163" t="s">
        <v>2131</v>
      </c>
      <c r="M163" t="s">
        <v>686</v>
      </c>
      <c r="N163" t="s">
        <v>687</v>
      </c>
      <c r="O163" t="s">
        <v>639</v>
      </c>
    </row>
    <row r="164" spans="1:15" hidden="1" x14ac:dyDescent="0.25">
      <c r="A164">
        <v>209</v>
      </c>
      <c r="B164" t="s">
        <v>962</v>
      </c>
      <c r="C164" t="s">
        <v>659</v>
      </c>
      <c r="D164" t="s">
        <v>963</v>
      </c>
      <c r="E164" t="s">
        <v>662</v>
      </c>
      <c r="F164" t="s">
        <v>658</v>
      </c>
      <c r="G164" t="s">
        <v>658</v>
      </c>
      <c r="H164" s="134" t="s">
        <v>732</v>
      </c>
      <c r="I164" t="s">
        <v>964</v>
      </c>
      <c r="J164" t="s">
        <v>683</v>
      </c>
      <c r="K164" t="s">
        <v>695</v>
      </c>
      <c r="L164" t="s">
        <v>685</v>
      </c>
      <c r="M164" t="s">
        <v>686</v>
      </c>
      <c r="N164" t="s">
        <v>687</v>
      </c>
      <c r="O164" t="s">
        <v>639</v>
      </c>
    </row>
    <row r="165" spans="1:15" hidden="1" x14ac:dyDescent="0.25">
      <c r="A165">
        <v>211</v>
      </c>
      <c r="B165" t="s">
        <v>1712</v>
      </c>
      <c r="C165" t="s">
        <v>659</v>
      </c>
      <c r="D165" t="s">
        <v>2195</v>
      </c>
      <c r="E165" t="s">
        <v>658</v>
      </c>
      <c r="F165" t="s">
        <v>694</v>
      </c>
      <c r="G165" t="s">
        <v>1715</v>
      </c>
      <c r="H165" s="134" t="s">
        <v>1575</v>
      </c>
      <c r="I165" t="s">
        <v>2196</v>
      </c>
      <c r="J165" t="s">
        <v>683</v>
      </c>
      <c r="K165" t="s">
        <v>684</v>
      </c>
      <c r="L165" t="s">
        <v>7</v>
      </c>
      <c r="M165" t="s">
        <v>686</v>
      </c>
      <c r="N165" t="s">
        <v>687</v>
      </c>
      <c r="O165" t="s">
        <v>639</v>
      </c>
    </row>
    <row r="166" spans="1:15" hidden="1" x14ac:dyDescent="0.25">
      <c r="A166">
        <v>211</v>
      </c>
      <c r="B166" t="s">
        <v>1712</v>
      </c>
      <c r="C166" t="s">
        <v>659</v>
      </c>
      <c r="D166" t="s">
        <v>2197</v>
      </c>
      <c r="E166" t="s">
        <v>2198</v>
      </c>
      <c r="F166" t="s">
        <v>658</v>
      </c>
      <c r="G166" t="s">
        <v>1715</v>
      </c>
      <c r="H166" s="134" t="s">
        <v>1575</v>
      </c>
      <c r="I166" t="s">
        <v>2199</v>
      </c>
      <c r="J166" t="s">
        <v>683</v>
      </c>
      <c r="K166" t="s">
        <v>684</v>
      </c>
      <c r="L166" t="s">
        <v>685</v>
      </c>
      <c r="M166" t="s">
        <v>686</v>
      </c>
      <c r="N166" t="s">
        <v>687</v>
      </c>
      <c r="O166" t="s">
        <v>639</v>
      </c>
    </row>
    <row r="167" spans="1:15" hidden="1" x14ac:dyDescent="0.25">
      <c r="A167">
        <v>214</v>
      </c>
      <c r="B167" t="s">
        <v>965</v>
      </c>
      <c r="C167" t="s">
        <v>659</v>
      </c>
      <c r="D167" t="s">
        <v>966</v>
      </c>
      <c r="E167" t="s">
        <v>967</v>
      </c>
      <c r="F167" t="s">
        <v>968</v>
      </c>
      <c r="G167" t="s">
        <v>791</v>
      </c>
      <c r="H167" s="134" t="s">
        <v>969</v>
      </c>
      <c r="I167" t="s">
        <v>970</v>
      </c>
      <c r="J167" t="s">
        <v>683</v>
      </c>
      <c r="K167" t="s">
        <v>684</v>
      </c>
      <c r="L167" t="s">
        <v>761</v>
      </c>
      <c r="M167" t="s">
        <v>686</v>
      </c>
      <c r="N167" t="s">
        <v>687</v>
      </c>
      <c r="O167" t="s">
        <v>639</v>
      </c>
    </row>
    <row r="168" spans="1:15" hidden="1" x14ac:dyDescent="0.25">
      <c r="A168">
        <v>214</v>
      </c>
      <c r="B168" t="s">
        <v>965</v>
      </c>
      <c r="C168" t="s">
        <v>659</v>
      </c>
      <c r="D168" t="s">
        <v>971</v>
      </c>
      <c r="E168" t="s">
        <v>791</v>
      </c>
      <c r="F168" t="s">
        <v>968</v>
      </c>
      <c r="G168" t="s">
        <v>791</v>
      </c>
      <c r="H168" s="134" t="s">
        <v>969</v>
      </c>
      <c r="I168" t="s">
        <v>970</v>
      </c>
      <c r="J168" t="s">
        <v>683</v>
      </c>
      <c r="K168" t="s">
        <v>684</v>
      </c>
      <c r="L168" t="s">
        <v>761</v>
      </c>
      <c r="M168" t="s">
        <v>686</v>
      </c>
      <c r="N168" t="s">
        <v>687</v>
      </c>
      <c r="O168" t="s">
        <v>639</v>
      </c>
    </row>
    <row r="169" spans="1:15" hidden="1" x14ac:dyDescent="0.25">
      <c r="A169">
        <v>217</v>
      </c>
      <c r="B169" t="s">
        <v>972</v>
      </c>
      <c r="C169" t="s">
        <v>659</v>
      </c>
      <c r="D169" t="s">
        <v>973</v>
      </c>
      <c r="E169" t="s">
        <v>774</v>
      </c>
      <c r="F169" t="s">
        <v>680</v>
      </c>
      <c r="G169" t="s">
        <v>974</v>
      </c>
      <c r="H169" s="134" t="s">
        <v>934</v>
      </c>
      <c r="J169" t="s">
        <v>683</v>
      </c>
      <c r="K169" t="s">
        <v>692</v>
      </c>
      <c r="L169" t="s">
        <v>685</v>
      </c>
      <c r="M169" t="s">
        <v>686</v>
      </c>
      <c r="N169" t="s">
        <v>687</v>
      </c>
      <c r="O169" t="s">
        <v>639</v>
      </c>
    </row>
    <row r="170" spans="1:15" hidden="1" x14ac:dyDescent="0.25">
      <c r="A170">
        <v>217</v>
      </c>
      <c r="B170" t="s">
        <v>972</v>
      </c>
      <c r="C170" t="s">
        <v>659</v>
      </c>
      <c r="D170" t="s">
        <v>975</v>
      </c>
      <c r="E170" t="s">
        <v>774</v>
      </c>
      <c r="F170" t="s">
        <v>658</v>
      </c>
      <c r="G170" t="s">
        <v>974</v>
      </c>
      <c r="H170" s="134" t="s">
        <v>934</v>
      </c>
      <c r="J170" t="s">
        <v>858</v>
      </c>
      <c r="K170" t="s">
        <v>695</v>
      </c>
      <c r="M170" t="s">
        <v>976</v>
      </c>
      <c r="N170" t="s">
        <v>687</v>
      </c>
      <c r="O170" t="s">
        <v>639</v>
      </c>
    </row>
    <row r="171" spans="1:15" hidden="1" x14ac:dyDescent="0.25">
      <c r="A171">
        <v>217</v>
      </c>
      <c r="B171" t="s">
        <v>972</v>
      </c>
      <c r="C171" t="s">
        <v>659</v>
      </c>
      <c r="D171" t="s">
        <v>977</v>
      </c>
      <c r="E171" t="s">
        <v>774</v>
      </c>
      <c r="F171" t="s">
        <v>680</v>
      </c>
      <c r="G171" t="s">
        <v>974</v>
      </c>
      <c r="H171" s="134" t="s">
        <v>934</v>
      </c>
      <c r="J171" t="s">
        <v>683</v>
      </c>
      <c r="K171" t="s">
        <v>684</v>
      </c>
      <c r="L171" t="s">
        <v>685</v>
      </c>
      <c r="M171" t="s">
        <v>686</v>
      </c>
      <c r="N171" t="s">
        <v>687</v>
      </c>
      <c r="O171" t="s">
        <v>639</v>
      </c>
    </row>
    <row r="172" spans="1:15" hidden="1" x14ac:dyDescent="0.25">
      <c r="A172">
        <v>218</v>
      </c>
      <c r="B172" t="s">
        <v>978</v>
      </c>
      <c r="C172" t="s">
        <v>659</v>
      </c>
      <c r="D172" t="s">
        <v>979</v>
      </c>
      <c r="E172" t="s">
        <v>980</v>
      </c>
      <c r="F172" t="s">
        <v>981</v>
      </c>
      <c r="G172" t="s">
        <v>981</v>
      </c>
      <c r="H172" s="134" t="s">
        <v>982</v>
      </c>
      <c r="I172" t="s">
        <v>983</v>
      </c>
      <c r="J172" t="s">
        <v>683</v>
      </c>
      <c r="K172" t="s">
        <v>684</v>
      </c>
      <c r="L172" t="s">
        <v>984</v>
      </c>
      <c r="M172" t="s">
        <v>686</v>
      </c>
      <c r="N172" t="s">
        <v>687</v>
      </c>
      <c r="O172" t="s">
        <v>639</v>
      </c>
    </row>
    <row r="173" spans="1:15" hidden="1" x14ac:dyDescent="0.25">
      <c r="A173">
        <v>218</v>
      </c>
      <c r="B173" t="s">
        <v>978</v>
      </c>
      <c r="C173" t="s">
        <v>659</v>
      </c>
      <c r="D173" t="s">
        <v>985</v>
      </c>
      <c r="E173" t="s">
        <v>980</v>
      </c>
      <c r="F173" t="s">
        <v>981</v>
      </c>
      <c r="G173" t="s">
        <v>981</v>
      </c>
      <c r="H173" s="134" t="s">
        <v>982</v>
      </c>
      <c r="I173" t="s">
        <v>983</v>
      </c>
      <c r="J173" t="s">
        <v>683</v>
      </c>
      <c r="K173" t="s">
        <v>684</v>
      </c>
      <c r="L173" t="s">
        <v>984</v>
      </c>
      <c r="M173" t="s">
        <v>686</v>
      </c>
      <c r="N173" t="s">
        <v>687</v>
      </c>
      <c r="O173" t="s">
        <v>639</v>
      </c>
    </row>
    <row r="174" spans="1:15" hidden="1" x14ac:dyDescent="0.25">
      <c r="A174">
        <v>218</v>
      </c>
      <c r="B174" t="s">
        <v>978</v>
      </c>
      <c r="C174" t="s">
        <v>659</v>
      </c>
      <c r="D174" t="s">
        <v>986</v>
      </c>
      <c r="E174" t="s">
        <v>980</v>
      </c>
      <c r="F174" t="s">
        <v>981</v>
      </c>
      <c r="G174" t="s">
        <v>981</v>
      </c>
      <c r="H174" s="134" t="s">
        <v>982</v>
      </c>
      <c r="I174" t="s">
        <v>983</v>
      </c>
      <c r="J174" t="s">
        <v>683</v>
      </c>
      <c r="K174" t="s">
        <v>684</v>
      </c>
      <c r="L174" t="s">
        <v>984</v>
      </c>
      <c r="M174" t="s">
        <v>686</v>
      </c>
      <c r="N174" t="s">
        <v>687</v>
      </c>
      <c r="O174" t="s">
        <v>639</v>
      </c>
    </row>
    <row r="175" spans="1:15" hidden="1" x14ac:dyDescent="0.25">
      <c r="A175">
        <v>218</v>
      </c>
      <c r="B175" t="s">
        <v>978</v>
      </c>
      <c r="C175" t="s">
        <v>659</v>
      </c>
      <c r="D175" t="s">
        <v>987</v>
      </c>
      <c r="E175" t="s">
        <v>980</v>
      </c>
      <c r="F175" t="s">
        <v>981</v>
      </c>
      <c r="G175" t="s">
        <v>981</v>
      </c>
      <c r="H175" s="134" t="s">
        <v>982</v>
      </c>
      <c r="I175" t="s">
        <v>983</v>
      </c>
      <c r="J175" t="s">
        <v>683</v>
      </c>
      <c r="K175" t="s">
        <v>684</v>
      </c>
      <c r="L175" t="s">
        <v>988</v>
      </c>
      <c r="M175" t="s">
        <v>686</v>
      </c>
      <c r="N175" t="s">
        <v>687</v>
      </c>
      <c r="O175" t="s">
        <v>639</v>
      </c>
    </row>
    <row r="176" spans="1:15" hidden="1" x14ac:dyDescent="0.25">
      <c r="A176">
        <v>218</v>
      </c>
      <c r="B176" t="s">
        <v>978</v>
      </c>
      <c r="C176" t="s">
        <v>659</v>
      </c>
      <c r="D176" t="s">
        <v>989</v>
      </c>
      <c r="E176" t="s">
        <v>980</v>
      </c>
      <c r="F176" t="s">
        <v>981</v>
      </c>
      <c r="G176" t="s">
        <v>981</v>
      </c>
      <c r="H176" s="134" t="s">
        <v>982</v>
      </c>
      <c r="I176" t="s">
        <v>983</v>
      </c>
      <c r="J176" t="s">
        <v>683</v>
      </c>
      <c r="K176" t="s">
        <v>684</v>
      </c>
      <c r="L176" t="s">
        <v>984</v>
      </c>
      <c r="M176" t="s">
        <v>686</v>
      </c>
      <c r="N176" t="s">
        <v>687</v>
      </c>
      <c r="O176" t="s">
        <v>639</v>
      </c>
    </row>
    <row r="177" spans="1:15" hidden="1" x14ac:dyDescent="0.25">
      <c r="A177">
        <v>221</v>
      </c>
      <c r="B177" t="s">
        <v>990</v>
      </c>
      <c r="C177" t="s">
        <v>659</v>
      </c>
      <c r="D177" t="s">
        <v>991</v>
      </c>
      <c r="E177" t="s">
        <v>681</v>
      </c>
      <c r="F177" t="s">
        <v>698</v>
      </c>
      <c r="G177" t="s">
        <v>681</v>
      </c>
      <c r="H177" s="134" t="s">
        <v>700</v>
      </c>
      <c r="I177" t="s">
        <v>2688</v>
      </c>
      <c r="J177" t="s">
        <v>683</v>
      </c>
      <c r="K177" t="s">
        <v>684</v>
      </c>
      <c r="L177" t="s">
        <v>685</v>
      </c>
      <c r="M177" t="s">
        <v>686</v>
      </c>
      <c r="N177" t="s">
        <v>687</v>
      </c>
      <c r="O177" t="s">
        <v>639</v>
      </c>
    </row>
    <row r="178" spans="1:15" hidden="1" x14ac:dyDescent="0.25">
      <c r="A178">
        <v>225</v>
      </c>
      <c r="B178" t="s">
        <v>992</v>
      </c>
      <c r="C178" t="s">
        <v>659</v>
      </c>
      <c r="D178" t="s">
        <v>993</v>
      </c>
      <c r="E178" t="s">
        <v>717</v>
      </c>
      <c r="F178" t="s">
        <v>680</v>
      </c>
      <c r="G178" t="s">
        <v>916</v>
      </c>
      <c r="H178" s="134" t="s">
        <v>994</v>
      </c>
      <c r="I178" t="s">
        <v>995</v>
      </c>
      <c r="J178" t="s">
        <v>683</v>
      </c>
      <c r="K178" t="s">
        <v>684</v>
      </c>
      <c r="L178" t="s">
        <v>685</v>
      </c>
      <c r="M178" t="s">
        <v>686</v>
      </c>
      <c r="N178" t="s">
        <v>687</v>
      </c>
      <c r="O178" t="s">
        <v>639</v>
      </c>
    </row>
    <row r="179" spans="1:15" hidden="1" x14ac:dyDescent="0.25">
      <c r="A179">
        <v>225</v>
      </c>
      <c r="B179" t="s">
        <v>992</v>
      </c>
      <c r="C179" t="s">
        <v>659</v>
      </c>
      <c r="D179" t="s">
        <v>996</v>
      </c>
      <c r="E179" t="s">
        <v>717</v>
      </c>
      <c r="F179" t="s">
        <v>680</v>
      </c>
      <c r="G179" t="s">
        <v>916</v>
      </c>
      <c r="H179" s="134" t="s">
        <v>994</v>
      </c>
      <c r="I179" t="s">
        <v>995</v>
      </c>
      <c r="J179" t="s">
        <v>683</v>
      </c>
      <c r="K179" t="s">
        <v>684</v>
      </c>
      <c r="L179" t="s">
        <v>685</v>
      </c>
      <c r="M179" t="s">
        <v>686</v>
      </c>
      <c r="N179" t="s">
        <v>687</v>
      </c>
      <c r="O179" t="s">
        <v>639</v>
      </c>
    </row>
    <row r="180" spans="1:15" hidden="1" x14ac:dyDescent="0.25">
      <c r="A180">
        <v>225</v>
      </c>
      <c r="B180" t="s">
        <v>992</v>
      </c>
      <c r="C180" t="s">
        <v>659</v>
      </c>
      <c r="D180" t="s">
        <v>997</v>
      </c>
      <c r="E180" t="s">
        <v>717</v>
      </c>
      <c r="F180" t="s">
        <v>680</v>
      </c>
      <c r="G180" t="s">
        <v>916</v>
      </c>
      <c r="H180" s="134" t="s">
        <v>994</v>
      </c>
      <c r="I180" t="s">
        <v>995</v>
      </c>
      <c r="J180" t="s">
        <v>683</v>
      </c>
      <c r="K180" t="s">
        <v>684</v>
      </c>
      <c r="L180" t="s">
        <v>685</v>
      </c>
      <c r="M180" t="s">
        <v>686</v>
      </c>
      <c r="N180" t="s">
        <v>687</v>
      </c>
      <c r="O180" t="s">
        <v>639</v>
      </c>
    </row>
    <row r="181" spans="1:15" hidden="1" x14ac:dyDescent="0.25">
      <c r="A181">
        <v>225</v>
      </c>
      <c r="B181" t="s">
        <v>992</v>
      </c>
      <c r="C181" t="s">
        <v>659</v>
      </c>
      <c r="D181" t="s">
        <v>998</v>
      </c>
      <c r="E181" t="s">
        <v>717</v>
      </c>
      <c r="F181" t="s">
        <v>680</v>
      </c>
      <c r="G181" t="s">
        <v>916</v>
      </c>
      <c r="H181" s="134" t="s">
        <v>994</v>
      </c>
      <c r="I181" t="s">
        <v>995</v>
      </c>
      <c r="J181" t="s">
        <v>683</v>
      </c>
      <c r="K181" t="s">
        <v>684</v>
      </c>
      <c r="L181" t="s">
        <v>685</v>
      </c>
      <c r="M181" t="s">
        <v>686</v>
      </c>
      <c r="N181" t="s">
        <v>687</v>
      </c>
      <c r="O181" t="s">
        <v>639</v>
      </c>
    </row>
    <row r="182" spans="1:15" hidden="1" x14ac:dyDescent="0.25">
      <c r="A182">
        <v>229</v>
      </c>
      <c r="B182" t="s">
        <v>999</v>
      </c>
      <c r="C182" t="s">
        <v>659</v>
      </c>
      <c r="D182" t="s">
        <v>1000</v>
      </c>
      <c r="E182" t="s">
        <v>928</v>
      </c>
      <c r="F182" t="s">
        <v>680</v>
      </c>
      <c r="G182" t="s">
        <v>916</v>
      </c>
      <c r="H182" s="134" t="s">
        <v>1001</v>
      </c>
      <c r="I182" t="s">
        <v>802</v>
      </c>
      <c r="J182" t="s">
        <v>683</v>
      </c>
      <c r="K182" t="s">
        <v>695</v>
      </c>
      <c r="L182" t="s">
        <v>685</v>
      </c>
      <c r="M182" t="s">
        <v>686</v>
      </c>
      <c r="N182" t="s">
        <v>687</v>
      </c>
      <c r="O182" t="s">
        <v>639</v>
      </c>
    </row>
    <row r="183" spans="1:15" hidden="1" x14ac:dyDescent="0.25">
      <c r="A183">
        <v>233</v>
      </c>
      <c r="B183" t="s">
        <v>1747</v>
      </c>
      <c r="C183" t="s">
        <v>659</v>
      </c>
      <c r="D183" t="s">
        <v>2200</v>
      </c>
      <c r="E183" t="s">
        <v>1043</v>
      </c>
      <c r="F183" t="s">
        <v>1037</v>
      </c>
      <c r="G183" t="s">
        <v>1037</v>
      </c>
      <c r="H183" s="134" t="s">
        <v>868</v>
      </c>
      <c r="J183" t="s">
        <v>683</v>
      </c>
      <c r="K183" t="s">
        <v>695</v>
      </c>
      <c r="L183" t="s">
        <v>828</v>
      </c>
      <c r="N183" t="s">
        <v>687</v>
      </c>
      <c r="O183" t="s">
        <v>639</v>
      </c>
    </row>
    <row r="184" spans="1:15" hidden="1" x14ac:dyDescent="0.25">
      <c r="A184">
        <v>233</v>
      </c>
      <c r="B184" t="s">
        <v>1747</v>
      </c>
      <c r="C184" t="s">
        <v>659</v>
      </c>
      <c r="D184" t="s">
        <v>2201</v>
      </c>
      <c r="E184" t="s">
        <v>1043</v>
      </c>
      <c r="F184" t="s">
        <v>1037</v>
      </c>
      <c r="G184" t="s">
        <v>1037</v>
      </c>
      <c r="H184" s="134" t="s">
        <v>868</v>
      </c>
      <c r="J184" t="s">
        <v>683</v>
      </c>
      <c r="K184" t="s">
        <v>684</v>
      </c>
      <c r="L184" t="s">
        <v>828</v>
      </c>
      <c r="M184" t="s">
        <v>686</v>
      </c>
      <c r="N184" t="s">
        <v>687</v>
      </c>
      <c r="O184" t="s">
        <v>639</v>
      </c>
    </row>
    <row r="185" spans="1:15" hidden="1" x14ac:dyDescent="0.25">
      <c r="A185">
        <v>233</v>
      </c>
      <c r="B185" t="s">
        <v>1747</v>
      </c>
      <c r="C185" t="s">
        <v>659</v>
      </c>
      <c r="D185" t="s">
        <v>2202</v>
      </c>
      <c r="E185" t="s">
        <v>1043</v>
      </c>
      <c r="F185" t="s">
        <v>1037</v>
      </c>
      <c r="G185" t="s">
        <v>1037</v>
      </c>
      <c r="H185" s="134" t="s">
        <v>868</v>
      </c>
      <c r="J185" t="s">
        <v>683</v>
      </c>
      <c r="K185" t="s">
        <v>684</v>
      </c>
      <c r="L185" t="s">
        <v>828</v>
      </c>
      <c r="N185" t="s">
        <v>687</v>
      </c>
      <c r="O185" t="s">
        <v>639</v>
      </c>
    </row>
    <row r="186" spans="1:15" hidden="1" x14ac:dyDescent="0.25">
      <c r="A186">
        <v>233</v>
      </c>
      <c r="B186" t="s">
        <v>1747</v>
      </c>
      <c r="C186" t="s">
        <v>659</v>
      </c>
      <c r="D186" t="s">
        <v>2203</v>
      </c>
      <c r="E186" t="s">
        <v>791</v>
      </c>
      <c r="F186" t="s">
        <v>1037</v>
      </c>
      <c r="G186" t="s">
        <v>1037</v>
      </c>
      <c r="H186" s="134" t="s">
        <v>868</v>
      </c>
      <c r="J186" t="s">
        <v>683</v>
      </c>
      <c r="K186" t="s">
        <v>684</v>
      </c>
      <c r="L186" t="s">
        <v>828</v>
      </c>
      <c r="M186" t="s">
        <v>686</v>
      </c>
      <c r="N186" t="s">
        <v>687</v>
      </c>
      <c r="O186" t="s">
        <v>639</v>
      </c>
    </row>
    <row r="187" spans="1:15" hidden="1" x14ac:dyDescent="0.25">
      <c r="A187">
        <v>235</v>
      </c>
      <c r="B187" t="s">
        <v>1002</v>
      </c>
      <c r="C187" t="s">
        <v>659</v>
      </c>
      <c r="D187" t="s">
        <v>1003</v>
      </c>
      <c r="E187" t="s">
        <v>717</v>
      </c>
      <c r="F187" t="s">
        <v>680</v>
      </c>
      <c r="G187" t="s">
        <v>1004</v>
      </c>
      <c r="H187" s="134" t="s">
        <v>1005</v>
      </c>
      <c r="I187" t="s">
        <v>1006</v>
      </c>
      <c r="J187" t="s">
        <v>683</v>
      </c>
      <c r="K187" t="s">
        <v>695</v>
      </c>
      <c r="L187" t="s">
        <v>6</v>
      </c>
      <c r="M187" t="s">
        <v>686</v>
      </c>
      <c r="N187" t="s">
        <v>687</v>
      </c>
      <c r="O187" t="s">
        <v>639</v>
      </c>
    </row>
    <row r="188" spans="1:15" hidden="1" x14ac:dyDescent="0.25">
      <c r="A188">
        <v>235</v>
      </c>
      <c r="B188" t="s">
        <v>1002</v>
      </c>
      <c r="C188" t="s">
        <v>659</v>
      </c>
      <c r="D188" t="s">
        <v>1007</v>
      </c>
      <c r="E188" t="s">
        <v>717</v>
      </c>
      <c r="F188" t="s">
        <v>680</v>
      </c>
      <c r="G188" t="s">
        <v>1004</v>
      </c>
      <c r="H188" s="134" t="s">
        <v>1005</v>
      </c>
      <c r="I188" t="s">
        <v>1008</v>
      </c>
      <c r="J188" t="s">
        <v>683</v>
      </c>
      <c r="K188" t="s">
        <v>684</v>
      </c>
      <c r="L188" t="s">
        <v>6</v>
      </c>
      <c r="M188" t="s">
        <v>686</v>
      </c>
      <c r="N188" t="s">
        <v>687</v>
      </c>
      <c r="O188" t="s">
        <v>639</v>
      </c>
    </row>
    <row r="189" spans="1:15" hidden="1" x14ac:dyDescent="0.25">
      <c r="A189">
        <v>235</v>
      </c>
      <c r="B189" t="s">
        <v>1002</v>
      </c>
      <c r="C189" t="s">
        <v>659</v>
      </c>
      <c r="D189" t="s">
        <v>1009</v>
      </c>
      <c r="E189" t="s">
        <v>717</v>
      </c>
      <c r="F189" t="s">
        <v>680</v>
      </c>
      <c r="G189" t="s">
        <v>1004</v>
      </c>
      <c r="H189" s="134" t="s">
        <v>1005</v>
      </c>
      <c r="I189" t="s">
        <v>1010</v>
      </c>
      <c r="J189" t="s">
        <v>683</v>
      </c>
      <c r="K189" t="s">
        <v>684</v>
      </c>
      <c r="L189" t="s">
        <v>6</v>
      </c>
      <c r="M189" t="s">
        <v>686</v>
      </c>
      <c r="N189" t="s">
        <v>687</v>
      </c>
      <c r="O189" t="s">
        <v>639</v>
      </c>
    </row>
    <row r="190" spans="1:15" hidden="1" x14ac:dyDescent="0.25">
      <c r="A190">
        <v>238</v>
      </c>
      <c r="B190" t="s">
        <v>1011</v>
      </c>
      <c r="C190" t="s">
        <v>659</v>
      </c>
      <c r="D190" t="s">
        <v>1012</v>
      </c>
      <c r="E190" t="s">
        <v>1013</v>
      </c>
      <c r="F190" t="s">
        <v>680</v>
      </c>
      <c r="G190" t="s">
        <v>771</v>
      </c>
      <c r="H190" s="134" t="s">
        <v>1014</v>
      </c>
      <c r="I190" t="s">
        <v>1015</v>
      </c>
      <c r="J190" t="s">
        <v>683</v>
      </c>
      <c r="K190" t="s">
        <v>695</v>
      </c>
      <c r="L190" t="s">
        <v>6</v>
      </c>
      <c r="M190" t="s">
        <v>686</v>
      </c>
      <c r="N190" t="s">
        <v>687</v>
      </c>
      <c r="O190" t="s">
        <v>639</v>
      </c>
    </row>
    <row r="191" spans="1:15" hidden="1" x14ac:dyDescent="0.25">
      <c r="A191">
        <v>238</v>
      </c>
      <c r="B191" t="s">
        <v>1011</v>
      </c>
      <c r="C191" t="s">
        <v>659</v>
      </c>
      <c r="D191" t="s">
        <v>1016</v>
      </c>
      <c r="E191" t="s">
        <v>1013</v>
      </c>
      <c r="F191" t="s">
        <v>680</v>
      </c>
      <c r="G191" t="s">
        <v>771</v>
      </c>
      <c r="H191" s="134" t="s">
        <v>1014</v>
      </c>
      <c r="J191" t="s">
        <v>683</v>
      </c>
      <c r="K191" t="s">
        <v>684</v>
      </c>
      <c r="L191" t="s">
        <v>685</v>
      </c>
      <c r="M191" t="s">
        <v>686</v>
      </c>
      <c r="N191" t="s">
        <v>687</v>
      </c>
      <c r="O191" t="s">
        <v>639</v>
      </c>
    </row>
    <row r="192" spans="1:15" hidden="1" x14ac:dyDescent="0.25">
      <c r="A192">
        <v>238</v>
      </c>
      <c r="B192" t="s">
        <v>1011</v>
      </c>
      <c r="C192" t="s">
        <v>659</v>
      </c>
      <c r="D192" t="s">
        <v>1017</v>
      </c>
      <c r="E192" t="s">
        <v>679</v>
      </c>
      <c r="F192" t="s">
        <v>680</v>
      </c>
      <c r="G192" t="s">
        <v>771</v>
      </c>
      <c r="H192" s="134" t="s">
        <v>1014</v>
      </c>
      <c r="J192" t="s">
        <v>683</v>
      </c>
      <c r="K192" t="s">
        <v>684</v>
      </c>
      <c r="L192" t="s">
        <v>6</v>
      </c>
      <c r="M192" t="s">
        <v>686</v>
      </c>
      <c r="N192" t="s">
        <v>687</v>
      </c>
      <c r="O192" t="s">
        <v>639</v>
      </c>
    </row>
    <row r="193" spans="1:15" hidden="1" x14ac:dyDescent="0.25">
      <c r="A193">
        <v>238</v>
      </c>
      <c r="B193" t="s">
        <v>1011</v>
      </c>
      <c r="C193" t="s">
        <v>659</v>
      </c>
      <c r="D193" t="s">
        <v>1018</v>
      </c>
      <c r="E193" t="s">
        <v>771</v>
      </c>
      <c r="F193" t="s">
        <v>679</v>
      </c>
      <c r="G193" t="s">
        <v>771</v>
      </c>
      <c r="H193" s="134" t="s">
        <v>1014</v>
      </c>
      <c r="I193" t="s">
        <v>1019</v>
      </c>
      <c r="J193" t="s">
        <v>683</v>
      </c>
      <c r="K193" t="s">
        <v>684</v>
      </c>
      <c r="L193" t="s">
        <v>685</v>
      </c>
      <c r="M193" t="s">
        <v>686</v>
      </c>
      <c r="N193" t="s">
        <v>687</v>
      </c>
      <c r="O193" t="s">
        <v>639</v>
      </c>
    </row>
    <row r="194" spans="1:15" hidden="1" x14ac:dyDescent="0.25">
      <c r="A194">
        <v>238</v>
      </c>
      <c r="B194" t="s">
        <v>1011</v>
      </c>
      <c r="C194" t="s">
        <v>659</v>
      </c>
      <c r="D194" t="s">
        <v>1020</v>
      </c>
      <c r="E194" t="s">
        <v>679</v>
      </c>
      <c r="F194" t="s">
        <v>680</v>
      </c>
      <c r="G194" t="s">
        <v>771</v>
      </c>
      <c r="H194" s="134" t="s">
        <v>1014</v>
      </c>
      <c r="J194" t="s">
        <v>683</v>
      </c>
      <c r="K194" t="s">
        <v>718</v>
      </c>
      <c r="L194" t="s">
        <v>685</v>
      </c>
      <c r="M194" t="s">
        <v>686</v>
      </c>
      <c r="N194" t="s">
        <v>687</v>
      </c>
      <c r="O194" t="s">
        <v>639</v>
      </c>
    </row>
    <row r="195" spans="1:15" hidden="1" x14ac:dyDescent="0.25">
      <c r="A195">
        <v>240</v>
      </c>
      <c r="B195" t="s">
        <v>1021</v>
      </c>
      <c r="C195" t="s">
        <v>659</v>
      </c>
      <c r="D195" t="s">
        <v>1022</v>
      </c>
      <c r="E195" t="s">
        <v>1023</v>
      </c>
      <c r="F195" t="s">
        <v>658</v>
      </c>
      <c r="G195" t="s">
        <v>658</v>
      </c>
      <c r="H195" s="134" t="s">
        <v>1024</v>
      </c>
      <c r="I195" t="s">
        <v>1025</v>
      </c>
      <c r="J195" t="s">
        <v>683</v>
      </c>
      <c r="K195" t="s">
        <v>684</v>
      </c>
      <c r="L195" t="s">
        <v>685</v>
      </c>
      <c r="M195" t="s">
        <v>686</v>
      </c>
      <c r="N195" t="s">
        <v>687</v>
      </c>
      <c r="O195" t="s">
        <v>639</v>
      </c>
    </row>
    <row r="196" spans="1:15" hidden="1" x14ac:dyDescent="0.25">
      <c r="A196">
        <v>240</v>
      </c>
      <c r="B196" t="s">
        <v>1021</v>
      </c>
      <c r="C196" t="s">
        <v>659</v>
      </c>
      <c r="D196" t="s">
        <v>1026</v>
      </c>
      <c r="E196" t="s">
        <v>928</v>
      </c>
      <c r="F196" t="s">
        <v>658</v>
      </c>
      <c r="G196" t="s">
        <v>658</v>
      </c>
      <c r="H196" s="134" t="s">
        <v>1024</v>
      </c>
      <c r="I196" t="s">
        <v>1027</v>
      </c>
      <c r="J196" t="s">
        <v>683</v>
      </c>
      <c r="K196" t="s">
        <v>718</v>
      </c>
      <c r="L196" t="s">
        <v>685</v>
      </c>
      <c r="M196" t="s">
        <v>686</v>
      </c>
      <c r="N196" t="s">
        <v>687</v>
      </c>
      <c r="O196" t="s">
        <v>639</v>
      </c>
    </row>
    <row r="197" spans="1:15" hidden="1" x14ac:dyDescent="0.25">
      <c r="A197">
        <v>242</v>
      </c>
      <c r="B197" t="s">
        <v>1028</v>
      </c>
      <c r="C197" t="s">
        <v>659</v>
      </c>
      <c r="D197" t="s">
        <v>1029</v>
      </c>
      <c r="E197" t="s">
        <v>1030</v>
      </c>
      <c r="F197" t="s">
        <v>698</v>
      </c>
      <c r="G197" t="s">
        <v>699</v>
      </c>
      <c r="H197" s="134" t="s">
        <v>700</v>
      </c>
      <c r="J197" t="s">
        <v>683</v>
      </c>
      <c r="K197" t="s">
        <v>718</v>
      </c>
      <c r="L197" t="s">
        <v>685</v>
      </c>
      <c r="N197" t="s">
        <v>639</v>
      </c>
      <c r="O197" t="s">
        <v>639</v>
      </c>
    </row>
    <row r="198" spans="1:15" hidden="1" x14ac:dyDescent="0.25">
      <c r="A198">
        <v>243</v>
      </c>
      <c r="B198" t="s">
        <v>1031</v>
      </c>
      <c r="C198" t="s">
        <v>659</v>
      </c>
      <c r="D198" t="s">
        <v>1032</v>
      </c>
      <c r="E198" t="s">
        <v>680</v>
      </c>
      <c r="F198" t="s">
        <v>701</v>
      </c>
      <c r="G198" t="s">
        <v>680</v>
      </c>
      <c r="H198" s="134" t="s">
        <v>1033</v>
      </c>
      <c r="I198" t="s">
        <v>1034</v>
      </c>
      <c r="J198" t="s">
        <v>683</v>
      </c>
      <c r="K198" t="s">
        <v>695</v>
      </c>
      <c r="L198" t="s">
        <v>1035</v>
      </c>
      <c r="M198" t="s">
        <v>686</v>
      </c>
      <c r="N198" t="s">
        <v>687</v>
      </c>
      <c r="O198" t="s">
        <v>639</v>
      </c>
    </row>
    <row r="199" spans="1:15" hidden="1" x14ac:dyDescent="0.25">
      <c r="A199">
        <v>243</v>
      </c>
      <c r="B199" t="s">
        <v>1031</v>
      </c>
      <c r="C199" t="s">
        <v>659</v>
      </c>
      <c r="D199" t="s">
        <v>1036</v>
      </c>
      <c r="E199" t="s">
        <v>1037</v>
      </c>
      <c r="F199" t="s">
        <v>680</v>
      </c>
      <c r="G199" t="s">
        <v>680</v>
      </c>
      <c r="H199" s="134" t="s">
        <v>1033</v>
      </c>
      <c r="I199" t="s">
        <v>1038</v>
      </c>
      <c r="J199" t="s">
        <v>683</v>
      </c>
      <c r="K199" t="s">
        <v>695</v>
      </c>
      <c r="L199" t="s">
        <v>761</v>
      </c>
      <c r="M199" t="s">
        <v>686</v>
      </c>
      <c r="N199" t="s">
        <v>687</v>
      </c>
      <c r="O199" t="s">
        <v>639</v>
      </c>
    </row>
    <row r="200" spans="1:15" hidden="1" x14ac:dyDescent="0.25">
      <c r="A200">
        <v>243</v>
      </c>
      <c r="B200" t="s">
        <v>1031</v>
      </c>
      <c r="C200" t="s">
        <v>659</v>
      </c>
      <c r="D200" t="s">
        <v>1039</v>
      </c>
      <c r="E200" t="s">
        <v>680</v>
      </c>
      <c r="F200" t="s">
        <v>701</v>
      </c>
      <c r="G200" t="s">
        <v>680</v>
      </c>
      <c r="H200" s="134" t="s">
        <v>1033</v>
      </c>
      <c r="I200" t="s">
        <v>1034</v>
      </c>
      <c r="J200" t="s">
        <v>683</v>
      </c>
      <c r="K200" t="s">
        <v>684</v>
      </c>
      <c r="L200" t="s">
        <v>988</v>
      </c>
      <c r="M200" t="s">
        <v>686</v>
      </c>
      <c r="N200" t="s">
        <v>687</v>
      </c>
      <c r="O200" t="s">
        <v>639</v>
      </c>
    </row>
    <row r="201" spans="1:15" hidden="1" x14ac:dyDescent="0.25">
      <c r="A201">
        <v>243</v>
      </c>
      <c r="B201" t="s">
        <v>1031</v>
      </c>
      <c r="C201" t="s">
        <v>659</v>
      </c>
      <c r="D201" t="s">
        <v>1040</v>
      </c>
      <c r="E201" t="s">
        <v>679</v>
      </c>
      <c r="F201" t="s">
        <v>680</v>
      </c>
      <c r="G201" t="s">
        <v>680</v>
      </c>
      <c r="H201" s="134" t="s">
        <v>1033</v>
      </c>
      <c r="J201" t="s">
        <v>683</v>
      </c>
      <c r="K201" t="s">
        <v>684</v>
      </c>
      <c r="L201" t="s">
        <v>6</v>
      </c>
      <c r="M201" t="s">
        <v>686</v>
      </c>
      <c r="N201" t="s">
        <v>687</v>
      </c>
      <c r="O201" t="s">
        <v>639</v>
      </c>
    </row>
    <row r="202" spans="1:15" hidden="1" x14ac:dyDescent="0.25">
      <c r="A202">
        <v>244</v>
      </c>
      <c r="B202" t="s">
        <v>1041</v>
      </c>
      <c r="C202" t="s">
        <v>659</v>
      </c>
      <c r="D202" t="s">
        <v>1042</v>
      </c>
      <c r="E202" t="s">
        <v>791</v>
      </c>
      <c r="F202" t="s">
        <v>1037</v>
      </c>
      <c r="G202" t="s">
        <v>1043</v>
      </c>
      <c r="H202" s="134" t="s">
        <v>969</v>
      </c>
      <c r="I202" t="s">
        <v>1044</v>
      </c>
      <c r="J202" t="s">
        <v>683</v>
      </c>
      <c r="K202" t="s">
        <v>695</v>
      </c>
      <c r="L202" t="s">
        <v>761</v>
      </c>
      <c r="N202" t="s">
        <v>687</v>
      </c>
      <c r="O202" t="s">
        <v>639</v>
      </c>
    </row>
    <row r="203" spans="1:15" hidden="1" x14ac:dyDescent="0.25">
      <c r="A203">
        <v>244</v>
      </c>
      <c r="B203" t="s">
        <v>1041</v>
      </c>
      <c r="C203" t="s">
        <v>659</v>
      </c>
      <c r="D203" t="s">
        <v>1042</v>
      </c>
      <c r="E203" t="s">
        <v>791</v>
      </c>
      <c r="F203" t="s">
        <v>1037</v>
      </c>
      <c r="G203" t="s">
        <v>1043</v>
      </c>
      <c r="H203" s="134" t="s">
        <v>969</v>
      </c>
      <c r="I203" t="s">
        <v>1044</v>
      </c>
      <c r="J203" t="s">
        <v>683</v>
      </c>
      <c r="K203" t="s">
        <v>695</v>
      </c>
      <c r="L203" t="s">
        <v>761</v>
      </c>
      <c r="M203" t="s">
        <v>686</v>
      </c>
      <c r="N203" t="s">
        <v>687</v>
      </c>
      <c r="O203" t="s">
        <v>639</v>
      </c>
    </row>
    <row r="204" spans="1:15" hidden="1" x14ac:dyDescent="0.25">
      <c r="A204">
        <v>244</v>
      </c>
      <c r="B204" t="s">
        <v>1041</v>
      </c>
      <c r="C204" t="s">
        <v>659</v>
      </c>
      <c r="D204" t="s">
        <v>1045</v>
      </c>
      <c r="E204" t="s">
        <v>791</v>
      </c>
      <c r="F204" t="s">
        <v>1037</v>
      </c>
      <c r="G204" t="s">
        <v>1043</v>
      </c>
      <c r="H204" s="134" t="s">
        <v>969</v>
      </c>
      <c r="J204" t="s">
        <v>683</v>
      </c>
      <c r="K204" t="s">
        <v>695</v>
      </c>
      <c r="L204" t="s">
        <v>761</v>
      </c>
      <c r="N204" t="s">
        <v>687</v>
      </c>
      <c r="O204" t="s">
        <v>639</v>
      </c>
    </row>
    <row r="205" spans="1:15" hidden="1" x14ac:dyDescent="0.25">
      <c r="A205">
        <v>244</v>
      </c>
      <c r="B205" t="s">
        <v>1041</v>
      </c>
      <c r="C205" t="s">
        <v>659</v>
      </c>
      <c r="D205" t="s">
        <v>1046</v>
      </c>
      <c r="E205" t="s">
        <v>791</v>
      </c>
      <c r="F205" t="s">
        <v>1037</v>
      </c>
      <c r="G205" t="s">
        <v>1043</v>
      </c>
      <c r="H205" s="134" t="s">
        <v>969</v>
      </c>
      <c r="I205" t="s">
        <v>1044</v>
      </c>
      <c r="J205" t="s">
        <v>683</v>
      </c>
      <c r="K205" t="s">
        <v>695</v>
      </c>
      <c r="L205" t="s">
        <v>761</v>
      </c>
      <c r="M205" t="s">
        <v>686</v>
      </c>
      <c r="N205" t="s">
        <v>687</v>
      </c>
      <c r="O205" t="s">
        <v>639</v>
      </c>
    </row>
    <row r="206" spans="1:15" hidden="1" x14ac:dyDescent="0.25">
      <c r="A206">
        <v>244</v>
      </c>
      <c r="B206" t="s">
        <v>1041</v>
      </c>
      <c r="C206" t="s">
        <v>659</v>
      </c>
      <c r="D206" t="s">
        <v>1047</v>
      </c>
      <c r="E206" t="s">
        <v>1043</v>
      </c>
      <c r="F206" t="s">
        <v>1037</v>
      </c>
      <c r="G206" t="s">
        <v>1043</v>
      </c>
      <c r="H206" s="134" t="s">
        <v>969</v>
      </c>
      <c r="I206" t="s">
        <v>1048</v>
      </c>
      <c r="J206" t="s">
        <v>683</v>
      </c>
      <c r="K206" t="s">
        <v>684</v>
      </c>
      <c r="L206" t="s">
        <v>761</v>
      </c>
      <c r="N206" t="s">
        <v>687</v>
      </c>
      <c r="O206" t="s">
        <v>639</v>
      </c>
    </row>
    <row r="207" spans="1:15" hidden="1" x14ac:dyDescent="0.25">
      <c r="A207">
        <v>246</v>
      </c>
      <c r="B207" t="s">
        <v>1049</v>
      </c>
      <c r="C207" t="s">
        <v>659</v>
      </c>
      <c r="D207" t="s">
        <v>1050</v>
      </c>
      <c r="E207" t="s">
        <v>974</v>
      </c>
      <c r="F207" t="s">
        <v>658</v>
      </c>
      <c r="G207" t="s">
        <v>658</v>
      </c>
      <c r="H207" s="134" t="s">
        <v>1051</v>
      </c>
      <c r="I207" t="s">
        <v>1052</v>
      </c>
      <c r="J207" t="s">
        <v>683</v>
      </c>
      <c r="K207" t="s">
        <v>695</v>
      </c>
      <c r="L207" t="s">
        <v>685</v>
      </c>
      <c r="M207" t="s">
        <v>686</v>
      </c>
      <c r="N207" t="s">
        <v>687</v>
      </c>
      <c r="O207" t="s">
        <v>639</v>
      </c>
    </row>
    <row r="208" spans="1:15" hidden="1" x14ac:dyDescent="0.25">
      <c r="A208">
        <v>246</v>
      </c>
      <c r="B208" t="s">
        <v>1049</v>
      </c>
      <c r="C208" t="s">
        <v>659</v>
      </c>
      <c r="D208" t="s">
        <v>1053</v>
      </c>
      <c r="E208" t="s">
        <v>974</v>
      </c>
      <c r="F208" t="s">
        <v>658</v>
      </c>
      <c r="G208" t="s">
        <v>658</v>
      </c>
      <c r="H208" s="134" t="s">
        <v>1051</v>
      </c>
      <c r="I208" t="s">
        <v>1054</v>
      </c>
      <c r="J208" t="s">
        <v>683</v>
      </c>
      <c r="K208" t="s">
        <v>695</v>
      </c>
      <c r="L208" t="s">
        <v>685</v>
      </c>
      <c r="M208" t="s">
        <v>686</v>
      </c>
      <c r="N208" t="s">
        <v>687</v>
      </c>
      <c r="O208" t="s">
        <v>639</v>
      </c>
    </row>
    <row r="209" spans="1:15" hidden="1" x14ac:dyDescent="0.25">
      <c r="A209">
        <v>246</v>
      </c>
      <c r="B209" t="s">
        <v>1049</v>
      </c>
      <c r="C209" t="s">
        <v>659</v>
      </c>
      <c r="D209" t="s">
        <v>1055</v>
      </c>
      <c r="E209" t="s">
        <v>774</v>
      </c>
      <c r="F209" t="s">
        <v>680</v>
      </c>
      <c r="G209" t="s">
        <v>658</v>
      </c>
      <c r="H209" s="134" t="s">
        <v>1051</v>
      </c>
      <c r="J209" t="s">
        <v>683</v>
      </c>
      <c r="K209" t="s">
        <v>684</v>
      </c>
      <c r="L209" t="s">
        <v>685</v>
      </c>
      <c r="M209" t="s">
        <v>686</v>
      </c>
      <c r="N209" t="s">
        <v>687</v>
      </c>
      <c r="O209" t="s">
        <v>639</v>
      </c>
    </row>
    <row r="210" spans="1:15" hidden="1" x14ac:dyDescent="0.25">
      <c r="A210">
        <v>246</v>
      </c>
      <c r="B210" t="s">
        <v>1049</v>
      </c>
      <c r="C210" t="s">
        <v>659</v>
      </c>
      <c r="D210" t="s">
        <v>1056</v>
      </c>
      <c r="E210" t="s">
        <v>658</v>
      </c>
      <c r="F210" t="s">
        <v>680</v>
      </c>
      <c r="G210" t="s">
        <v>658</v>
      </c>
      <c r="H210" s="134" t="s">
        <v>1051</v>
      </c>
      <c r="J210" t="s">
        <v>683</v>
      </c>
      <c r="K210" t="s">
        <v>684</v>
      </c>
      <c r="L210" t="s">
        <v>7</v>
      </c>
      <c r="M210" t="s">
        <v>686</v>
      </c>
      <c r="N210" t="s">
        <v>687</v>
      </c>
      <c r="O210" t="s">
        <v>639</v>
      </c>
    </row>
    <row r="211" spans="1:15" hidden="1" x14ac:dyDescent="0.25">
      <c r="A211">
        <v>248</v>
      </c>
      <c r="B211" t="s">
        <v>1057</v>
      </c>
      <c r="C211" t="s">
        <v>659</v>
      </c>
      <c r="D211" t="s">
        <v>1058</v>
      </c>
      <c r="E211" t="s">
        <v>813</v>
      </c>
      <c r="F211" t="s">
        <v>658</v>
      </c>
      <c r="G211" t="s">
        <v>662</v>
      </c>
      <c r="H211" s="134" t="s">
        <v>1051</v>
      </c>
      <c r="I211" t="s">
        <v>1059</v>
      </c>
      <c r="J211" t="s">
        <v>858</v>
      </c>
      <c r="K211" t="s">
        <v>684</v>
      </c>
      <c r="M211" t="s">
        <v>686</v>
      </c>
      <c r="N211" t="s">
        <v>687</v>
      </c>
      <c r="O211" t="s">
        <v>639</v>
      </c>
    </row>
    <row r="212" spans="1:15" hidden="1" x14ac:dyDescent="0.25">
      <c r="A212">
        <v>253</v>
      </c>
      <c r="B212" t="s">
        <v>1060</v>
      </c>
      <c r="C212" t="s">
        <v>659</v>
      </c>
      <c r="D212" t="s">
        <v>1061</v>
      </c>
      <c r="E212" t="s">
        <v>679</v>
      </c>
      <c r="F212" t="s">
        <v>680</v>
      </c>
      <c r="G212" t="s">
        <v>757</v>
      </c>
      <c r="H212" s="134" t="s">
        <v>1062</v>
      </c>
      <c r="J212" t="s">
        <v>683</v>
      </c>
      <c r="K212" t="s">
        <v>695</v>
      </c>
      <c r="L212" t="s">
        <v>685</v>
      </c>
      <c r="M212" t="s">
        <v>686</v>
      </c>
      <c r="N212" t="s">
        <v>687</v>
      </c>
      <c r="O212" t="s">
        <v>639</v>
      </c>
    </row>
    <row r="213" spans="1:15" hidden="1" x14ac:dyDescent="0.25">
      <c r="A213">
        <v>253</v>
      </c>
      <c r="B213" t="s">
        <v>1060</v>
      </c>
      <c r="C213" t="s">
        <v>659</v>
      </c>
      <c r="D213" t="s">
        <v>1063</v>
      </c>
      <c r="E213" t="s">
        <v>679</v>
      </c>
      <c r="F213" t="s">
        <v>680</v>
      </c>
      <c r="G213" t="s">
        <v>757</v>
      </c>
      <c r="H213" s="134" t="s">
        <v>1062</v>
      </c>
      <c r="J213" t="s">
        <v>683</v>
      </c>
      <c r="K213" t="s">
        <v>695</v>
      </c>
      <c r="L213" t="s">
        <v>685</v>
      </c>
      <c r="M213" t="s">
        <v>686</v>
      </c>
      <c r="N213" t="s">
        <v>687</v>
      </c>
      <c r="O213" t="s">
        <v>639</v>
      </c>
    </row>
    <row r="214" spans="1:15" hidden="1" x14ac:dyDescent="0.25">
      <c r="A214">
        <v>253</v>
      </c>
      <c r="B214" t="s">
        <v>1060</v>
      </c>
      <c r="C214" t="s">
        <v>659</v>
      </c>
      <c r="D214" t="s">
        <v>1064</v>
      </c>
      <c r="E214" t="s">
        <v>772</v>
      </c>
      <c r="F214" t="s">
        <v>1065</v>
      </c>
      <c r="G214" t="s">
        <v>757</v>
      </c>
      <c r="H214" s="134" t="s">
        <v>1062</v>
      </c>
      <c r="I214" t="s">
        <v>1066</v>
      </c>
      <c r="J214" t="s">
        <v>683</v>
      </c>
      <c r="K214" t="s">
        <v>718</v>
      </c>
      <c r="L214" t="s">
        <v>685</v>
      </c>
      <c r="M214" t="s">
        <v>686</v>
      </c>
      <c r="N214" t="s">
        <v>687</v>
      </c>
      <c r="O214" t="s">
        <v>639</v>
      </c>
    </row>
    <row r="215" spans="1:15" hidden="1" x14ac:dyDescent="0.25">
      <c r="A215">
        <v>254</v>
      </c>
      <c r="B215" t="s">
        <v>1067</v>
      </c>
      <c r="C215" t="s">
        <v>659</v>
      </c>
      <c r="D215" t="s">
        <v>1068</v>
      </c>
      <c r="E215" t="s">
        <v>699</v>
      </c>
      <c r="F215" t="s">
        <v>1069</v>
      </c>
      <c r="G215" t="s">
        <v>699</v>
      </c>
      <c r="H215" s="134" t="s">
        <v>1070</v>
      </c>
      <c r="I215" t="s">
        <v>1071</v>
      </c>
      <c r="J215" t="s">
        <v>956</v>
      </c>
      <c r="K215" t="s">
        <v>718</v>
      </c>
      <c r="M215" t="s">
        <v>686</v>
      </c>
      <c r="N215" t="s">
        <v>687</v>
      </c>
      <c r="O215" t="s">
        <v>639</v>
      </c>
    </row>
    <row r="216" spans="1:15" hidden="1" x14ac:dyDescent="0.25">
      <c r="A216">
        <v>258</v>
      </c>
      <c r="B216" t="s">
        <v>1072</v>
      </c>
      <c r="C216" t="s">
        <v>659</v>
      </c>
      <c r="D216" t="s">
        <v>1073</v>
      </c>
      <c r="E216" t="s">
        <v>772</v>
      </c>
      <c r="F216" t="s">
        <v>1074</v>
      </c>
      <c r="G216" t="s">
        <v>1074</v>
      </c>
      <c r="H216" s="134" t="s">
        <v>1075</v>
      </c>
      <c r="I216" t="s">
        <v>1076</v>
      </c>
      <c r="J216" t="s">
        <v>683</v>
      </c>
      <c r="K216" t="s">
        <v>695</v>
      </c>
      <c r="L216" t="s">
        <v>685</v>
      </c>
      <c r="M216" t="s">
        <v>686</v>
      </c>
      <c r="N216" t="s">
        <v>687</v>
      </c>
      <c r="O216" t="s">
        <v>639</v>
      </c>
    </row>
    <row r="217" spans="1:15" hidden="1" x14ac:dyDescent="0.25">
      <c r="A217">
        <v>259</v>
      </c>
      <c r="B217" t="s">
        <v>1809</v>
      </c>
      <c r="C217" t="s">
        <v>659</v>
      </c>
      <c r="D217" t="s">
        <v>2204</v>
      </c>
      <c r="E217" t="s">
        <v>906</v>
      </c>
      <c r="F217" t="s">
        <v>892</v>
      </c>
      <c r="G217" t="s">
        <v>892</v>
      </c>
      <c r="H217" s="134" t="s">
        <v>875</v>
      </c>
      <c r="I217" t="s">
        <v>1811</v>
      </c>
      <c r="J217" t="s">
        <v>683</v>
      </c>
      <c r="K217" t="s">
        <v>692</v>
      </c>
      <c r="L217" t="s">
        <v>685</v>
      </c>
      <c r="M217" t="s">
        <v>686</v>
      </c>
      <c r="N217" t="s">
        <v>687</v>
      </c>
      <c r="O217" t="s">
        <v>639</v>
      </c>
    </row>
    <row r="218" spans="1:15" hidden="1" x14ac:dyDescent="0.25">
      <c r="A218">
        <v>259</v>
      </c>
      <c r="B218" t="s">
        <v>1809</v>
      </c>
      <c r="C218" t="s">
        <v>659</v>
      </c>
      <c r="D218" t="s">
        <v>2205</v>
      </c>
      <c r="E218" t="s">
        <v>906</v>
      </c>
      <c r="F218" t="s">
        <v>892</v>
      </c>
      <c r="G218" t="s">
        <v>892</v>
      </c>
      <c r="H218" s="134" t="s">
        <v>875</v>
      </c>
      <c r="I218" t="s">
        <v>2206</v>
      </c>
      <c r="J218" t="s">
        <v>683</v>
      </c>
      <c r="K218" t="s">
        <v>684</v>
      </c>
      <c r="L218" t="s">
        <v>988</v>
      </c>
      <c r="M218" t="s">
        <v>686</v>
      </c>
      <c r="N218" t="s">
        <v>687</v>
      </c>
      <c r="O218" t="s">
        <v>639</v>
      </c>
    </row>
    <row r="219" spans="1:15" hidden="1" x14ac:dyDescent="0.25">
      <c r="A219">
        <v>259</v>
      </c>
      <c r="B219" t="s">
        <v>1809</v>
      </c>
      <c r="C219" t="s">
        <v>659</v>
      </c>
      <c r="D219" t="s">
        <v>2207</v>
      </c>
      <c r="E219" t="s">
        <v>906</v>
      </c>
      <c r="F219" t="s">
        <v>892</v>
      </c>
      <c r="G219" t="s">
        <v>892</v>
      </c>
      <c r="H219" s="134" t="s">
        <v>875</v>
      </c>
      <c r="I219" t="s">
        <v>3306</v>
      </c>
      <c r="J219" t="s">
        <v>683</v>
      </c>
      <c r="K219" t="s">
        <v>684</v>
      </c>
      <c r="L219" t="s">
        <v>988</v>
      </c>
      <c r="M219" t="s">
        <v>686</v>
      </c>
      <c r="N219" t="s">
        <v>687</v>
      </c>
      <c r="O219" t="s">
        <v>639</v>
      </c>
    </row>
    <row r="220" spans="1:15" hidden="1" x14ac:dyDescent="0.25">
      <c r="A220">
        <v>261</v>
      </c>
      <c r="B220" t="s">
        <v>1077</v>
      </c>
      <c r="C220" t="s">
        <v>659</v>
      </c>
      <c r="D220" t="s">
        <v>1078</v>
      </c>
      <c r="E220" t="s">
        <v>1043</v>
      </c>
      <c r="F220" t="s">
        <v>1037</v>
      </c>
      <c r="G220" t="s">
        <v>791</v>
      </c>
      <c r="H220" s="134" t="s">
        <v>1079</v>
      </c>
      <c r="J220" t="s">
        <v>683</v>
      </c>
      <c r="K220" t="s">
        <v>695</v>
      </c>
      <c r="L220" t="s">
        <v>761</v>
      </c>
      <c r="N220" t="s">
        <v>687</v>
      </c>
      <c r="O220" t="s">
        <v>639</v>
      </c>
    </row>
    <row r="221" spans="1:15" hidden="1" x14ac:dyDescent="0.25">
      <c r="A221">
        <v>261</v>
      </c>
      <c r="B221" t="s">
        <v>1077</v>
      </c>
      <c r="C221" t="s">
        <v>659</v>
      </c>
      <c r="D221" t="s">
        <v>1080</v>
      </c>
      <c r="E221" t="s">
        <v>791</v>
      </c>
      <c r="F221" t="s">
        <v>1037</v>
      </c>
      <c r="G221" t="s">
        <v>791</v>
      </c>
      <c r="H221" s="134" t="s">
        <v>1079</v>
      </c>
      <c r="J221" t="s">
        <v>683</v>
      </c>
      <c r="K221" t="s">
        <v>695</v>
      </c>
      <c r="L221" t="s">
        <v>761</v>
      </c>
      <c r="N221" t="s">
        <v>687</v>
      </c>
      <c r="O221" t="s">
        <v>639</v>
      </c>
    </row>
    <row r="222" spans="1:15" hidden="1" x14ac:dyDescent="0.25">
      <c r="A222">
        <v>263</v>
      </c>
      <c r="B222" t="s">
        <v>1081</v>
      </c>
      <c r="C222" t="s">
        <v>659</v>
      </c>
      <c r="D222" t="s">
        <v>1082</v>
      </c>
      <c r="E222" t="s">
        <v>746</v>
      </c>
      <c r="F222" t="s">
        <v>662</v>
      </c>
      <c r="G222" t="s">
        <v>662</v>
      </c>
      <c r="H222" s="134" t="s">
        <v>1051</v>
      </c>
      <c r="I222" t="s">
        <v>1083</v>
      </c>
      <c r="J222" t="s">
        <v>683</v>
      </c>
      <c r="K222" t="s">
        <v>695</v>
      </c>
      <c r="L222" t="s">
        <v>685</v>
      </c>
      <c r="M222" t="s">
        <v>686</v>
      </c>
      <c r="N222" t="s">
        <v>687</v>
      </c>
      <c r="O222" t="s">
        <v>639</v>
      </c>
    </row>
    <row r="223" spans="1:15" hidden="1" x14ac:dyDescent="0.25">
      <c r="A223">
        <v>263</v>
      </c>
      <c r="B223" t="s">
        <v>1081</v>
      </c>
      <c r="C223" t="s">
        <v>659</v>
      </c>
      <c r="D223" t="s">
        <v>1084</v>
      </c>
      <c r="E223" t="s">
        <v>746</v>
      </c>
      <c r="F223" t="s">
        <v>658</v>
      </c>
      <c r="G223" t="s">
        <v>662</v>
      </c>
      <c r="H223" s="134" t="s">
        <v>1051</v>
      </c>
      <c r="I223" t="s">
        <v>1085</v>
      </c>
      <c r="J223" t="s">
        <v>683</v>
      </c>
      <c r="K223" t="s">
        <v>695</v>
      </c>
      <c r="L223" t="s">
        <v>685</v>
      </c>
      <c r="N223" t="s">
        <v>687</v>
      </c>
      <c r="O223" t="s">
        <v>639</v>
      </c>
    </row>
    <row r="224" spans="1:15" hidden="1" x14ac:dyDescent="0.25">
      <c r="A224">
        <v>263</v>
      </c>
      <c r="B224" t="s">
        <v>1081</v>
      </c>
      <c r="C224" t="s">
        <v>659</v>
      </c>
      <c r="D224" t="s">
        <v>1086</v>
      </c>
      <c r="E224" t="s">
        <v>662</v>
      </c>
      <c r="F224" t="s">
        <v>680</v>
      </c>
      <c r="G224" t="s">
        <v>662</v>
      </c>
      <c r="H224" s="134" t="s">
        <v>1051</v>
      </c>
      <c r="I224" t="s">
        <v>1085</v>
      </c>
      <c r="J224" t="s">
        <v>683</v>
      </c>
      <c r="K224" t="s">
        <v>684</v>
      </c>
      <c r="L224" t="s">
        <v>685</v>
      </c>
      <c r="M224" t="s">
        <v>686</v>
      </c>
      <c r="N224" t="s">
        <v>687</v>
      </c>
      <c r="O224" t="s">
        <v>639</v>
      </c>
    </row>
    <row r="225" spans="1:15" hidden="1" x14ac:dyDescent="0.25">
      <c r="A225">
        <v>270</v>
      </c>
      <c r="B225" t="s">
        <v>1829</v>
      </c>
      <c r="C225" t="s">
        <v>659</v>
      </c>
      <c r="D225" t="s">
        <v>2208</v>
      </c>
      <c r="E225" t="s">
        <v>1734</v>
      </c>
      <c r="F225" t="s">
        <v>1069</v>
      </c>
      <c r="G225" t="s">
        <v>981</v>
      </c>
      <c r="H225" s="134" t="s">
        <v>1831</v>
      </c>
      <c r="I225" t="s">
        <v>2209</v>
      </c>
      <c r="J225" t="s">
        <v>683</v>
      </c>
      <c r="K225" t="s">
        <v>684</v>
      </c>
      <c r="L225" t="s">
        <v>685</v>
      </c>
      <c r="M225" t="s">
        <v>686</v>
      </c>
      <c r="N225" t="s">
        <v>687</v>
      </c>
      <c r="O225" t="s">
        <v>639</v>
      </c>
    </row>
    <row r="226" spans="1:15" hidden="1" x14ac:dyDescent="0.25">
      <c r="A226">
        <v>270</v>
      </c>
      <c r="B226" t="s">
        <v>1829</v>
      </c>
      <c r="C226" t="s">
        <v>659</v>
      </c>
      <c r="D226" t="s">
        <v>2210</v>
      </c>
      <c r="E226" t="s">
        <v>1734</v>
      </c>
      <c r="F226" t="s">
        <v>1069</v>
      </c>
      <c r="G226" t="s">
        <v>981</v>
      </c>
      <c r="H226" s="134" t="s">
        <v>1831</v>
      </c>
      <c r="I226" t="s">
        <v>2209</v>
      </c>
      <c r="J226" t="s">
        <v>683</v>
      </c>
      <c r="K226" t="s">
        <v>684</v>
      </c>
      <c r="L226" t="s">
        <v>685</v>
      </c>
      <c r="M226" t="s">
        <v>686</v>
      </c>
      <c r="N226" t="s">
        <v>687</v>
      </c>
      <c r="O226" t="s">
        <v>639</v>
      </c>
    </row>
    <row r="227" spans="1:15" hidden="1" x14ac:dyDescent="0.25">
      <c r="A227">
        <v>270</v>
      </c>
      <c r="B227" t="s">
        <v>1829</v>
      </c>
      <c r="C227" t="s">
        <v>659</v>
      </c>
      <c r="D227" t="s">
        <v>2210</v>
      </c>
      <c r="E227" t="s">
        <v>1734</v>
      </c>
      <c r="F227" t="s">
        <v>1069</v>
      </c>
      <c r="G227" t="s">
        <v>981</v>
      </c>
      <c r="H227" s="134" t="s">
        <v>1831</v>
      </c>
      <c r="I227" t="s">
        <v>2209</v>
      </c>
      <c r="J227" t="s">
        <v>683</v>
      </c>
      <c r="K227" t="s">
        <v>684</v>
      </c>
      <c r="L227" t="s">
        <v>685</v>
      </c>
      <c r="M227" t="s">
        <v>686</v>
      </c>
      <c r="N227" t="s">
        <v>687</v>
      </c>
      <c r="O227" t="s">
        <v>639</v>
      </c>
    </row>
    <row r="228" spans="1:15" hidden="1" x14ac:dyDescent="0.25">
      <c r="A228">
        <v>270</v>
      </c>
      <c r="B228" t="s">
        <v>1829</v>
      </c>
      <c r="C228" t="s">
        <v>659</v>
      </c>
      <c r="D228" t="s">
        <v>2211</v>
      </c>
      <c r="E228" t="s">
        <v>1491</v>
      </c>
      <c r="F228" t="s">
        <v>1069</v>
      </c>
      <c r="G228" t="s">
        <v>981</v>
      </c>
      <c r="H228" s="134" t="s">
        <v>1831</v>
      </c>
      <c r="I228" t="s">
        <v>2212</v>
      </c>
      <c r="J228" t="s">
        <v>683</v>
      </c>
      <c r="K228" t="s">
        <v>684</v>
      </c>
      <c r="L228" t="s">
        <v>685</v>
      </c>
      <c r="M228" t="s">
        <v>686</v>
      </c>
      <c r="N228" t="s">
        <v>687</v>
      </c>
      <c r="O228" t="s">
        <v>639</v>
      </c>
    </row>
    <row r="229" spans="1:15" hidden="1" x14ac:dyDescent="0.25">
      <c r="A229">
        <v>273</v>
      </c>
      <c r="B229" t="s">
        <v>1836</v>
      </c>
      <c r="C229" t="s">
        <v>659</v>
      </c>
      <c r="D229" t="s">
        <v>2213</v>
      </c>
      <c r="E229" t="s">
        <v>1838</v>
      </c>
      <c r="F229" t="s">
        <v>929</v>
      </c>
      <c r="G229" t="s">
        <v>929</v>
      </c>
      <c r="H229" s="134" t="s">
        <v>1839</v>
      </c>
      <c r="I229" t="s">
        <v>1015</v>
      </c>
      <c r="J229" t="s">
        <v>683</v>
      </c>
      <c r="K229" t="s">
        <v>684</v>
      </c>
      <c r="L229" t="s">
        <v>988</v>
      </c>
      <c r="M229" t="s">
        <v>686</v>
      </c>
      <c r="N229" t="s">
        <v>687</v>
      </c>
      <c r="O229" t="s">
        <v>639</v>
      </c>
    </row>
    <row r="230" spans="1:15" hidden="1" x14ac:dyDescent="0.25">
      <c r="A230">
        <v>273</v>
      </c>
      <c r="B230" t="s">
        <v>1836</v>
      </c>
      <c r="C230" t="s">
        <v>659</v>
      </c>
      <c r="D230" t="s">
        <v>2214</v>
      </c>
      <c r="E230" t="s">
        <v>1838</v>
      </c>
      <c r="F230" t="s">
        <v>929</v>
      </c>
      <c r="G230" t="s">
        <v>929</v>
      </c>
      <c r="H230" s="134" t="s">
        <v>1839</v>
      </c>
      <c r="I230" t="s">
        <v>1015</v>
      </c>
      <c r="J230" t="s">
        <v>683</v>
      </c>
      <c r="K230" t="s">
        <v>718</v>
      </c>
      <c r="L230" t="s">
        <v>685</v>
      </c>
      <c r="M230" t="s">
        <v>686</v>
      </c>
      <c r="N230" t="s">
        <v>687</v>
      </c>
      <c r="O230" t="s">
        <v>639</v>
      </c>
    </row>
    <row r="231" spans="1:15" hidden="1" x14ac:dyDescent="0.25">
      <c r="A231">
        <v>274</v>
      </c>
      <c r="B231" t="s">
        <v>1845</v>
      </c>
      <c r="C231" t="s">
        <v>659</v>
      </c>
      <c r="D231" t="s">
        <v>2215</v>
      </c>
      <c r="E231" t="s">
        <v>1848</v>
      </c>
      <c r="F231" t="s">
        <v>774</v>
      </c>
      <c r="G231" t="s">
        <v>1846</v>
      </c>
      <c r="H231" s="134" t="s">
        <v>1849</v>
      </c>
      <c r="I231" t="s">
        <v>2216</v>
      </c>
      <c r="J231" t="s">
        <v>858</v>
      </c>
      <c r="N231" t="s">
        <v>639</v>
      </c>
      <c r="O231" t="s">
        <v>639</v>
      </c>
    </row>
    <row r="232" spans="1:15" hidden="1" x14ac:dyDescent="0.25">
      <c r="A232">
        <v>274</v>
      </c>
      <c r="B232" t="s">
        <v>1845</v>
      </c>
      <c r="C232" t="s">
        <v>659</v>
      </c>
      <c r="D232" t="s">
        <v>2217</v>
      </c>
      <c r="G232" t="s">
        <v>1846</v>
      </c>
      <c r="H232" s="134" t="s">
        <v>1849</v>
      </c>
      <c r="J232" t="s">
        <v>858</v>
      </c>
      <c r="N232" t="s">
        <v>639</v>
      </c>
      <c r="O232" t="s">
        <v>639</v>
      </c>
    </row>
    <row r="233" spans="1:15" hidden="1" x14ac:dyDescent="0.25">
      <c r="A233">
        <v>278</v>
      </c>
      <c r="B233" t="s">
        <v>1087</v>
      </c>
      <c r="C233" t="s">
        <v>659</v>
      </c>
      <c r="D233" t="s">
        <v>1088</v>
      </c>
      <c r="E233" t="s">
        <v>766</v>
      </c>
      <c r="F233" t="s">
        <v>757</v>
      </c>
      <c r="G233" t="s">
        <v>757</v>
      </c>
      <c r="H233" s="134" t="s">
        <v>1089</v>
      </c>
      <c r="I233" t="s">
        <v>1090</v>
      </c>
      <c r="J233" t="s">
        <v>683</v>
      </c>
      <c r="K233" t="s">
        <v>695</v>
      </c>
      <c r="L233" t="s">
        <v>685</v>
      </c>
      <c r="M233" t="s">
        <v>686</v>
      </c>
      <c r="N233" t="s">
        <v>687</v>
      </c>
      <c r="O233" t="s">
        <v>639</v>
      </c>
    </row>
    <row r="234" spans="1:15" hidden="1" x14ac:dyDescent="0.25">
      <c r="A234">
        <v>278</v>
      </c>
      <c r="B234" t="s">
        <v>1087</v>
      </c>
      <c r="C234" t="s">
        <v>659</v>
      </c>
      <c r="D234" t="s">
        <v>1091</v>
      </c>
      <c r="E234" t="s">
        <v>766</v>
      </c>
      <c r="F234" t="s">
        <v>757</v>
      </c>
      <c r="G234" t="s">
        <v>757</v>
      </c>
      <c r="H234" s="134" t="s">
        <v>1089</v>
      </c>
      <c r="J234" t="s">
        <v>683</v>
      </c>
      <c r="K234" t="s">
        <v>695</v>
      </c>
      <c r="M234" t="s">
        <v>686</v>
      </c>
      <c r="N234" t="s">
        <v>687</v>
      </c>
      <c r="O234" t="s">
        <v>639</v>
      </c>
    </row>
    <row r="235" spans="1:15" hidden="1" x14ac:dyDescent="0.25">
      <c r="A235">
        <v>279</v>
      </c>
      <c r="B235" t="s">
        <v>1092</v>
      </c>
      <c r="C235" t="s">
        <v>659</v>
      </c>
      <c r="D235" t="s">
        <v>1093</v>
      </c>
      <c r="E235" t="s">
        <v>1094</v>
      </c>
      <c r="F235" t="s">
        <v>662</v>
      </c>
      <c r="G235" t="s">
        <v>662</v>
      </c>
      <c r="H235" s="134" t="s">
        <v>1051</v>
      </c>
      <c r="I235" t="s">
        <v>1095</v>
      </c>
      <c r="J235" t="s">
        <v>683</v>
      </c>
      <c r="K235" t="s">
        <v>718</v>
      </c>
      <c r="L235" t="s">
        <v>7</v>
      </c>
      <c r="M235" t="s">
        <v>686</v>
      </c>
      <c r="N235" t="s">
        <v>687</v>
      </c>
      <c r="O235" t="s">
        <v>639</v>
      </c>
    </row>
    <row r="236" spans="1:15" hidden="1" x14ac:dyDescent="0.25">
      <c r="A236">
        <v>282</v>
      </c>
      <c r="B236" t="s">
        <v>1859</v>
      </c>
      <c r="C236" t="s">
        <v>659</v>
      </c>
      <c r="D236" t="s">
        <v>2218</v>
      </c>
      <c r="E236" t="s">
        <v>1838</v>
      </c>
      <c r="F236" t="s">
        <v>721</v>
      </c>
      <c r="G236" t="s">
        <v>1838</v>
      </c>
      <c r="H236" s="134" t="s">
        <v>1849</v>
      </c>
      <c r="I236" t="s">
        <v>2219</v>
      </c>
      <c r="J236" t="s">
        <v>858</v>
      </c>
      <c r="N236" t="s">
        <v>639</v>
      </c>
      <c r="O236" t="s">
        <v>639</v>
      </c>
    </row>
    <row r="237" spans="1:15" hidden="1" x14ac:dyDescent="0.25">
      <c r="A237">
        <v>282</v>
      </c>
      <c r="B237" t="s">
        <v>1859</v>
      </c>
      <c r="C237" t="s">
        <v>659</v>
      </c>
      <c r="D237" t="s">
        <v>2220</v>
      </c>
      <c r="E237" t="s">
        <v>1838</v>
      </c>
      <c r="F237" t="s">
        <v>721</v>
      </c>
      <c r="G237" t="s">
        <v>1838</v>
      </c>
      <c r="H237" s="134" t="s">
        <v>1849</v>
      </c>
      <c r="I237" t="s">
        <v>2221</v>
      </c>
      <c r="J237" t="s">
        <v>858</v>
      </c>
      <c r="N237" t="s">
        <v>639</v>
      </c>
      <c r="O237" t="s">
        <v>639</v>
      </c>
    </row>
    <row r="238" spans="1:15" hidden="1" x14ac:dyDescent="0.25">
      <c r="A238">
        <v>283</v>
      </c>
      <c r="B238" t="s">
        <v>1867</v>
      </c>
      <c r="C238" t="s">
        <v>659</v>
      </c>
      <c r="D238" t="s">
        <v>2225</v>
      </c>
      <c r="E238" t="s">
        <v>2223</v>
      </c>
      <c r="F238" t="s">
        <v>658</v>
      </c>
      <c r="G238" t="s">
        <v>658</v>
      </c>
      <c r="H238" s="134" t="s">
        <v>1869</v>
      </c>
      <c r="J238" t="s">
        <v>858</v>
      </c>
      <c r="N238" t="s">
        <v>639</v>
      </c>
      <c r="O238" t="s">
        <v>639</v>
      </c>
    </row>
    <row r="239" spans="1:15" hidden="1" x14ac:dyDescent="0.25">
      <c r="A239">
        <v>283</v>
      </c>
      <c r="B239" t="s">
        <v>1867</v>
      </c>
      <c r="C239" t="s">
        <v>659</v>
      </c>
      <c r="D239" t="s">
        <v>2226</v>
      </c>
      <c r="E239" t="s">
        <v>846</v>
      </c>
      <c r="F239" t="s">
        <v>658</v>
      </c>
      <c r="G239" t="s">
        <v>658</v>
      </c>
      <c r="H239" s="134" t="s">
        <v>1869</v>
      </c>
      <c r="I239" t="s">
        <v>2224</v>
      </c>
      <c r="J239" t="s">
        <v>858</v>
      </c>
      <c r="N239" t="s">
        <v>639</v>
      </c>
      <c r="O239" t="s">
        <v>639</v>
      </c>
    </row>
    <row r="240" spans="1:15" hidden="1" x14ac:dyDescent="0.25">
      <c r="A240">
        <v>283</v>
      </c>
      <c r="B240" t="s">
        <v>1867</v>
      </c>
      <c r="C240" t="s">
        <v>659</v>
      </c>
      <c r="D240" t="s">
        <v>2222</v>
      </c>
      <c r="E240" t="s">
        <v>2223</v>
      </c>
      <c r="F240" t="s">
        <v>658</v>
      </c>
      <c r="G240" t="s">
        <v>658</v>
      </c>
      <c r="H240" s="134" t="s">
        <v>1869</v>
      </c>
      <c r="J240" t="s">
        <v>683</v>
      </c>
      <c r="K240" t="s">
        <v>718</v>
      </c>
      <c r="L240" t="s">
        <v>988</v>
      </c>
      <c r="N240" t="s">
        <v>639</v>
      </c>
      <c r="O240" t="s">
        <v>639</v>
      </c>
    </row>
    <row r="241" spans="1:15" hidden="1" x14ac:dyDescent="0.25">
      <c r="A241">
        <v>286</v>
      </c>
      <c r="B241" t="s">
        <v>1096</v>
      </c>
      <c r="C241" t="s">
        <v>659</v>
      </c>
      <c r="D241" t="s">
        <v>1102</v>
      </c>
      <c r="E241" t="s">
        <v>658</v>
      </c>
      <c r="F241" t="s">
        <v>701</v>
      </c>
      <c r="G241" t="s">
        <v>658</v>
      </c>
      <c r="H241" s="134" t="s">
        <v>1051</v>
      </c>
      <c r="I241" t="s">
        <v>1097</v>
      </c>
      <c r="J241" t="s">
        <v>956</v>
      </c>
      <c r="N241" t="s">
        <v>687</v>
      </c>
      <c r="O241" t="s">
        <v>639</v>
      </c>
    </row>
    <row r="242" spans="1:15" hidden="1" x14ac:dyDescent="0.25">
      <c r="A242">
        <v>286</v>
      </c>
      <c r="B242" t="s">
        <v>1096</v>
      </c>
      <c r="C242" t="s">
        <v>659</v>
      </c>
      <c r="D242" t="s">
        <v>661</v>
      </c>
      <c r="E242" t="s">
        <v>662</v>
      </c>
      <c r="F242" t="s">
        <v>658</v>
      </c>
      <c r="G242" t="s">
        <v>658</v>
      </c>
      <c r="H242" s="134" t="s">
        <v>1051</v>
      </c>
      <c r="I242" t="s">
        <v>1097</v>
      </c>
      <c r="J242" t="s">
        <v>858</v>
      </c>
      <c r="N242" t="s">
        <v>639</v>
      </c>
      <c r="O242" t="s">
        <v>639</v>
      </c>
    </row>
    <row r="243" spans="1:15" hidden="1" x14ac:dyDescent="0.25">
      <c r="A243">
        <v>286</v>
      </c>
      <c r="B243" t="s">
        <v>1096</v>
      </c>
      <c r="C243" t="s">
        <v>659</v>
      </c>
      <c r="D243" t="s">
        <v>1098</v>
      </c>
      <c r="E243" t="s">
        <v>662</v>
      </c>
      <c r="F243" t="s">
        <v>863</v>
      </c>
      <c r="G243" t="s">
        <v>658</v>
      </c>
      <c r="H243" s="134" t="s">
        <v>1051</v>
      </c>
      <c r="I243" t="s">
        <v>1097</v>
      </c>
      <c r="J243" t="s">
        <v>858</v>
      </c>
      <c r="N243" t="s">
        <v>639</v>
      </c>
      <c r="O243" t="s">
        <v>639</v>
      </c>
    </row>
    <row r="244" spans="1:15" hidden="1" x14ac:dyDescent="0.25">
      <c r="A244">
        <v>286</v>
      </c>
      <c r="B244" t="s">
        <v>1096</v>
      </c>
      <c r="C244" t="s">
        <v>659</v>
      </c>
      <c r="D244" t="s">
        <v>1099</v>
      </c>
      <c r="E244" t="s">
        <v>1100</v>
      </c>
      <c r="F244" t="s">
        <v>662</v>
      </c>
      <c r="G244" t="s">
        <v>658</v>
      </c>
      <c r="H244" s="134" t="s">
        <v>1051</v>
      </c>
      <c r="I244" t="s">
        <v>1097</v>
      </c>
      <c r="J244" t="s">
        <v>956</v>
      </c>
      <c r="K244" t="s">
        <v>692</v>
      </c>
      <c r="N244" t="s">
        <v>639</v>
      </c>
      <c r="O244" t="s">
        <v>639</v>
      </c>
    </row>
    <row r="245" spans="1:15" hidden="1" x14ac:dyDescent="0.25">
      <c r="A245">
        <v>286</v>
      </c>
      <c r="B245" t="s">
        <v>1096</v>
      </c>
      <c r="C245" t="s">
        <v>659</v>
      </c>
      <c r="D245" t="s">
        <v>1101</v>
      </c>
      <c r="E245" t="s">
        <v>1100</v>
      </c>
      <c r="F245" t="s">
        <v>662</v>
      </c>
      <c r="G245" t="s">
        <v>658</v>
      </c>
      <c r="H245" s="134" t="s">
        <v>1051</v>
      </c>
      <c r="J245" t="s">
        <v>956</v>
      </c>
      <c r="K245" t="s">
        <v>692</v>
      </c>
      <c r="N245" t="s">
        <v>639</v>
      </c>
      <c r="O245" t="s">
        <v>639</v>
      </c>
    </row>
    <row r="246" spans="1:15" hidden="1" x14ac:dyDescent="0.25">
      <c r="A246">
        <v>286</v>
      </c>
      <c r="B246" t="s">
        <v>1096</v>
      </c>
      <c r="C246" t="s">
        <v>659</v>
      </c>
      <c r="D246" t="s">
        <v>1103</v>
      </c>
      <c r="E246" t="s">
        <v>974</v>
      </c>
      <c r="F246" t="s">
        <v>1104</v>
      </c>
      <c r="G246" t="s">
        <v>658</v>
      </c>
      <c r="H246" s="134" t="s">
        <v>1051</v>
      </c>
      <c r="J246" t="s">
        <v>683</v>
      </c>
      <c r="K246" t="s">
        <v>695</v>
      </c>
      <c r="L246" t="s">
        <v>685</v>
      </c>
      <c r="M246" t="s">
        <v>686</v>
      </c>
      <c r="N246" t="s">
        <v>687</v>
      </c>
      <c r="O246" t="s">
        <v>639</v>
      </c>
    </row>
    <row r="247" spans="1:15" hidden="1" x14ac:dyDescent="0.25">
      <c r="A247">
        <v>290</v>
      </c>
      <c r="B247" t="s">
        <v>1105</v>
      </c>
      <c r="C247" t="s">
        <v>659</v>
      </c>
      <c r="D247" t="s">
        <v>1106</v>
      </c>
      <c r="E247" t="s">
        <v>698</v>
      </c>
      <c r="F247" t="s">
        <v>1069</v>
      </c>
      <c r="G247" t="s">
        <v>698</v>
      </c>
      <c r="H247" s="134" t="s">
        <v>1070</v>
      </c>
      <c r="I247" t="s">
        <v>1107</v>
      </c>
      <c r="J247" t="s">
        <v>956</v>
      </c>
      <c r="K247" t="s">
        <v>695</v>
      </c>
      <c r="M247" t="s">
        <v>686</v>
      </c>
      <c r="N247" t="s">
        <v>687</v>
      </c>
      <c r="O247" t="s">
        <v>639</v>
      </c>
    </row>
    <row r="248" spans="1:15" hidden="1" x14ac:dyDescent="0.25">
      <c r="A248">
        <v>290</v>
      </c>
      <c r="B248" t="s">
        <v>1105</v>
      </c>
      <c r="C248" t="s">
        <v>659</v>
      </c>
      <c r="D248" t="s">
        <v>1108</v>
      </c>
      <c r="E248" t="s">
        <v>698</v>
      </c>
      <c r="F248" t="s">
        <v>1069</v>
      </c>
      <c r="G248" t="s">
        <v>698</v>
      </c>
      <c r="H248" s="134" t="s">
        <v>1070</v>
      </c>
      <c r="I248" t="s">
        <v>1109</v>
      </c>
      <c r="J248" t="s">
        <v>683</v>
      </c>
      <c r="K248" t="s">
        <v>695</v>
      </c>
      <c r="L248" t="s">
        <v>685</v>
      </c>
      <c r="M248" t="s">
        <v>686</v>
      </c>
      <c r="N248" t="s">
        <v>687</v>
      </c>
      <c r="O248" t="s">
        <v>639</v>
      </c>
    </row>
    <row r="249" spans="1:15" hidden="1" x14ac:dyDescent="0.25">
      <c r="A249">
        <v>290</v>
      </c>
      <c r="B249" t="s">
        <v>1105</v>
      </c>
      <c r="C249" t="s">
        <v>659</v>
      </c>
      <c r="D249" t="s">
        <v>1110</v>
      </c>
      <c r="E249" t="s">
        <v>698</v>
      </c>
      <c r="F249" t="s">
        <v>1069</v>
      </c>
      <c r="G249" t="s">
        <v>698</v>
      </c>
      <c r="H249" s="134" t="s">
        <v>1070</v>
      </c>
      <c r="I249" t="s">
        <v>1107</v>
      </c>
      <c r="J249" t="s">
        <v>683</v>
      </c>
      <c r="K249" t="s">
        <v>684</v>
      </c>
      <c r="L249" t="s">
        <v>685</v>
      </c>
      <c r="M249" t="s">
        <v>686</v>
      </c>
      <c r="N249" t="s">
        <v>687</v>
      </c>
      <c r="O249" t="s">
        <v>639</v>
      </c>
    </row>
    <row r="250" spans="1:15" hidden="1" x14ac:dyDescent="0.25">
      <c r="A250">
        <v>290</v>
      </c>
      <c r="B250" t="s">
        <v>1105</v>
      </c>
      <c r="C250" t="s">
        <v>659</v>
      </c>
      <c r="D250" t="s">
        <v>1111</v>
      </c>
      <c r="E250" t="s">
        <v>698</v>
      </c>
      <c r="F250" t="s">
        <v>1069</v>
      </c>
      <c r="G250" t="s">
        <v>698</v>
      </c>
      <c r="H250" s="134" t="s">
        <v>1070</v>
      </c>
      <c r="I250" t="s">
        <v>1109</v>
      </c>
      <c r="J250" t="s">
        <v>683</v>
      </c>
      <c r="K250" t="s">
        <v>684</v>
      </c>
      <c r="L250" t="s">
        <v>685</v>
      </c>
      <c r="M250" t="s">
        <v>686</v>
      </c>
      <c r="N250" t="s">
        <v>687</v>
      </c>
      <c r="O250" t="s">
        <v>639</v>
      </c>
    </row>
    <row r="251" spans="1:15" hidden="1" x14ac:dyDescent="0.25">
      <c r="A251">
        <v>291</v>
      </c>
      <c r="B251" t="s">
        <v>1884</v>
      </c>
      <c r="C251" t="s">
        <v>659</v>
      </c>
      <c r="D251" t="s">
        <v>2227</v>
      </c>
      <c r="E251" t="s">
        <v>681</v>
      </c>
      <c r="F251" t="s">
        <v>701</v>
      </c>
      <c r="G251" t="s">
        <v>974</v>
      </c>
      <c r="H251" s="134" t="s">
        <v>1886</v>
      </c>
      <c r="I251" t="s">
        <v>2224</v>
      </c>
      <c r="J251" t="s">
        <v>683</v>
      </c>
      <c r="K251" t="s">
        <v>684</v>
      </c>
      <c r="L251" t="s">
        <v>685</v>
      </c>
      <c r="M251" t="s">
        <v>686</v>
      </c>
      <c r="N251" t="s">
        <v>687</v>
      </c>
      <c r="O251" t="s">
        <v>639</v>
      </c>
    </row>
    <row r="252" spans="1:15" hidden="1" x14ac:dyDescent="0.25">
      <c r="A252">
        <v>291</v>
      </c>
      <c r="B252" t="s">
        <v>1884</v>
      </c>
      <c r="C252" t="s">
        <v>659</v>
      </c>
      <c r="D252" t="s">
        <v>2228</v>
      </c>
      <c r="E252" t="s">
        <v>1449</v>
      </c>
      <c r="F252" t="s">
        <v>681</v>
      </c>
      <c r="G252" t="s">
        <v>974</v>
      </c>
      <c r="H252" s="134" t="s">
        <v>1886</v>
      </c>
      <c r="I252" t="s">
        <v>2229</v>
      </c>
      <c r="J252" t="s">
        <v>683</v>
      </c>
      <c r="K252" t="s">
        <v>684</v>
      </c>
      <c r="L252" t="s">
        <v>685</v>
      </c>
      <c r="M252" t="s">
        <v>686</v>
      </c>
      <c r="N252" t="s">
        <v>687</v>
      </c>
      <c r="O252" t="s">
        <v>639</v>
      </c>
    </row>
    <row r="253" spans="1:15" hidden="1" x14ac:dyDescent="0.25">
      <c r="A253">
        <v>291</v>
      </c>
      <c r="B253" t="s">
        <v>1884</v>
      </c>
      <c r="C253" t="s">
        <v>659</v>
      </c>
      <c r="D253" t="s">
        <v>2230</v>
      </c>
      <c r="E253" t="s">
        <v>1782</v>
      </c>
      <c r="F253" t="s">
        <v>681</v>
      </c>
      <c r="G253" t="s">
        <v>974</v>
      </c>
      <c r="H253" s="134" t="s">
        <v>1886</v>
      </c>
      <c r="I253" t="s">
        <v>2229</v>
      </c>
      <c r="J253" t="s">
        <v>683</v>
      </c>
      <c r="K253" t="s">
        <v>684</v>
      </c>
      <c r="L253" t="s">
        <v>685</v>
      </c>
      <c r="M253" t="s">
        <v>686</v>
      </c>
      <c r="N253" t="s">
        <v>687</v>
      </c>
      <c r="O253" t="s">
        <v>639</v>
      </c>
    </row>
    <row r="254" spans="1:15" hidden="1" x14ac:dyDescent="0.25">
      <c r="A254">
        <v>291</v>
      </c>
      <c r="B254" t="s">
        <v>1884</v>
      </c>
      <c r="C254" t="s">
        <v>659</v>
      </c>
      <c r="D254" t="s">
        <v>2227</v>
      </c>
      <c r="E254" t="s">
        <v>681</v>
      </c>
      <c r="F254" t="s">
        <v>658</v>
      </c>
      <c r="G254" t="s">
        <v>974</v>
      </c>
      <c r="H254" s="134" t="s">
        <v>1886</v>
      </c>
      <c r="I254" t="s">
        <v>2231</v>
      </c>
      <c r="J254" t="s">
        <v>683</v>
      </c>
      <c r="K254" t="s">
        <v>684</v>
      </c>
      <c r="L254" t="s">
        <v>685</v>
      </c>
      <c r="M254" t="s">
        <v>686</v>
      </c>
      <c r="N254" t="s">
        <v>687</v>
      </c>
      <c r="O254" t="s">
        <v>639</v>
      </c>
    </row>
    <row r="255" spans="1:15" hidden="1" x14ac:dyDescent="0.25">
      <c r="A255">
        <v>293</v>
      </c>
      <c r="B255" t="s">
        <v>1112</v>
      </c>
      <c r="C255" t="s">
        <v>659</v>
      </c>
      <c r="D255" t="s">
        <v>1113</v>
      </c>
      <c r="E255" t="s">
        <v>662</v>
      </c>
      <c r="F255" t="s">
        <v>1037</v>
      </c>
      <c r="G255" t="s">
        <v>658</v>
      </c>
      <c r="H255" s="134" t="s">
        <v>680</v>
      </c>
      <c r="J255" t="s">
        <v>858</v>
      </c>
      <c r="N255" t="s">
        <v>639</v>
      </c>
      <c r="O255" t="s">
        <v>639</v>
      </c>
    </row>
    <row r="256" spans="1:15" hidden="1" x14ac:dyDescent="0.25">
      <c r="A256">
        <v>293</v>
      </c>
      <c r="B256" t="s">
        <v>1112</v>
      </c>
      <c r="C256" t="s">
        <v>659</v>
      </c>
      <c r="D256" t="s">
        <v>1114</v>
      </c>
      <c r="E256" t="s">
        <v>662</v>
      </c>
      <c r="F256" t="s">
        <v>680</v>
      </c>
      <c r="G256" t="s">
        <v>658</v>
      </c>
      <c r="H256" s="134" t="s">
        <v>680</v>
      </c>
      <c r="J256" t="s">
        <v>683</v>
      </c>
      <c r="K256" t="s">
        <v>684</v>
      </c>
      <c r="L256" t="s">
        <v>685</v>
      </c>
      <c r="M256" t="s">
        <v>686</v>
      </c>
      <c r="N256" t="s">
        <v>687</v>
      </c>
      <c r="O256" t="s">
        <v>639</v>
      </c>
    </row>
    <row r="257" spans="1:15" hidden="1" x14ac:dyDescent="0.25">
      <c r="A257">
        <v>293</v>
      </c>
      <c r="B257" t="s">
        <v>1112</v>
      </c>
      <c r="C257" t="s">
        <v>659</v>
      </c>
      <c r="D257" t="s">
        <v>1115</v>
      </c>
      <c r="E257" t="s">
        <v>662</v>
      </c>
      <c r="F257" t="s">
        <v>680</v>
      </c>
      <c r="G257" t="s">
        <v>658</v>
      </c>
      <c r="H257" s="134" t="s">
        <v>680</v>
      </c>
      <c r="J257" t="s">
        <v>683</v>
      </c>
      <c r="K257" t="s">
        <v>718</v>
      </c>
      <c r="L257" t="s">
        <v>1035</v>
      </c>
      <c r="M257" t="s">
        <v>686</v>
      </c>
      <c r="N257" t="s">
        <v>687</v>
      </c>
      <c r="O257" t="s">
        <v>639</v>
      </c>
    </row>
    <row r="258" spans="1:15" hidden="1" x14ac:dyDescent="0.25">
      <c r="A258">
        <v>301</v>
      </c>
      <c r="B258" t="s">
        <v>1906</v>
      </c>
      <c r="C258" t="s">
        <v>659</v>
      </c>
      <c r="D258" t="s">
        <v>2232</v>
      </c>
      <c r="E258" t="s">
        <v>1893</v>
      </c>
      <c r="F258" t="s">
        <v>658</v>
      </c>
      <c r="G258" t="s">
        <v>1513</v>
      </c>
      <c r="H258" s="134" t="s">
        <v>1163</v>
      </c>
      <c r="I258" t="s">
        <v>1973</v>
      </c>
      <c r="J258" t="s">
        <v>683</v>
      </c>
      <c r="K258" t="s">
        <v>692</v>
      </c>
      <c r="L258" t="s">
        <v>685</v>
      </c>
      <c r="M258" t="s">
        <v>686</v>
      </c>
      <c r="N258" t="s">
        <v>687</v>
      </c>
      <c r="O258" t="s">
        <v>639</v>
      </c>
    </row>
    <row r="259" spans="1:15" hidden="1" x14ac:dyDescent="0.25">
      <c r="A259">
        <v>301</v>
      </c>
      <c r="B259" t="s">
        <v>1906</v>
      </c>
      <c r="C259" t="s">
        <v>659</v>
      </c>
      <c r="D259" t="s">
        <v>2233</v>
      </c>
      <c r="E259" t="s">
        <v>662</v>
      </c>
      <c r="F259" t="s">
        <v>658</v>
      </c>
      <c r="G259" t="s">
        <v>1513</v>
      </c>
      <c r="H259" s="134" t="s">
        <v>1163</v>
      </c>
      <c r="I259" t="s">
        <v>2234</v>
      </c>
      <c r="J259" t="s">
        <v>683</v>
      </c>
      <c r="K259" t="s">
        <v>695</v>
      </c>
      <c r="L259" t="s">
        <v>7</v>
      </c>
      <c r="N259" t="s">
        <v>687</v>
      </c>
      <c r="O259" t="s">
        <v>639</v>
      </c>
    </row>
    <row r="260" spans="1:15" hidden="1" x14ac:dyDescent="0.25">
      <c r="A260">
        <v>301</v>
      </c>
      <c r="B260" t="s">
        <v>1906</v>
      </c>
      <c r="C260" t="s">
        <v>659</v>
      </c>
      <c r="D260" t="s">
        <v>2235</v>
      </c>
      <c r="E260" t="s">
        <v>1178</v>
      </c>
      <c r="F260" t="s">
        <v>662</v>
      </c>
      <c r="G260" t="s">
        <v>1513</v>
      </c>
      <c r="H260" s="134" t="s">
        <v>1163</v>
      </c>
      <c r="J260" t="s">
        <v>956</v>
      </c>
      <c r="K260" t="s">
        <v>684</v>
      </c>
      <c r="M260" t="s">
        <v>686</v>
      </c>
      <c r="N260" t="s">
        <v>687</v>
      </c>
      <c r="O260" t="s">
        <v>639</v>
      </c>
    </row>
    <row r="261" spans="1:15" hidden="1" x14ac:dyDescent="0.25">
      <c r="A261">
        <v>301</v>
      </c>
      <c r="B261" t="s">
        <v>1906</v>
      </c>
      <c r="C261" t="s">
        <v>659</v>
      </c>
      <c r="D261" t="s">
        <v>2236</v>
      </c>
      <c r="E261" t="s">
        <v>1178</v>
      </c>
      <c r="F261" t="s">
        <v>662</v>
      </c>
      <c r="G261" t="s">
        <v>1513</v>
      </c>
      <c r="H261" s="134" t="s">
        <v>1163</v>
      </c>
      <c r="J261" t="s">
        <v>683</v>
      </c>
      <c r="K261" t="s">
        <v>684</v>
      </c>
      <c r="M261" t="s">
        <v>686</v>
      </c>
      <c r="N261" t="s">
        <v>687</v>
      </c>
      <c r="O261" t="s">
        <v>639</v>
      </c>
    </row>
    <row r="262" spans="1:15" hidden="1" x14ac:dyDescent="0.25">
      <c r="A262">
        <v>302</v>
      </c>
      <c r="B262" t="s">
        <v>1910</v>
      </c>
      <c r="C262" t="s">
        <v>659</v>
      </c>
      <c r="D262" t="s">
        <v>2237</v>
      </c>
      <c r="E262" t="s">
        <v>699</v>
      </c>
      <c r="F262" t="s">
        <v>699</v>
      </c>
      <c r="G262" t="s">
        <v>699</v>
      </c>
      <c r="H262" s="134" t="s">
        <v>1912</v>
      </c>
      <c r="I262" t="s">
        <v>2238</v>
      </c>
      <c r="J262" t="s">
        <v>858</v>
      </c>
      <c r="K262" t="s">
        <v>684</v>
      </c>
      <c r="N262" t="s">
        <v>639</v>
      </c>
      <c r="O262" t="s">
        <v>639</v>
      </c>
    </row>
    <row r="263" spans="1:15" hidden="1" x14ac:dyDescent="0.25">
      <c r="A263">
        <v>302</v>
      </c>
      <c r="B263" t="s">
        <v>1910</v>
      </c>
      <c r="C263" t="s">
        <v>659</v>
      </c>
      <c r="D263" t="s">
        <v>2237</v>
      </c>
      <c r="E263" t="s">
        <v>699</v>
      </c>
      <c r="F263" t="s">
        <v>699</v>
      </c>
      <c r="G263" t="s">
        <v>699</v>
      </c>
      <c r="H263" s="134" t="s">
        <v>1912</v>
      </c>
      <c r="I263" t="s">
        <v>2238</v>
      </c>
      <c r="J263" t="s">
        <v>858</v>
      </c>
      <c r="K263" t="s">
        <v>684</v>
      </c>
      <c r="N263" t="s">
        <v>639</v>
      </c>
      <c r="O263" t="s">
        <v>639</v>
      </c>
    </row>
    <row r="264" spans="1:15" hidden="1" x14ac:dyDescent="0.25">
      <c r="A264">
        <v>302</v>
      </c>
      <c r="B264" t="s">
        <v>1910</v>
      </c>
      <c r="C264" t="s">
        <v>659</v>
      </c>
      <c r="D264" t="s">
        <v>2239</v>
      </c>
      <c r="E264" t="s">
        <v>698</v>
      </c>
      <c r="F264" t="s">
        <v>699</v>
      </c>
      <c r="G264" t="s">
        <v>699</v>
      </c>
      <c r="H264" s="134" t="s">
        <v>1912</v>
      </c>
      <c r="I264" t="s">
        <v>2240</v>
      </c>
      <c r="J264" t="s">
        <v>683</v>
      </c>
      <c r="K264" t="s">
        <v>718</v>
      </c>
      <c r="L264" t="s">
        <v>685</v>
      </c>
      <c r="M264" t="s">
        <v>686</v>
      </c>
      <c r="N264" t="s">
        <v>687</v>
      </c>
      <c r="O264" t="s">
        <v>639</v>
      </c>
    </row>
    <row r="265" spans="1:15" hidden="1" x14ac:dyDescent="0.25">
      <c r="A265">
        <v>308</v>
      </c>
      <c r="B265" t="s">
        <v>1116</v>
      </c>
      <c r="C265" t="s">
        <v>659</v>
      </c>
      <c r="D265" t="s">
        <v>1117</v>
      </c>
      <c r="E265" t="s">
        <v>1118</v>
      </c>
      <c r="F265" t="s">
        <v>658</v>
      </c>
      <c r="G265" t="s">
        <v>1119</v>
      </c>
      <c r="H265" s="134" t="s">
        <v>1120</v>
      </c>
      <c r="I265" t="s">
        <v>1121</v>
      </c>
      <c r="J265" t="s">
        <v>858</v>
      </c>
      <c r="N265" t="s">
        <v>639</v>
      </c>
      <c r="O265" t="s">
        <v>639</v>
      </c>
    </row>
    <row r="266" spans="1:15" hidden="1" x14ac:dyDescent="0.25">
      <c r="A266">
        <v>308</v>
      </c>
      <c r="B266" t="s">
        <v>1116</v>
      </c>
      <c r="C266" t="s">
        <v>659</v>
      </c>
      <c r="D266" t="s">
        <v>1122</v>
      </c>
      <c r="E266" t="s">
        <v>1119</v>
      </c>
      <c r="F266" t="s">
        <v>681</v>
      </c>
      <c r="G266" t="s">
        <v>1119</v>
      </c>
      <c r="H266" s="134" t="s">
        <v>1120</v>
      </c>
      <c r="I266" t="s">
        <v>1123</v>
      </c>
      <c r="J266" t="s">
        <v>683</v>
      </c>
      <c r="K266" t="s">
        <v>718</v>
      </c>
      <c r="L266" t="s">
        <v>685</v>
      </c>
      <c r="N266" t="s">
        <v>687</v>
      </c>
      <c r="O266" t="s">
        <v>639</v>
      </c>
    </row>
    <row r="267" spans="1:15" hidden="1" x14ac:dyDescent="0.25">
      <c r="A267">
        <v>311</v>
      </c>
      <c r="B267" t="s">
        <v>1923</v>
      </c>
      <c r="C267" t="s">
        <v>659</v>
      </c>
      <c r="D267" t="s">
        <v>2241</v>
      </c>
      <c r="E267" t="s">
        <v>1924</v>
      </c>
      <c r="F267" t="s">
        <v>681</v>
      </c>
      <c r="G267" t="s">
        <v>1926</v>
      </c>
      <c r="H267" s="134" t="s">
        <v>1927</v>
      </c>
      <c r="I267" t="s">
        <v>2242</v>
      </c>
      <c r="J267" t="s">
        <v>683</v>
      </c>
      <c r="K267" t="s">
        <v>684</v>
      </c>
      <c r="L267" t="s">
        <v>685</v>
      </c>
      <c r="M267" t="s">
        <v>686</v>
      </c>
      <c r="N267" t="s">
        <v>687</v>
      </c>
      <c r="O267" t="s">
        <v>639</v>
      </c>
    </row>
    <row r="268" spans="1:15" hidden="1" x14ac:dyDescent="0.25">
      <c r="A268">
        <v>311</v>
      </c>
      <c r="B268" t="s">
        <v>1923</v>
      </c>
      <c r="C268" t="s">
        <v>659</v>
      </c>
      <c r="D268" t="s">
        <v>2243</v>
      </c>
      <c r="E268" t="s">
        <v>2244</v>
      </c>
      <c r="F268" t="s">
        <v>658</v>
      </c>
      <c r="G268" t="s">
        <v>1926</v>
      </c>
      <c r="H268" s="134" t="s">
        <v>1927</v>
      </c>
      <c r="I268" t="s">
        <v>2245</v>
      </c>
      <c r="J268" t="s">
        <v>858</v>
      </c>
      <c r="K268" t="s">
        <v>684</v>
      </c>
      <c r="N268" t="s">
        <v>639</v>
      </c>
      <c r="O268" t="s">
        <v>639</v>
      </c>
    </row>
    <row r="269" spans="1:15" hidden="1" x14ac:dyDescent="0.25">
      <c r="A269">
        <v>311</v>
      </c>
      <c r="B269" t="s">
        <v>1923</v>
      </c>
      <c r="C269" t="s">
        <v>659</v>
      </c>
      <c r="D269" t="s">
        <v>2246</v>
      </c>
      <c r="E269" t="s">
        <v>681</v>
      </c>
      <c r="F269" t="s">
        <v>800</v>
      </c>
      <c r="G269" t="s">
        <v>1926</v>
      </c>
      <c r="H269" s="134" t="s">
        <v>1927</v>
      </c>
      <c r="J269" t="s">
        <v>683</v>
      </c>
      <c r="K269" t="s">
        <v>718</v>
      </c>
      <c r="L269" t="s">
        <v>685</v>
      </c>
      <c r="M269" t="s">
        <v>686</v>
      </c>
      <c r="N269" t="s">
        <v>687</v>
      </c>
      <c r="O269" t="s">
        <v>639</v>
      </c>
    </row>
    <row r="270" spans="1:15" hidden="1" x14ac:dyDescent="0.25">
      <c r="A270">
        <v>311</v>
      </c>
      <c r="B270" t="s">
        <v>1923</v>
      </c>
      <c r="C270" t="s">
        <v>659</v>
      </c>
      <c r="D270" t="s">
        <v>2247</v>
      </c>
      <c r="E270" t="s">
        <v>1924</v>
      </c>
      <c r="F270" t="s">
        <v>681</v>
      </c>
      <c r="G270" t="s">
        <v>1926</v>
      </c>
      <c r="H270" s="134" t="s">
        <v>1927</v>
      </c>
      <c r="I270" t="s">
        <v>2248</v>
      </c>
      <c r="J270" t="s">
        <v>683</v>
      </c>
      <c r="K270" t="s">
        <v>718</v>
      </c>
      <c r="L270" t="s">
        <v>685</v>
      </c>
      <c r="N270" t="s">
        <v>687</v>
      </c>
      <c r="O270" t="s">
        <v>639</v>
      </c>
    </row>
    <row r="271" spans="1:15" hidden="1" x14ac:dyDescent="0.25">
      <c r="A271">
        <v>311</v>
      </c>
      <c r="B271" t="s">
        <v>1923</v>
      </c>
      <c r="C271" t="s">
        <v>659</v>
      </c>
      <c r="D271" t="s">
        <v>2249</v>
      </c>
      <c r="E271" t="s">
        <v>1924</v>
      </c>
      <c r="F271" t="s">
        <v>681</v>
      </c>
      <c r="G271" t="s">
        <v>1926</v>
      </c>
      <c r="H271" s="134" t="s">
        <v>1927</v>
      </c>
      <c r="I271" t="s">
        <v>2250</v>
      </c>
      <c r="J271" t="s">
        <v>683</v>
      </c>
      <c r="K271" t="s">
        <v>718</v>
      </c>
      <c r="L271" t="s">
        <v>685</v>
      </c>
      <c r="M271" t="s">
        <v>686</v>
      </c>
      <c r="N271" t="s">
        <v>687</v>
      </c>
      <c r="O271" t="s">
        <v>639</v>
      </c>
    </row>
    <row r="272" spans="1:15" hidden="1" x14ac:dyDescent="0.25">
      <c r="A272">
        <v>311</v>
      </c>
      <c r="B272" t="s">
        <v>1923</v>
      </c>
      <c r="C272" t="s">
        <v>659</v>
      </c>
      <c r="D272" t="s">
        <v>2251</v>
      </c>
      <c r="E272" t="s">
        <v>1924</v>
      </c>
      <c r="F272" t="s">
        <v>681</v>
      </c>
      <c r="G272" t="s">
        <v>1926</v>
      </c>
      <c r="H272" s="134" t="s">
        <v>1927</v>
      </c>
      <c r="I272" t="s">
        <v>2252</v>
      </c>
      <c r="J272" t="s">
        <v>683</v>
      </c>
      <c r="K272" t="s">
        <v>718</v>
      </c>
      <c r="L272" t="s">
        <v>685</v>
      </c>
      <c r="N272" t="s">
        <v>687</v>
      </c>
      <c r="O272" t="s">
        <v>639</v>
      </c>
    </row>
    <row r="273" spans="1:15" hidden="1" x14ac:dyDescent="0.25">
      <c r="A273">
        <v>314</v>
      </c>
      <c r="B273" t="s">
        <v>1124</v>
      </c>
      <c r="C273" t="s">
        <v>659</v>
      </c>
      <c r="D273" t="s">
        <v>1126</v>
      </c>
      <c r="E273" t="s">
        <v>1127</v>
      </c>
      <c r="F273" t="s">
        <v>662</v>
      </c>
      <c r="G273" t="s">
        <v>662</v>
      </c>
      <c r="H273" s="134" t="s">
        <v>1051</v>
      </c>
      <c r="I273" t="s">
        <v>1121</v>
      </c>
      <c r="J273" t="s">
        <v>683</v>
      </c>
      <c r="L273" t="s">
        <v>685</v>
      </c>
      <c r="M273" t="s">
        <v>686</v>
      </c>
      <c r="N273" t="s">
        <v>687</v>
      </c>
      <c r="O273" t="s">
        <v>639</v>
      </c>
    </row>
    <row r="274" spans="1:15" hidden="1" x14ac:dyDescent="0.25">
      <c r="A274">
        <v>314</v>
      </c>
      <c r="B274" t="s">
        <v>1124</v>
      </c>
      <c r="C274" t="s">
        <v>659</v>
      </c>
      <c r="D274" t="s">
        <v>1125</v>
      </c>
      <c r="E274" t="s">
        <v>662</v>
      </c>
      <c r="F274" t="s">
        <v>1037</v>
      </c>
      <c r="G274" t="s">
        <v>662</v>
      </c>
      <c r="H274" s="134" t="s">
        <v>1051</v>
      </c>
      <c r="I274" t="s">
        <v>1121</v>
      </c>
      <c r="J274" t="s">
        <v>858</v>
      </c>
      <c r="N274" t="s">
        <v>639</v>
      </c>
      <c r="O274" t="s">
        <v>639</v>
      </c>
    </row>
    <row r="275" spans="1:15" hidden="1" x14ac:dyDescent="0.25">
      <c r="A275">
        <v>314</v>
      </c>
      <c r="B275" t="s">
        <v>1124</v>
      </c>
      <c r="C275" t="s">
        <v>659</v>
      </c>
      <c r="D275" t="s">
        <v>1128</v>
      </c>
      <c r="E275" t="s">
        <v>746</v>
      </c>
      <c r="F275" t="s">
        <v>662</v>
      </c>
      <c r="G275" t="s">
        <v>662</v>
      </c>
      <c r="H275" s="134" t="s">
        <v>1051</v>
      </c>
      <c r="I275" t="s">
        <v>1121</v>
      </c>
      <c r="J275" t="s">
        <v>683</v>
      </c>
      <c r="K275" t="s">
        <v>695</v>
      </c>
      <c r="L275" t="s">
        <v>685</v>
      </c>
      <c r="M275" t="s">
        <v>686</v>
      </c>
      <c r="N275" t="s">
        <v>687</v>
      </c>
      <c r="O275" t="s">
        <v>639</v>
      </c>
    </row>
    <row r="276" spans="1:15" hidden="1" x14ac:dyDescent="0.25">
      <c r="A276">
        <v>316</v>
      </c>
      <c r="B276" t="s">
        <v>1129</v>
      </c>
      <c r="C276" t="s">
        <v>659</v>
      </c>
      <c r="D276" t="s">
        <v>1132</v>
      </c>
      <c r="E276" t="s">
        <v>1119</v>
      </c>
      <c r="F276" t="s">
        <v>662</v>
      </c>
      <c r="G276" t="s">
        <v>658</v>
      </c>
      <c r="H276" s="134" t="s">
        <v>1051</v>
      </c>
      <c r="I276" t="s">
        <v>1133</v>
      </c>
      <c r="J276" t="s">
        <v>683</v>
      </c>
      <c r="L276" t="s">
        <v>685</v>
      </c>
      <c r="M276" t="s">
        <v>686</v>
      </c>
      <c r="N276" t="s">
        <v>687</v>
      </c>
      <c r="O276" t="s">
        <v>639</v>
      </c>
    </row>
    <row r="277" spans="1:15" hidden="1" x14ac:dyDescent="0.25">
      <c r="A277">
        <v>316</v>
      </c>
      <c r="B277" t="s">
        <v>1129</v>
      </c>
      <c r="C277" t="s">
        <v>659</v>
      </c>
      <c r="D277" t="s">
        <v>1130</v>
      </c>
      <c r="E277" t="s">
        <v>662</v>
      </c>
      <c r="F277" t="s">
        <v>658</v>
      </c>
      <c r="G277" t="s">
        <v>658</v>
      </c>
      <c r="H277" s="134" t="s">
        <v>1051</v>
      </c>
      <c r="I277" t="s">
        <v>1131</v>
      </c>
      <c r="J277" t="s">
        <v>858</v>
      </c>
      <c r="N277" t="s">
        <v>639</v>
      </c>
      <c r="O277" t="s">
        <v>639</v>
      </c>
    </row>
    <row r="278" spans="1:15" hidden="1" x14ac:dyDescent="0.25">
      <c r="A278">
        <v>316</v>
      </c>
      <c r="B278" t="s">
        <v>1129</v>
      </c>
      <c r="C278" t="s">
        <v>659</v>
      </c>
      <c r="D278" t="s">
        <v>1134</v>
      </c>
      <c r="E278" t="s">
        <v>662</v>
      </c>
      <c r="F278" t="s">
        <v>658</v>
      </c>
      <c r="G278" t="s">
        <v>658</v>
      </c>
      <c r="H278" s="134" t="s">
        <v>1051</v>
      </c>
      <c r="I278" t="s">
        <v>1135</v>
      </c>
      <c r="J278" t="s">
        <v>683</v>
      </c>
      <c r="K278" t="s">
        <v>695</v>
      </c>
      <c r="L278" t="s">
        <v>7</v>
      </c>
      <c r="N278" t="s">
        <v>687</v>
      </c>
      <c r="O278" t="s">
        <v>639</v>
      </c>
    </row>
    <row r="279" spans="1:15" hidden="1" x14ac:dyDescent="0.25">
      <c r="A279">
        <v>316</v>
      </c>
      <c r="B279" t="s">
        <v>1129</v>
      </c>
      <c r="C279" t="s">
        <v>659</v>
      </c>
      <c r="D279" t="s">
        <v>1136</v>
      </c>
      <c r="E279" t="s">
        <v>1119</v>
      </c>
      <c r="F279" t="s">
        <v>662</v>
      </c>
      <c r="G279" t="s">
        <v>658</v>
      </c>
      <c r="H279" s="134" t="s">
        <v>1051</v>
      </c>
      <c r="I279" t="s">
        <v>1133</v>
      </c>
      <c r="J279" t="s">
        <v>683</v>
      </c>
      <c r="K279" t="s">
        <v>684</v>
      </c>
      <c r="L279" t="s">
        <v>685</v>
      </c>
      <c r="M279" t="s">
        <v>686</v>
      </c>
      <c r="N279" t="s">
        <v>687</v>
      </c>
      <c r="O279" t="s">
        <v>639</v>
      </c>
    </row>
    <row r="280" spans="1:15" hidden="1" x14ac:dyDescent="0.25">
      <c r="A280">
        <v>319</v>
      </c>
      <c r="B280" t="s">
        <v>1137</v>
      </c>
      <c r="C280" t="s">
        <v>659</v>
      </c>
      <c r="D280" t="s">
        <v>1138</v>
      </c>
      <c r="E280" t="s">
        <v>698</v>
      </c>
      <c r="F280" t="s">
        <v>1069</v>
      </c>
      <c r="G280" t="s">
        <v>1069</v>
      </c>
      <c r="H280" s="134" t="s">
        <v>1070</v>
      </c>
      <c r="I280" t="s">
        <v>1139</v>
      </c>
      <c r="J280" t="s">
        <v>683</v>
      </c>
      <c r="K280" t="s">
        <v>695</v>
      </c>
      <c r="L280" t="s">
        <v>685</v>
      </c>
      <c r="M280" t="s">
        <v>686</v>
      </c>
      <c r="N280" t="s">
        <v>687</v>
      </c>
      <c r="O280" t="s">
        <v>639</v>
      </c>
    </row>
    <row r="281" spans="1:15" hidden="1" x14ac:dyDescent="0.25">
      <c r="A281">
        <v>320</v>
      </c>
      <c r="B281" t="s">
        <v>1140</v>
      </c>
      <c r="C281" t="s">
        <v>659</v>
      </c>
      <c r="D281" t="s">
        <v>1141</v>
      </c>
      <c r="E281" t="s">
        <v>746</v>
      </c>
      <c r="F281" t="s">
        <v>662</v>
      </c>
      <c r="G281" t="s">
        <v>662</v>
      </c>
      <c r="H281" s="134" t="s">
        <v>701</v>
      </c>
      <c r="I281" t="s">
        <v>2911</v>
      </c>
      <c r="J281" t="s">
        <v>683</v>
      </c>
      <c r="K281" t="s">
        <v>695</v>
      </c>
      <c r="L281" t="s">
        <v>685</v>
      </c>
      <c r="M281" t="s">
        <v>686</v>
      </c>
      <c r="N281" t="s">
        <v>687</v>
      </c>
      <c r="O281" t="s">
        <v>639</v>
      </c>
    </row>
    <row r="282" spans="1:15" hidden="1" x14ac:dyDescent="0.25">
      <c r="A282">
        <v>320</v>
      </c>
      <c r="B282" t="s">
        <v>1140</v>
      </c>
      <c r="C282" t="s">
        <v>659</v>
      </c>
      <c r="D282" t="s">
        <v>1142</v>
      </c>
      <c r="E282" t="s">
        <v>746</v>
      </c>
      <c r="F282" t="s">
        <v>658</v>
      </c>
      <c r="G282" t="s">
        <v>662</v>
      </c>
      <c r="H282" s="134" t="s">
        <v>701</v>
      </c>
      <c r="J282" t="s">
        <v>683</v>
      </c>
      <c r="K282" t="s">
        <v>684</v>
      </c>
      <c r="L282" t="s">
        <v>685</v>
      </c>
      <c r="M282" t="s">
        <v>686</v>
      </c>
      <c r="N282" t="s">
        <v>687</v>
      </c>
      <c r="O282" t="s">
        <v>639</v>
      </c>
    </row>
    <row r="283" spans="1:15" hidden="1" x14ac:dyDescent="0.25">
      <c r="A283">
        <v>320</v>
      </c>
      <c r="B283" t="s">
        <v>1140</v>
      </c>
      <c r="C283" t="s">
        <v>659</v>
      </c>
      <c r="D283" t="s">
        <v>1143</v>
      </c>
      <c r="E283" t="s">
        <v>746</v>
      </c>
      <c r="F283" t="s">
        <v>658</v>
      </c>
      <c r="G283" t="s">
        <v>662</v>
      </c>
      <c r="H283" s="134" t="s">
        <v>701</v>
      </c>
      <c r="I283" t="s">
        <v>1144</v>
      </c>
      <c r="J283" t="s">
        <v>683</v>
      </c>
      <c r="K283" t="s">
        <v>684</v>
      </c>
      <c r="L283" t="s">
        <v>685</v>
      </c>
      <c r="M283" t="s">
        <v>686</v>
      </c>
      <c r="N283" t="s">
        <v>687</v>
      </c>
      <c r="O283" t="s">
        <v>639</v>
      </c>
    </row>
    <row r="284" spans="1:15" hidden="1" x14ac:dyDescent="0.25">
      <c r="A284">
        <v>323</v>
      </c>
      <c r="B284" t="s">
        <v>1145</v>
      </c>
      <c r="C284" t="s">
        <v>659</v>
      </c>
      <c r="D284" t="s">
        <v>1150</v>
      </c>
      <c r="E284" t="s">
        <v>658</v>
      </c>
      <c r="F284" t="s">
        <v>1151</v>
      </c>
      <c r="G284" t="s">
        <v>774</v>
      </c>
      <c r="H284" s="134" t="s">
        <v>1147</v>
      </c>
      <c r="J284" t="s">
        <v>858</v>
      </c>
      <c r="N284" t="s">
        <v>687</v>
      </c>
      <c r="O284" t="s">
        <v>639</v>
      </c>
    </row>
    <row r="285" spans="1:15" hidden="1" x14ac:dyDescent="0.25">
      <c r="A285">
        <v>323</v>
      </c>
      <c r="B285" t="s">
        <v>1145</v>
      </c>
      <c r="C285" t="s">
        <v>659</v>
      </c>
      <c r="D285" t="s">
        <v>1146</v>
      </c>
      <c r="E285" t="s">
        <v>846</v>
      </c>
      <c r="F285" t="s">
        <v>662</v>
      </c>
      <c r="G285" t="s">
        <v>774</v>
      </c>
      <c r="H285" s="134" t="s">
        <v>1147</v>
      </c>
      <c r="J285" t="s">
        <v>956</v>
      </c>
      <c r="K285" t="s">
        <v>695</v>
      </c>
      <c r="N285" t="s">
        <v>639</v>
      </c>
      <c r="O285" t="s">
        <v>639</v>
      </c>
    </row>
    <row r="286" spans="1:15" hidden="1" x14ac:dyDescent="0.25">
      <c r="A286">
        <v>323</v>
      </c>
      <c r="B286" t="s">
        <v>1145</v>
      </c>
      <c r="C286" t="s">
        <v>659</v>
      </c>
      <c r="D286" t="s">
        <v>1148</v>
      </c>
      <c r="E286" t="s">
        <v>1100</v>
      </c>
      <c r="F286" t="s">
        <v>662</v>
      </c>
      <c r="G286" t="s">
        <v>774</v>
      </c>
      <c r="H286" s="134" t="s">
        <v>1147</v>
      </c>
      <c r="I286" t="s">
        <v>1149</v>
      </c>
      <c r="J286" t="s">
        <v>956</v>
      </c>
      <c r="K286" t="s">
        <v>695</v>
      </c>
      <c r="N286" t="s">
        <v>639</v>
      </c>
      <c r="O286" t="s">
        <v>639</v>
      </c>
    </row>
    <row r="287" spans="1:15" ht="30" x14ac:dyDescent="0.25">
      <c r="A287">
        <v>324</v>
      </c>
      <c r="B287" t="s">
        <v>1960</v>
      </c>
      <c r="C287" t="s">
        <v>659</v>
      </c>
      <c r="D287" s="273" t="s">
        <v>2253</v>
      </c>
      <c r="E287" t="s">
        <v>1981</v>
      </c>
      <c r="F287" t="s">
        <v>1963</v>
      </c>
      <c r="G287" t="s">
        <v>1961</v>
      </c>
      <c r="H287" s="134" t="s">
        <v>800</v>
      </c>
      <c r="I287" t="s">
        <v>3352</v>
      </c>
      <c r="J287" t="s">
        <v>956</v>
      </c>
      <c r="N287" t="s">
        <v>687</v>
      </c>
      <c r="O287" t="s">
        <v>639</v>
      </c>
    </row>
    <row r="288" spans="1:15" hidden="1" x14ac:dyDescent="0.25">
      <c r="A288">
        <v>326</v>
      </c>
      <c r="B288" t="s">
        <v>1152</v>
      </c>
      <c r="C288" t="s">
        <v>659</v>
      </c>
      <c r="D288" t="s">
        <v>1154</v>
      </c>
      <c r="E288" t="s">
        <v>1155</v>
      </c>
      <c r="F288" t="s">
        <v>1037</v>
      </c>
      <c r="G288" t="s">
        <v>679</v>
      </c>
      <c r="H288" s="134" t="s">
        <v>1156</v>
      </c>
      <c r="I288" t="s">
        <v>1157</v>
      </c>
      <c r="J288" t="s">
        <v>858</v>
      </c>
      <c r="N288" t="s">
        <v>639</v>
      </c>
      <c r="O288" t="s">
        <v>639</v>
      </c>
    </row>
    <row r="289" spans="1:15" hidden="1" x14ac:dyDescent="0.25">
      <c r="A289">
        <v>326</v>
      </c>
      <c r="B289" t="s">
        <v>1152</v>
      </c>
      <c r="C289" t="s">
        <v>659</v>
      </c>
      <c r="D289" t="s">
        <v>1158</v>
      </c>
      <c r="E289" t="s">
        <v>1236</v>
      </c>
      <c r="F289" t="s">
        <v>1037</v>
      </c>
      <c r="G289" t="s">
        <v>679</v>
      </c>
      <c r="H289" s="134" t="s">
        <v>1156</v>
      </c>
      <c r="I289" t="s">
        <v>2912</v>
      </c>
      <c r="J289" t="s">
        <v>858</v>
      </c>
      <c r="K289" t="s">
        <v>695</v>
      </c>
      <c r="N289" t="s">
        <v>639</v>
      </c>
      <c r="O289" t="s">
        <v>639</v>
      </c>
    </row>
    <row r="290" spans="1:15" hidden="1" x14ac:dyDescent="0.25">
      <c r="A290">
        <v>327</v>
      </c>
      <c r="B290" t="s">
        <v>1160</v>
      </c>
      <c r="C290" t="s">
        <v>1153</v>
      </c>
      <c r="D290" t="s">
        <v>1161</v>
      </c>
      <c r="E290" t="s">
        <v>1162</v>
      </c>
      <c r="F290" t="s">
        <v>717</v>
      </c>
      <c r="G290" t="s">
        <v>717</v>
      </c>
      <c r="H290" s="134" t="s">
        <v>1163</v>
      </c>
      <c r="I290" t="s">
        <v>2934</v>
      </c>
      <c r="J290" t="s">
        <v>956</v>
      </c>
      <c r="K290" t="s">
        <v>684</v>
      </c>
      <c r="M290" t="s">
        <v>686</v>
      </c>
      <c r="N290" t="s">
        <v>687</v>
      </c>
      <c r="O290" t="s">
        <v>639</v>
      </c>
    </row>
    <row r="291" spans="1:15" hidden="1" x14ac:dyDescent="0.25">
      <c r="A291">
        <v>328</v>
      </c>
      <c r="B291" t="s">
        <v>1972</v>
      </c>
      <c r="C291" t="s">
        <v>659</v>
      </c>
      <c r="D291" t="s">
        <v>2254</v>
      </c>
      <c r="E291" t="s">
        <v>2169</v>
      </c>
      <c r="F291" t="s">
        <v>662</v>
      </c>
      <c r="G291" t="s">
        <v>658</v>
      </c>
      <c r="H291" s="134" t="s">
        <v>1051</v>
      </c>
      <c r="I291" t="s">
        <v>2255</v>
      </c>
      <c r="J291" t="s">
        <v>858</v>
      </c>
      <c r="N291" t="s">
        <v>639</v>
      </c>
      <c r="O291" t="s">
        <v>639</v>
      </c>
    </row>
    <row r="292" spans="1:15" hidden="1" x14ac:dyDescent="0.25">
      <c r="A292">
        <v>328</v>
      </c>
      <c r="B292" t="s">
        <v>1972</v>
      </c>
      <c r="C292" t="s">
        <v>659</v>
      </c>
      <c r="D292" t="s">
        <v>2256</v>
      </c>
      <c r="E292" t="s">
        <v>2169</v>
      </c>
      <c r="F292" t="s">
        <v>662</v>
      </c>
      <c r="G292" t="s">
        <v>658</v>
      </c>
      <c r="H292" s="134" t="s">
        <v>1051</v>
      </c>
      <c r="I292" t="s">
        <v>2257</v>
      </c>
      <c r="J292" t="s">
        <v>858</v>
      </c>
      <c r="N292" t="s">
        <v>639</v>
      </c>
      <c r="O292" t="s">
        <v>639</v>
      </c>
    </row>
    <row r="293" spans="1:15" hidden="1" x14ac:dyDescent="0.25">
      <c r="A293">
        <v>328</v>
      </c>
      <c r="B293" t="s">
        <v>1972</v>
      </c>
      <c r="C293" t="s">
        <v>659</v>
      </c>
      <c r="D293" t="s">
        <v>2258</v>
      </c>
      <c r="E293" t="s">
        <v>1151</v>
      </c>
      <c r="F293" t="s">
        <v>658</v>
      </c>
      <c r="G293" t="s">
        <v>658</v>
      </c>
      <c r="H293" s="134" t="s">
        <v>1051</v>
      </c>
      <c r="I293" t="s">
        <v>2255</v>
      </c>
      <c r="J293" t="s">
        <v>683</v>
      </c>
      <c r="K293" t="s">
        <v>684</v>
      </c>
      <c r="L293" t="s">
        <v>6</v>
      </c>
      <c r="M293" t="s">
        <v>686</v>
      </c>
      <c r="N293" t="s">
        <v>687</v>
      </c>
      <c r="O293" t="s">
        <v>639</v>
      </c>
    </row>
    <row r="294" spans="1:15" ht="45" x14ac:dyDescent="0.25">
      <c r="A294">
        <v>329</v>
      </c>
      <c r="B294" t="s">
        <v>1164</v>
      </c>
      <c r="C294" t="s">
        <v>659</v>
      </c>
      <c r="D294" s="273" t="s">
        <v>1166</v>
      </c>
      <c r="E294" t="s">
        <v>955</v>
      </c>
      <c r="F294" t="s">
        <v>781</v>
      </c>
      <c r="G294" t="s">
        <v>781</v>
      </c>
      <c r="H294" s="134" t="s">
        <v>1167</v>
      </c>
      <c r="I294" t="s">
        <v>1168</v>
      </c>
      <c r="J294" t="s">
        <v>858</v>
      </c>
      <c r="K294" t="s">
        <v>695</v>
      </c>
      <c r="N294" t="s">
        <v>639</v>
      </c>
      <c r="O294" t="s">
        <v>639</v>
      </c>
    </row>
    <row r="295" spans="1:15" hidden="1" x14ac:dyDescent="0.25">
      <c r="A295">
        <v>331</v>
      </c>
      <c r="B295" t="s">
        <v>1169</v>
      </c>
      <c r="C295" t="s">
        <v>659</v>
      </c>
      <c r="D295" t="s">
        <v>1171</v>
      </c>
      <c r="E295" t="s">
        <v>1162</v>
      </c>
      <c r="F295" t="s">
        <v>855</v>
      </c>
      <c r="G295" t="s">
        <v>680</v>
      </c>
      <c r="H295" s="134" t="s">
        <v>994</v>
      </c>
      <c r="J295" t="s">
        <v>956</v>
      </c>
      <c r="K295" t="s">
        <v>695</v>
      </c>
      <c r="N295" t="s">
        <v>639</v>
      </c>
      <c r="O295" t="s">
        <v>639</v>
      </c>
    </row>
    <row r="296" spans="1:15" hidden="1" x14ac:dyDescent="0.25">
      <c r="A296">
        <v>331</v>
      </c>
      <c r="B296" t="s">
        <v>1169</v>
      </c>
      <c r="C296" t="s">
        <v>659</v>
      </c>
      <c r="D296" t="s">
        <v>1172</v>
      </c>
      <c r="E296" t="s">
        <v>1162</v>
      </c>
      <c r="F296" t="s">
        <v>855</v>
      </c>
      <c r="G296" t="s">
        <v>680</v>
      </c>
      <c r="H296" s="134" t="s">
        <v>994</v>
      </c>
      <c r="J296" t="s">
        <v>683</v>
      </c>
      <c r="K296" t="s">
        <v>695</v>
      </c>
      <c r="L296" t="s">
        <v>1173</v>
      </c>
      <c r="N296" t="s">
        <v>639</v>
      </c>
      <c r="O296" t="s">
        <v>639</v>
      </c>
    </row>
    <row r="297" spans="1:15" hidden="1" x14ac:dyDescent="0.25">
      <c r="A297">
        <v>331</v>
      </c>
      <c r="B297" t="s">
        <v>1169</v>
      </c>
      <c r="C297" t="s">
        <v>659</v>
      </c>
      <c r="D297" t="s">
        <v>1170</v>
      </c>
      <c r="E297" t="s">
        <v>717</v>
      </c>
      <c r="F297" t="s">
        <v>1037</v>
      </c>
      <c r="G297" t="s">
        <v>680</v>
      </c>
      <c r="H297" s="134" t="s">
        <v>994</v>
      </c>
      <c r="J297" t="s">
        <v>683</v>
      </c>
      <c r="K297" t="s">
        <v>718</v>
      </c>
      <c r="L297" t="s">
        <v>6</v>
      </c>
      <c r="N297" t="s">
        <v>639</v>
      </c>
      <c r="O297" t="s">
        <v>639</v>
      </c>
    </row>
    <row r="298" spans="1:15" ht="30" x14ac:dyDescent="0.25">
      <c r="A298">
        <v>332</v>
      </c>
      <c r="B298" t="s">
        <v>1174</v>
      </c>
      <c r="C298" t="s">
        <v>1153</v>
      </c>
      <c r="D298" s="273" t="s">
        <v>1175</v>
      </c>
      <c r="F298" t="s">
        <v>1037</v>
      </c>
      <c r="G298" t="s">
        <v>781</v>
      </c>
      <c r="H298" s="134" t="s">
        <v>1051</v>
      </c>
      <c r="J298" t="s">
        <v>858</v>
      </c>
      <c r="N298" t="s">
        <v>639</v>
      </c>
      <c r="O298" t="s">
        <v>639</v>
      </c>
    </row>
    <row r="299" spans="1:15" hidden="1" x14ac:dyDescent="0.25">
      <c r="A299">
        <v>336</v>
      </c>
      <c r="B299" t="s">
        <v>1176</v>
      </c>
      <c r="C299" t="s">
        <v>659</v>
      </c>
      <c r="D299" t="s">
        <v>1177</v>
      </c>
      <c r="E299" t="s">
        <v>1178</v>
      </c>
      <c r="F299" t="s">
        <v>662</v>
      </c>
      <c r="G299" t="s">
        <v>662</v>
      </c>
      <c r="H299" s="134" t="s">
        <v>1179</v>
      </c>
      <c r="I299" t="s">
        <v>1180</v>
      </c>
      <c r="J299" t="s">
        <v>858</v>
      </c>
      <c r="N299" t="s">
        <v>639</v>
      </c>
      <c r="O299" t="s">
        <v>639</v>
      </c>
    </row>
    <row r="300" spans="1:15" hidden="1" x14ac:dyDescent="0.25">
      <c r="A300">
        <v>336</v>
      </c>
      <c r="B300" t="s">
        <v>1176</v>
      </c>
      <c r="C300" t="s">
        <v>659</v>
      </c>
      <c r="D300" t="s">
        <v>1181</v>
      </c>
      <c r="E300" t="s">
        <v>662</v>
      </c>
      <c r="F300" t="s">
        <v>863</v>
      </c>
      <c r="G300" t="s">
        <v>662</v>
      </c>
      <c r="H300" s="134" t="s">
        <v>1179</v>
      </c>
      <c r="I300" t="s">
        <v>1180</v>
      </c>
      <c r="J300" t="s">
        <v>858</v>
      </c>
      <c r="N300" t="s">
        <v>639</v>
      </c>
      <c r="O300" t="s">
        <v>639</v>
      </c>
    </row>
    <row r="301" spans="1:15" hidden="1" x14ac:dyDescent="0.25">
      <c r="A301">
        <v>345</v>
      </c>
      <c r="B301" t="s">
        <v>1182</v>
      </c>
      <c r="C301" t="s">
        <v>659</v>
      </c>
      <c r="D301" t="s">
        <v>1183</v>
      </c>
      <c r="E301" t="s">
        <v>1184</v>
      </c>
      <c r="F301" t="s">
        <v>699</v>
      </c>
      <c r="G301" t="s">
        <v>699</v>
      </c>
      <c r="H301" s="134" t="s">
        <v>1185</v>
      </c>
      <c r="I301" t="s">
        <v>1186</v>
      </c>
      <c r="J301" t="s">
        <v>683</v>
      </c>
      <c r="K301" t="s">
        <v>695</v>
      </c>
      <c r="L301" t="s">
        <v>685</v>
      </c>
      <c r="M301" t="s">
        <v>686</v>
      </c>
      <c r="N301" t="s">
        <v>687</v>
      </c>
      <c r="O301" t="s">
        <v>639</v>
      </c>
    </row>
    <row r="302" spans="1:15" hidden="1" x14ac:dyDescent="0.25">
      <c r="A302">
        <v>345</v>
      </c>
      <c r="B302" t="s">
        <v>1182</v>
      </c>
      <c r="C302" t="s">
        <v>659</v>
      </c>
      <c r="D302" t="s">
        <v>1187</v>
      </c>
      <c r="E302" t="s">
        <v>1184</v>
      </c>
      <c r="F302" t="s">
        <v>699</v>
      </c>
      <c r="G302" t="s">
        <v>699</v>
      </c>
      <c r="H302" s="134" t="s">
        <v>1185</v>
      </c>
      <c r="I302" t="s">
        <v>1186</v>
      </c>
      <c r="J302" t="s">
        <v>683</v>
      </c>
      <c r="K302" t="s">
        <v>695</v>
      </c>
      <c r="L302" t="s">
        <v>685</v>
      </c>
      <c r="M302" t="s">
        <v>686</v>
      </c>
      <c r="N302" t="s">
        <v>687</v>
      </c>
      <c r="O302" t="s">
        <v>639</v>
      </c>
    </row>
    <row r="303" spans="1:15" hidden="1" x14ac:dyDescent="0.25">
      <c r="A303">
        <v>346</v>
      </c>
      <c r="B303" t="s">
        <v>1188</v>
      </c>
      <c r="C303" t="s">
        <v>659</v>
      </c>
      <c r="D303" t="s">
        <v>1192</v>
      </c>
      <c r="E303" t="s">
        <v>3141</v>
      </c>
      <c r="F303" t="s">
        <v>1190</v>
      </c>
      <c r="G303" t="s">
        <v>1190</v>
      </c>
      <c r="H303" s="134" t="s">
        <v>800</v>
      </c>
      <c r="I303" t="s">
        <v>3239</v>
      </c>
      <c r="J303" t="s">
        <v>683</v>
      </c>
      <c r="L303" t="s">
        <v>912</v>
      </c>
      <c r="M303" t="s">
        <v>686</v>
      </c>
      <c r="N303" t="s">
        <v>687</v>
      </c>
      <c r="O303" t="s">
        <v>639</v>
      </c>
    </row>
    <row r="304" spans="1:15" hidden="1" x14ac:dyDescent="0.25">
      <c r="A304">
        <v>346</v>
      </c>
      <c r="B304" t="s">
        <v>1188</v>
      </c>
      <c r="C304" t="s">
        <v>659</v>
      </c>
      <c r="D304" t="s">
        <v>1189</v>
      </c>
      <c r="E304" t="s">
        <v>3141</v>
      </c>
      <c r="F304" t="s">
        <v>1190</v>
      </c>
      <c r="G304" t="s">
        <v>1190</v>
      </c>
      <c r="H304" s="134" t="s">
        <v>800</v>
      </c>
      <c r="I304" t="s">
        <v>3239</v>
      </c>
      <c r="J304" t="s">
        <v>683</v>
      </c>
      <c r="K304" t="s">
        <v>684</v>
      </c>
      <c r="L304" t="s">
        <v>1035</v>
      </c>
      <c r="M304" t="s">
        <v>686</v>
      </c>
      <c r="N304" t="s">
        <v>687</v>
      </c>
      <c r="O304" t="s">
        <v>639</v>
      </c>
    </row>
    <row r="305" spans="1:15" hidden="1" x14ac:dyDescent="0.25">
      <c r="A305">
        <v>346</v>
      </c>
      <c r="B305" t="s">
        <v>1188</v>
      </c>
      <c r="C305" t="s">
        <v>659</v>
      </c>
      <c r="D305" t="s">
        <v>1191</v>
      </c>
      <c r="E305" t="s">
        <v>3141</v>
      </c>
      <c r="F305" t="s">
        <v>1190</v>
      </c>
      <c r="G305" t="s">
        <v>1190</v>
      </c>
      <c r="H305" s="134" t="s">
        <v>800</v>
      </c>
      <c r="I305" t="s">
        <v>3239</v>
      </c>
      <c r="J305" t="s">
        <v>683</v>
      </c>
      <c r="K305" t="s">
        <v>684</v>
      </c>
      <c r="L305" t="s">
        <v>1035</v>
      </c>
      <c r="M305" t="s">
        <v>686</v>
      </c>
      <c r="N305" t="s">
        <v>687</v>
      </c>
      <c r="O305" t="s">
        <v>639</v>
      </c>
    </row>
    <row r="306" spans="1:15" hidden="1" x14ac:dyDescent="0.25">
      <c r="A306">
        <v>347</v>
      </c>
      <c r="B306" t="s">
        <v>1193</v>
      </c>
      <c r="C306" t="s">
        <v>659</v>
      </c>
      <c r="D306" t="s">
        <v>1196</v>
      </c>
      <c r="E306" t="s">
        <v>1043</v>
      </c>
      <c r="F306" t="s">
        <v>680</v>
      </c>
      <c r="G306" t="s">
        <v>680</v>
      </c>
      <c r="H306" s="134" t="s">
        <v>1195</v>
      </c>
      <c r="J306" t="s">
        <v>683</v>
      </c>
      <c r="K306" t="s">
        <v>695</v>
      </c>
      <c r="L306" t="s">
        <v>6</v>
      </c>
      <c r="M306" t="s">
        <v>686</v>
      </c>
      <c r="N306" t="s">
        <v>687</v>
      </c>
      <c r="O306" t="s">
        <v>639</v>
      </c>
    </row>
    <row r="307" spans="1:15" hidden="1" x14ac:dyDescent="0.25">
      <c r="A307">
        <v>347</v>
      </c>
      <c r="B307" t="s">
        <v>1193</v>
      </c>
      <c r="C307" t="s">
        <v>659</v>
      </c>
      <c r="D307" t="s">
        <v>1197</v>
      </c>
      <c r="E307" t="s">
        <v>679</v>
      </c>
      <c r="F307" t="s">
        <v>680</v>
      </c>
      <c r="G307" t="s">
        <v>680</v>
      </c>
      <c r="H307" s="134" t="s">
        <v>1195</v>
      </c>
      <c r="I307" t="s">
        <v>1019</v>
      </c>
      <c r="J307" t="s">
        <v>683</v>
      </c>
      <c r="K307" t="s">
        <v>695</v>
      </c>
      <c r="L307" t="s">
        <v>6</v>
      </c>
      <c r="M307" t="s">
        <v>686</v>
      </c>
      <c r="N307" t="s">
        <v>687</v>
      </c>
      <c r="O307" t="s">
        <v>639</v>
      </c>
    </row>
    <row r="308" spans="1:15" hidden="1" x14ac:dyDescent="0.25">
      <c r="A308">
        <v>347</v>
      </c>
      <c r="B308" t="s">
        <v>1193</v>
      </c>
      <c r="C308" t="s">
        <v>659</v>
      </c>
      <c r="D308" t="s">
        <v>1198</v>
      </c>
      <c r="E308" t="s">
        <v>680</v>
      </c>
      <c r="F308" t="s">
        <v>1162</v>
      </c>
      <c r="G308" t="s">
        <v>680</v>
      </c>
      <c r="H308" s="134" t="s">
        <v>1195</v>
      </c>
      <c r="J308" t="s">
        <v>683</v>
      </c>
      <c r="K308" t="s">
        <v>695</v>
      </c>
      <c r="L308" t="s">
        <v>6</v>
      </c>
      <c r="M308" t="s">
        <v>686</v>
      </c>
      <c r="N308" t="s">
        <v>687</v>
      </c>
      <c r="O308" t="s">
        <v>639</v>
      </c>
    </row>
    <row r="309" spans="1:15" hidden="1" x14ac:dyDescent="0.25">
      <c r="A309">
        <v>347</v>
      </c>
      <c r="B309" t="s">
        <v>1193</v>
      </c>
      <c r="C309" t="s">
        <v>659</v>
      </c>
      <c r="D309" t="s">
        <v>1199</v>
      </c>
      <c r="E309" t="s">
        <v>1043</v>
      </c>
      <c r="F309" t="s">
        <v>680</v>
      </c>
      <c r="G309" t="s">
        <v>680</v>
      </c>
      <c r="H309" s="134" t="s">
        <v>1195</v>
      </c>
      <c r="I309" t="s">
        <v>1019</v>
      </c>
      <c r="J309" t="s">
        <v>683</v>
      </c>
      <c r="K309" t="s">
        <v>684</v>
      </c>
      <c r="L309" t="s">
        <v>6</v>
      </c>
      <c r="M309" t="s">
        <v>686</v>
      </c>
      <c r="N309" t="s">
        <v>687</v>
      </c>
      <c r="O309" t="s">
        <v>639</v>
      </c>
    </row>
    <row r="310" spans="1:15" hidden="1" x14ac:dyDescent="0.25">
      <c r="A310">
        <v>347</v>
      </c>
      <c r="B310" t="s">
        <v>1193</v>
      </c>
      <c r="C310" t="s">
        <v>659</v>
      </c>
      <c r="D310" t="s">
        <v>1200</v>
      </c>
      <c r="E310" t="s">
        <v>1043</v>
      </c>
      <c r="F310" t="s">
        <v>680</v>
      </c>
      <c r="G310" t="s">
        <v>680</v>
      </c>
      <c r="H310" s="134" t="s">
        <v>1195</v>
      </c>
      <c r="I310" t="s">
        <v>1019</v>
      </c>
      <c r="J310" t="s">
        <v>683</v>
      </c>
      <c r="K310" t="s">
        <v>684</v>
      </c>
      <c r="L310" t="s">
        <v>6</v>
      </c>
      <c r="M310" t="s">
        <v>686</v>
      </c>
      <c r="N310" t="s">
        <v>687</v>
      </c>
      <c r="O310" t="s">
        <v>639</v>
      </c>
    </row>
    <row r="311" spans="1:15" hidden="1" x14ac:dyDescent="0.25">
      <c r="A311">
        <v>347</v>
      </c>
      <c r="B311" t="s">
        <v>1193</v>
      </c>
      <c r="C311" t="s">
        <v>659</v>
      </c>
      <c r="D311" t="s">
        <v>1201</v>
      </c>
      <c r="E311" t="s">
        <v>680</v>
      </c>
      <c r="F311" t="s">
        <v>679</v>
      </c>
      <c r="G311" t="s">
        <v>680</v>
      </c>
      <c r="H311" s="134" t="s">
        <v>1195</v>
      </c>
      <c r="I311" t="s">
        <v>1019</v>
      </c>
      <c r="J311" t="s">
        <v>683</v>
      </c>
      <c r="K311" t="s">
        <v>684</v>
      </c>
      <c r="L311" t="s">
        <v>6</v>
      </c>
      <c r="M311" t="s">
        <v>686</v>
      </c>
      <c r="N311" t="s">
        <v>687</v>
      </c>
      <c r="O311" t="s">
        <v>639</v>
      </c>
    </row>
    <row r="312" spans="1:15" hidden="1" x14ac:dyDescent="0.25">
      <c r="A312">
        <v>347</v>
      </c>
      <c r="B312" t="s">
        <v>1193</v>
      </c>
      <c r="C312" t="s">
        <v>659</v>
      </c>
      <c r="D312" t="s">
        <v>1194</v>
      </c>
      <c r="E312" t="s">
        <v>679</v>
      </c>
      <c r="F312" t="s">
        <v>1037</v>
      </c>
      <c r="G312" t="s">
        <v>680</v>
      </c>
      <c r="H312" s="134" t="s">
        <v>1195</v>
      </c>
      <c r="I312" t="s">
        <v>1019</v>
      </c>
      <c r="J312" t="s">
        <v>858</v>
      </c>
      <c r="K312" t="s">
        <v>684</v>
      </c>
      <c r="N312" t="s">
        <v>639</v>
      </c>
      <c r="O312" t="s">
        <v>639</v>
      </c>
    </row>
    <row r="313" spans="1:15" hidden="1" x14ac:dyDescent="0.25">
      <c r="A313">
        <v>352</v>
      </c>
      <c r="B313" t="s">
        <v>1202</v>
      </c>
      <c r="C313" t="s">
        <v>1153</v>
      </c>
      <c r="D313" t="s">
        <v>1203</v>
      </c>
      <c r="E313" t="s">
        <v>1043</v>
      </c>
      <c r="F313" t="s">
        <v>1037</v>
      </c>
      <c r="G313" t="s">
        <v>1043</v>
      </c>
      <c r="H313" s="134" t="s">
        <v>863</v>
      </c>
      <c r="I313" t="s">
        <v>1204</v>
      </c>
      <c r="J313" t="s">
        <v>956</v>
      </c>
      <c r="N313" t="s">
        <v>639</v>
      </c>
      <c r="O313" t="s">
        <v>639</v>
      </c>
    </row>
    <row r="314" spans="1:15" hidden="1" x14ac:dyDescent="0.25">
      <c r="A314">
        <v>352</v>
      </c>
      <c r="B314" t="s">
        <v>1202</v>
      </c>
      <c r="C314" t="s">
        <v>1153</v>
      </c>
      <c r="D314" t="s">
        <v>1205</v>
      </c>
      <c r="E314" t="s">
        <v>774</v>
      </c>
      <c r="F314" t="s">
        <v>1037</v>
      </c>
      <c r="G314" t="s">
        <v>1043</v>
      </c>
      <c r="H314" s="134" t="s">
        <v>863</v>
      </c>
      <c r="J314" t="s">
        <v>956</v>
      </c>
      <c r="K314" t="s">
        <v>695</v>
      </c>
      <c r="N314" t="s">
        <v>639</v>
      </c>
      <c r="O314" t="s">
        <v>639</v>
      </c>
    </row>
    <row r="315" spans="1:15" hidden="1" x14ac:dyDescent="0.25">
      <c r="A315">
        <v>352</v>
      </c>
      <c r="B315" t="s">
        <v>1202</v>
      </c>
      <c r="C315" t="s">
        <v>1153</v>
      </c>
      <c r="D315" t="s">
        <v>1206</v>
      </c>
      <c r="E315" t="s">
        <v>1043</v>
      </c>
      <c r="F315" t="s">
        <v>1037</v>
      </c>
      <c r="G315" t="s">
        <v>1043</v>
      </c>
      <c r="H315" s="134" t="s">
        <v>863</v>
      </c>
      <c r="I315" t="s">
        <v>1204</v>
      </c>
      <c r="J315" t="s">
        <v>956</v>
      </c>
      <c r="K315" t="s">
        <v>684</v>
      </c>
      <c r="N315" t="s">
        <v>639</v>
      </c>
      <c r="O315" t="s">
        <v>639</v>
      </c>
    </row>
    <row r="316" spans="1:15" hidden="1" x14ac:dyDescent="0.25">
      <c r="A316">
        <v>352</v>
      </c>
      <c r="B316" t="s">
        <v>1202</v>
      </c>
      <c r="C316" t="s">
        <v>1153</v>
      </c>
      <c r="D316" t="s">
        <v>1207</v>
      </c>
      <c r="E316" t="s">
        <v>1043</v>
      </c>
      <c r="F316" t="s">
        <v>1037</v>
      </c>
      <c r="G316" t="s">
        <v>1043</v>
      </c>
      <c r="H316" s="134" t="s">
        <v>863</v>
      </c>
      <c r="I316" t="s">
        <v>1204</v>
      </c>
      <c r="J316" t="s">
        <v>956</v>
      </c>
      <c r="K316" t="s">
        <v>684</v>
      </c>
      <c r="N316" t="s">
        <v>639</v>
      </c>
      <c r="O316" t="s">
        <v>639</v>
      </c>
    </row>
    <row r="317" spans="1:15" hidden="1" x14ac:dyDescent="0.25">
      <c r="A317">
        <v>352</v>
      </c>
      <c r="B317" t="s">
        <v>1202</v>
      </c>
      <c r="C317" t="s">
        <v>1153</v>
      </c>
      <c r="D317" t="s">
        <v>1208</v>
      </c>
      <c r="E317" t="s">
        <v>774</v>
      </c>
      <c r="F317" t="s">
        <v>1037</v>
      </c>
      <c r="G317" t="s">
        <v>1043</v>
      </c>
      <c r="H317" s="134" t="s">
        <v>863</v>
      </c>
      <c r="I317" t="s">
        <v>2690</v>
      </c>
      <c r="J317" t="s">
        <v>683</v>
      </c>
      <c r="K317" t="s">
        <v>684</v>
      </c>
      <c r="L317" t="s">
        <v>685</v>
      </c>
      <c r="N317" t="s">
        <v>639</v>
      </c>
      <c r="O317" t="s">
        <v>639</v>
      </c>
    </row>
    <row r="318" spans="1:15" hidden="1" x14ac:dyDescent="0.25">
      <c r="A318">
        <v>352</v>
      </c>
      <c r="B318" t="s">
        <v>1202</v>
      </c>
      <c r="C318" t="s">
        <v>1153</v>
      </c>
      <c r="D318" t="s">
        <v>1209</v>
      </c>
      <c r="E318" t="s">
        <v>774</v>
      </c>
      <c r="F318" t="s">
        <v>1037</v>
      </c>
      <c r="G318" t="s">
        <v>1043</v>
      </c>
      <c r="H318" s="134" t="s">
        <v>863</v>
      </c>
      <c r="J318" t="s">
        <v>956</v>
      </c>
      <c r="K318" t="s">
        <v>684</v>
      </c>
      <c r="N318" t="s">
        <v>639</v>
      </c>
      <c r="O318" t="s">
        <v>639</v>
      </c>
    </row>
    <row r="319" spans="1:15" hidden="1" x14ac:dyDescent="0.25">
      <c r="A319">
        <v>352</v>
      </c>
      <c r="B319" t="s">
        <v>1202</v>
      </c>
      <c r="C319" t="s">
        <v>1153</v>
      </c>
      <c r="D319" t="s">
        <v>1210</v>
      </c>
      <c r="E319" t="s">
        <v>774</v>
      </c>
      <c r="F319" t="s">
        <v>1037</v>
      </c>
      <c r="G319" t="s">
        <v>1043</v>
      </c>
      <c r="H319" s="134" t="s">
        <v>863</v>
      </c>
      <c r="I319" t="s">
        <v>2690</v>
      </c>
      <c r="J319" t="s">
        <v>683</v>
      </c>
      <c r="K319" t="s">
        <v>718</v>
      </c>
      <c r="L319" t="s">
        <v>685</v>
      </c>
      <c r="N319" t="s">
        <v>639</v>
      </c>
      <c r="O319" t="s">
        <v>639</v>
      </c>
    </row>
    <row r="320" spans="1:15" hidden="1" x14ac:dyDescent="0.25">
      <c r="A320">
        <v>354</v>
      </c>
      <c r="B320" t="s">
        <v>1211</v>
      </c>
      <c r="C320" t="s">
        <v>659</v>
      </c>
      <c r="D320" t="s">
        <v>1212</v>
      </c>
      <c r="E320" t="s">
        <v>1159</v>
      </c>
      <c r="F320" t="s">
        <v>1037</v>
      </c>
      <c r="G320" t="s">
        <v>679</v>
      </c>
      <c r="H320" s="134" t="s">
        <v>1195</v>
      </c>
      <c r="J320" t="s">
        <v>858</v>
      </c>
      <c r="K320" t="s">
        <v>695</v>
      </c>
      <c r="N320" t="s">
        <v>639</v>
      </c>
      <c r="O320" t="s">
        <v>639</v>
      </c>
    </row>
    <row r="321" spans="1:15" hidden="1" x14ac:dyDescent="0.25">
      <c r="A321">
        <v>354</v>
      </c>
      <c r="B321" t="s">
        <v>1211</v>
      </c>
      <c r="C321" t="s">
        <v>659</v>
      </c>
      <c r="D321" t="s">
        <v>1215</v>
      </c>
      <c r="E321" t="s">
        <v>679</v>
      </c>
      <c r="F321" t="s">
        <v>680</v>
      </c>
      <c r="G321" t="s">
        <v>679</v>
      </c>
      <c r="H321" s="134" t="s">
        <v>1195</v>
      </c>
      <c r="I321" t="s">
        <v>1216</v>
      </c>
      <c r="J321" t="s">
        <v>683</v>
      </c>
      <c r="K321" t="s">
        <v>684</v>
      </c>
      <c r="L321" t="s">
        <v>6</v>
      </c>
      <c r="M321" t="s">
        <v>686</v>
      </c>
      <c r="N321" t="s">
        <v>687</v>
      </c>
      <c r="O321" t="s">
        <v>639</v>
      </c>
    </row>
    <row r="322" spans="1:15" hidden="1" x14ac:dyDescent="0.25">
      <c r="A322">
        <v>354</v>
      </c>
      <c r="B322" t="s">
        <v>1211</v>
      </c>
      <c r="C322" t="s">
        <v>659</v>
      </c>
      <c r="D322" t="s">
        <v>1217</v>
      </c>
      <c r="E322" t="s">
        <v>679</v>
      </c>
      <c r="F322" t="s">
        <v>680</v>
      </c>
      <c r="G322" t="s">
        <v>679</v>
      </c>
      <c r="H322" s="134" t="s">
        <v>1195</v>
      </c>
      <c r="I322" t="s">
        <v>1218</v>
      </c>
      <c r="J322" t="s">
        <v>683</v>
      </c>
      <c r="K322" t="s">
        <v>684</v>
      </c>
      <c r="L322" t="s">
        <v>685</v>
      </c>
      <c r="M322" t="s">
        <v>686</v>
      </c>
      <c r="N322" t="s">
        <v>687</v>
      </c>
      <c r="O322" t="s">
        <v>639</v>
      </c>
    </row>
    <row r="323" spans="1:15" hidden="1" x14ac:dyDescent="0.25">
      <c r="A323">
        <v>354</v>
      </c>
      <c r="B323" t="s">
        <v>1211</v>
      </c>
      <c r="C323" t="s">
        <v>659</v>
      </c>
      <c r="D323" t="s">
        <v>1213</v>
      </c>
      <c r="E323" t="s">
        <v>680</v>
      </c>
      <c r="F323" t="s">
        <v>721</v>
      </c>
      <c r="G323" t="s">
        <v>679</v>
      </c>
      <c r="H323" s="134" t="s">
        <v>1195</v>
      </c>
      <c r="I323" t="s">
        <v>1214</v>
      </c>
      <c r="J323" t="s">
        <v>683</v>
      </c>
      <c r="K323" t="s">
        <v>684</v>
      </c>
      <c r="L323" t="s">
        <v>6</v>
      </c>
      <c r="N323" t="s">
        <v>639</v>
      </c>
      <c r="O323" t="s">
        <v>639</v>
      </c>
    </row>
    <row r="324" spans="1:15" hidden="1" x14ac:dyDescent="0.25">
      <c r="A324">
        <v>354</v>
      </c>
      <c r="B324" t="s">
        <v>1211</v>
      </c>
      <c r="C324" t="s">
        <v>659</v>
      </c>
      <c r="D324" t="s">
        <v>1219</v>
      </c>
      <c r="E324" t="s">
        <v>680</v>
      </c>
      <c r="F324" t="s">
        <v>1162</v>
      </c>
      <c r="G324" t="s">
        <v>679</v>
      </c>
      <c r="H324" s="134" t="s">
        <v>1195</v>
      </c>
      <c r="I324" t="s">
        <v>1180</v>
      </c>
      <c r="J324" t="s">
        <v>683</v>
      </c>
      <c r="K324" t="s">
        <v>684</v>
      </c>
      <c r="L324" t="s">
        <v>685</v>
      </c>
      <c r="M324" t="s">
        <v>686</v>
      </c>
      <c r="N324" t="s">
        <v>687</v>
      </c>
      <c r="O324" t="s">
        <v>639</v>
      </c>
    </row>
    <row r="325" spans="1:15" hidden="1" x14ac:dyDescent="0.25">
      <c r="A325">
        <v>355</v>
      </c>
      <c r="B325" t="s">
        <v>1220</v>
      </c>
      <c r="C325" t="s">
        <v>659</v>
      </c>
      <c r="D325" t="s">
        <v>1222</v>
      </c>
      <c r="E325" t="s">
        <v>680</v>
      </c>
      <c r="F325" t="s">
        <v>1162</v>
      </c>
      <c r="G325" t="s">
        <v>679</v>
      </c>
      <c r="H325" s="134" t="s">
        <v>1195</v>
      </c>
      <c r="I325" t="s">
        <v>1180</v>
      </c>
      <c r="J325" t="s">
        <v>683</v>
      </c>
      <c r="K325" t="s">
        <v>695</v>
      </c>
      <c r="L325" t="s">
        <v>685</v>
      </c>
      <c r="M325" t="s">
        <v>686</v>
      </c>
      <c r="N325" t="s">
        <v>687</v>
      </c>
      <c r="O325" t="s">
        <v>639</v>
      </c>
    </row>
    <row r="326" spans="1:15" hidden="1" x14ac:dyDescent="0.25">
      <c r="A326">
        <v>355</v>
      </c>
      <c r="B326" t="s">
        <v>1220</v>
      </c>
      <c r="C326" t="s">
        <v>659</v>
      </c>
      <c r="D326" t="s">
        <v>1223</v>
      </c>
      <c r="E326" t="s">
        <v>679</v>
      </c>
      <c r="F326" t="s">
        <v>680</v>
      </c>
      <c r="G326" t="s">
        <v>679</v>
      </c>
      <c r="H326" s="134" t="s">
        <v>1195</v>
      </c>
      <c r="I326" t="s">
        <v>1224</v>
      </c>
      <c r="J326" t="s">
        <v>683</v>
      </c>
      <c r="K326" t="s">
        <v>684</v>
      </c>
      <c r="L326" t="s">
        <v>685</v>
      </c>
      <c r="M326" t="s">
        <v>686</v>
      </c>
      <c r="N326" t="s">
        <v>687</v>
      </c>
      <c r="O326" t="s">
        <v>639</v>
      </c>
    </row>
    <row r="327" spans="1:15" hidden="1" x14ac:dyDescent="0.25">
      <c r="A327">
        <v>355</v>
      </c>
      <c r="B327" t="s">
        <v>1220</v>
      </c>
      <c r="C327" t="s">
        <v>659</v>
      </c>
      <c r="D327" t="s">
        <v>1225</v>
      </c>
      <c r="E327" t="s">
        <v>679</v>
      </c>
      <c r="F327" t="s">
        <v>680</v>
      </c>
      <c r="G327" t="s">
        <v>679</v>
      </c>
      <c r="H327" s="134" t="s">
        <v>1195</v>
      </c>
      <c r="I327" t="s">
        <v>1224</v>
      </c>
      <c r="J327" t="s">
        <v>683</v>
      </c>
      <c r="K327" t="s">
        <v>684</v>
      </c>
      <c r="L327" t="s">
        <v>6</v>
      </c>
      <c r="M327" t="s">
        <v>686</v>
      </c>
      <c r="N327" t="s">
        <v>687</v>
      </c>
      <c r="O327" t="s">
        <v>639</v>
      </c>
    </row>
    <row r="328" spans="1:15" hidden="1" x14ac:dyDescent="0.25">
      <c r="A328">
        <v>355</v>
      </c>
      <c r="B328" t="s">
        <v>1220</v>
      </c>
      <c r="C328" t="s">
        <v>659</v>
      </c>
      <c r="D328" t="s">
        <v>1226</v>
      </c>
      <c r="E328" t="s">
        <v>679</v>
      </c>
      <c r="F328" t="s">
        <v>680</v>
      </c>
      <c r="G328" t="s">
        <v>679</v>
      </c>
      <c r="H328" s="134" t="s">
        <v>1195</v>
      </c>
      <c r="I328" t="s">
        <v>1224</v>
      </c>
      <c r="J328" t="s">
        <v>683</v>
      </c>
      <c r="K328" t="s">
        <v>684</v>
      </c>
      <c r="L328" t="s">
        <v>6</v>
      </c>
      <c r="M328" t="s">
        <v>686</v>
      </c>
      <c r="N328" t="s">
        <v>687</v>
      </c>
      <c r="O328" t="s">
        <v>639</v>
      </c>
    </row>
    <row r="329" spans="1:15" hidden="1" x14ac:dyDescent="0.25">
      <c r="A329">
        <v>355</v>
      </c>
      <c r="B329" t="s">
        <v>1220</v>
      </c>
      <c r="C329" t="s">
        <v>659</v>
      </c>
      <c r="D329" t="s">
        <v>1221</v>
      </c>
      <c r="E329" t="s">
        <v>680</v>
      </c>
      <c r="F329" t="s">
        <v>721</v>
      </c>
      <c r="G329" t="s">
        <v>679</v>
      </c>
      <c r="H329" s="134" t="s">
        <v>1195</v>
      </c>
      <c r="I329" t="s">
        <v>1214</v>
      </c>
      <c r="J329" t="s">
        <v>683</v>
      </c>
      <c r="K329" t="s">
        <v>684</v>
      </c>
      <c r="L329" t="s">
        <v>6</v>
      </c>
      <c r="N329" t="s">
        <v>639</v>
      </c>
      <c r="O329" t="s">
        <v>639</v>
      </c>
    </row>
    <row r="330" spans="1:15" hidden="1" x14ac:dyDescent="0.25">
      <c r="A330">
        <v>358</v>
      </c>
      <c r="B330" t="s">
        <v>1227</v>
      </c>
      <c r="C330" t="s">
        <v>1165</v>
      </c>
      <c r="D330" t="s">
        <v>1228</v>
      </c>
      <c r="E330" t="s">
        <v>1100</v>
      </c>
      <c r="F330" t="s">
        <v>662</v>
      </c>
      <c r="G330" t="s">
        <v>2020</v>
      </c>
      <c r="H330" s="134" t="s">
        <v>1195</v>
      </c>
      <c r="I330" t="s">
        <v>1229</v>
      </c>
      <c r="J330" t="s">
        <v>858</v>
      </c>
      <c r="N330" t="s">
        <v>639</v>
      </c>
      <c r="O330" t="s">
        <v>639</v>
      </c>
    </row>
    <row r="331" spans="1:15" hidden="1" x14ac:dyDescent="0.25">
      <c r="A331">
        <v>358</v>
      </c>
      <c r="B331" t="s">
        <v>1227</v>
      </c>
      <c r="C331" t="s">
        <v>1165</v>
      </c>
      <c r="D331" t="s">
        <v>1230</v>
      </c>
      <c r="E331" t="s">
        <v>1100</v>
      </c>
      <c r="F331" t="s">
        <v>662</v>
      </c>
      <c r="G331" t="s">
        <v>2020</v>
      </c>
      <c r="H331" s="134" t="s">
        <v>1195</v>
      </c>
      <c r="I331" t="s">
        <v>1231</v>
      </c>
      <c r="J331" t="s">
        <v>858</v>
      </c>
      <c r="N331" t="s">
        <v>639</v>
      </c>
      <c r="O331" t="s">
        <v>639</v>
      </c>
    </row>
    <row r="332" spans="1:15" hidden="1" x14ac:dyDescent="0.25">
      <c r="A332">
        <v>358</v>
      </c>
      <c r="B332" t="s">
        <v>1227</v>
      </c>
      <c r="C332" t="s">
        <v>1165</v>
      </c>
      <c r="D332" t="s">
        <v>1232</v>
      </c>
      <c r="E332" t="s">
        <v>662</v>
      </c>
      <c r="F332" t="s">
        <v>658</v>
      </c>
      <c r="G332" t="s">
        <v>2020</v>
      </c>
      <c r="H332" s="134" t="s">
        <v>1195</v>
      </c>
      <c r="I332" t="s">
        <v>1229</v>
      </c>
      <c r="J332" t="s">
        <v>858</v>
      </c>
      <c r="N332" t="s">
        <v>639</v>
      </c>
      <c r="O332" t="s">
        <v>639</v>
      </c>
    </row>
    <row r="333" spans="1:15" hidden="1" x14ac:dyDescent="0.25">
      <c r="A333">
        <v>358</v>
      </c>
      <c r="B333" t="s">
        <v>1227</v>
      </c>
      <c r="C333" t="s">
        <v>1165</v>
      </c>
      <c r="D333" t="s">
        <v>1233</v>
      </c>
      <c r="E333" t="s">
        <v>1100</v>
      </c>
      <c r="F333" t="s">
        <v>662</v>
      </c>
      <c r="G333" t="s">
        <v>2020</v>
      </c>
      <c r="H333" s="134" t="s">
        <v>1195</v>
      </c>
      <c r="I333" t="s">
        <v>1229</v>
      </c>
      <c r="J333" t="s">
        <v>683</v>
      </c>
      <c r="K333" t="s">
        <v>695</v>
      </c>
      <c r="L333" t="s">
        <v>685</v>
      </c>
      <c r="N333" t="s">
        <v>687</v>
      </c>
      <c r="O333" t="s">
        <v>639</v>
      </c>
    </row>
    <row r="334" spans="1:15" hidden="1" x14ac:dyDescent="0.25">
      <c r="A334">
        <v>361</v>
      </c>
      <c r="B334" t="s">
        <v>1234</v>
      </c>
      <c r="C334" t="s">
        <v>1153</v>
      </c>
      <c r="D334" t="s">
        <v>1238</v>
      </c>
      <c r="E334" t="s">
        <v>1236</v>
      </c>
      <c r="F334" t="s">
        <v>717</v>
      </c>
      <c r="G334" t="s">
        <v>717</v>
      </c>
      <c r="H334" s="134" t="s">
        <v>1001</v>
      </c>
      <c r="I334" t="s">
        <v>1239</v>
      </c>
      <c r="J334" t="s">
        <v>858</v>
      </c>
      <c r="N334" t="s">
        <v>639</v>
      </c>
      <c r="O334" t="s">
        <v>639</v>
      </c>
    </row>
    <row r="335" spans="1:15" hidden="1" x14ac:dyDescent="0.25">
      <c r="A335">
        <v>361</v>
      </c>
      <c r="B335" t="s">
        <v>1234</v>
      </c>
      <c r="C335" t="s">
        <v>1153</v>
      </c>
      <c r="D335" t="s">
        <v>1240</v>
      </c>
      <c r="E335" t="s">
        <v>1236</v>
      </c>
      <c r="F335" t="s">
        <v>717</v>
      </c>
      <c r="G335" t="s">
        <v>717</v>
      </c>
      <c r="H335" s="134" t="s">
        <v>1001</v>
      </c>
      <c r="J335" t="s">
        <v>858</v>
      </c>
      <c r="N335" t="s">
        <v>639</v>
      </c>
      <c r="O335" t="s">
        <v>639</v>
      </c>
    </row>
    <row r="336" spans="1:15" hidden="1" x14ac:dyDescent="0.25">
      <c r="A336">
        <v>361</v>
      </c>
      <c r="B336" t="s">
        <v>1234</v>
      </c>
      <c r="C336" t="s">
        <v>1153</v>
      </c>
      <c r="D336" t="s">
        <v>1237</v>
      </c>
      <c r="E336" t="s">
        <v>717</v>
      </c>
      <c r="F336" t="s">
        <v>766</v>
      </c>
      <c r="G336" t="s">
        <v>717</v>
      </c>
      <c r="H336" s="134" t="s">
        <v>1001</v>
      </c>
      <c r="I336" t="s">
        <v>3112</v>
      </c>
      <c r="J336" t="s">
        <v>683</v>
      </c>
      <c r="K336" t="s">
        <v>684</v>
      </c>
      <c r="L336" t="s">
        <v>685</v>
      </c>
      <c r="M336" t="s">
        <v>686</v>
      </c>
      <c r="N336" t="s">
        <v>687</v>
      </c>
      <c r="O336" t="s">
        <v>639</v>
      </c>
    </row>
    <row r="337" spans="1:15" hidden="1" x14ac:dyDescent="0.25">
      <c r="A337">
        <v>361</v>
      </c>
      <c r="B337" t="s">
        <v>1234</v>
      </c>
      <c r="C337" t="s">
        <v>1153</v>
      </c>
      <c r="D337" t="s">
        <v>1235</v>
      </c>
      <c r="E337" t="s">
        <v>1236</v>
      </c>
      <c r="F337" t="s">
        <v>766</v>
      </c>
      <c r="G337" t="s">
        <v>717</v>
      </c>
      <c r="H337" s="134" t="s">
        <v>1001</v>
      </c>
      <c r="I337" t="s">
        <v>2019</v>
      </c>
      <c r="J337" t="s">
        <v>683</v>
      </c>
      <c r="K337" t="s">
        <v>684</v>
      </c>
      <c r="L337" t="s">
        <v>685</v>
      </c>
      <c r="M337" t="s">
        <v>686</v>
      </c>
      <c r="N337" t="s">
        <v>687</v>
      </c>
      <c r="O337" t="s">
        <v>639</v>
      </c>
    </row>
    <row r="338" spans="1:15" hidden="1" x14ac:dyDescent="0.25">
      <c r="A338">
        <v>361</v>
      </c>
      <c r="B338" t="s">
        <v>1234</v>
      </c>
      <c r="C338" t="s">
        <v>1153</v>
      </c>
      <c r="D338" t="s">
        <v>1241</v>
      </c>
      <c r="E338" t="s">
        <v>1236</v>
      </c>
      <c r="F338" t="s">
        <v>766</v>
      </c>
      <c r="G338" t="s">
        <v>717</v>
      </c>
      <c r="H338" s="134" t="s">
        <v>1001</v>
      </c>
      <c r="I338" t="s">
        <v>2913</v>
      </c>
      <c r="J338" t="s">
        <v>683</v>
      </c>
      <c r="K338" t="s">
        <v>684</v>
      </c>
      <c r="L338" t="s">
        <v>685</v>
      </c>
      <c r="M338" t="s">
        <v>686</v>
      </c>
      <c r="N338" t="s">
        <v>687</v>
      </c>
      <c r="O338" t="s">
        <v>639</v>
      </c>
    </row>
    <row r="339" spans="1:15" hidden="1" x14ac:dyDescent="0.25">
      <c r="A339">
        <v>362</v>
      </c>
      <c r="B339" t="s">
        <v>1242</v>
      </c>
      <c r="C339" t="s">
        <v>1153</v>
      </c>
      <c r="D339" t="s">
        <v>1243</v>
      </c>
      <c r="E339" t="s">
        <v>1119</v>
      </c>
      <c r="F339" t="s">
        <v>662</v>
      </c>
      <c r="G339" t="s">
        <v>662</v>
      </c>
      <c r="H339" s="134" t="s">
        <v>1147</v>
      </c>
      <c r="I339" t="s">
        <v>1244</v>
      </c>
      <c r="J339" t="s">
        <v>858</v>
      </c>
      <c r="N339" t="s">
        <v>639</v>
      </c>
      <c r="O339" t="s">
        <v>639</v>
      </c>
    </row>
    <row r="340" spans="1:15" hidden="1" x14ac:dyDescent="0.25">
      <c r="A340">
        <v>362</v>
      </c>
      <c r="B340" t="s">
        <v>1242</v>
      </c>
      <c r="C340" t="s">
        <v>1153</v>
      </c>
      <c r="D340" t="s">
        <v>1245</v>
      </c>
      <c r="E340" t="s">
        <v>813</v>
      </c>
      <c r="F340" t="s">
        <v>662</v>
      </c>
      <c r="G340" t="s">
        <v>662</v>
      </c>
      <c r="H340" s="134" t="s">
        <v>1147</v>
      </c>
      <c r="J340" t="s">
        <v>956</v>
      </c>
      <c r="K340" t="s">
        <v>695</v>
      </c>
      <c r="N340" t="s">
        <v>639</v>
      </c>
      <c r="O340" t="s">
        <v>639</v>
      </c>
    </row>
    <row r="341" spans="1:15" hidden="1" x14ac:dyDescent="0.25">
      <c r="A341">
        <v>364</v>
      </c>
      <c r="B341" t="s">
        <v>2034</v>
      </c>
      <c r="C341" t="s">
        <v>1153</v>
      </c>
      <c r="D341" t="s">
        <v>2259</v>
      </c>
      <c r="E341" t="s">
        <v>1043</v>
      </c>
      <c r="F341" t="s">
        <v>1037</v>
      </c>
      <c r="G341" t="s">
        <v>1043</v>
      </c>
      <c r="H341" s="134" t="s">
        <v>2036</v>
      </c>
      <c r="I341" t="s">
        <v>2260</v>
      </c>
      <c r="J341" t="s">
        <v>956</v>
      </c>
      <c r="K341" t="s">
        <v>684</v>
      </c>
      <c r="N341" t="s">
        <v>639</v>
      </c>
      <c r="O341" t="s">
        <v>639</v>
      </c>
    </row>
    <row r="342" spans="1:15" hidden="1" x14ac:dyDescent="0.25">
      <c r="A342">
        <v>364</v>
      </c>
      <c r="B342" t="s">
        <v>2034</v>
      </c>
      <c r="C342" t="s">
        <v>1153</v>
      </c>
      <c r="D342" t="s">
        <v>2261</v>
      </c>
      <c r="E342" t="s">
        <v>1043</v>
      </c>
      <c r="F342" t="s">
        <v>1037</v>
      </c>
      <c r="G342" t="s">
        <v>1043</v>
      </c>
      <c r="H342" s="134" t="s">
        <v>2036</v>
      </c>
      <c r="I342" t="s">
        <v>2260</v>
      </c>
      <c r="J342" t="s">
        <v>956</v>
      </c>
      <c r="K342" t="s">
        <v>684</v>
      </c>
      <c r="N342" t="s">
        <v>639</v>
      </c>
      <c r="O342" t="s">
        <v>639</v>
      </c>
    </row>
    <row r="343" spans="1:15" hidden="1" x14ac:dyDescent="0.25">
      <c r="A343">
        <v>364</v>
      </c>
      <c r="B343" t="s">
        <v>2034</v>
      </c>
      <c r="C343" t="s">
        <v>1153</v>
      </c>
      <c r="D343" t="s">
        <v>2262</v>
      </c>
      <c r="E343" t="s">
        <v>1043</v>
      </c>
      <c r="F343" t="s">
        <v>1037</v>
      </c>
      <c r="G343" t="s">
        <v>1043</v>
      </c>
      <c r="H343" s="134" t="s">
        <v>2036</v>
      </c>
      <c r="I343" t="s">
        <v>2260</v>
      </c>
      <c r="J343" t="s">
        <v>956</v>
      </c>
      <c r="K343" t="s">
        <v>684</v>
      </c>
      <c r="N343" t="s">
        <v>639</v>
      </c>
      <c r="O343" t="s">
        <v>639</v>
      </c>
    </row>
    <row r="344" spans="1:15" hidden="1" x14ac:dyDescent="0.25">
      <c r="A344">
        <v>364</v>
      </c>
      <c r="B344" t="s">
        <v>2034</v>
      </c>
      <c r="C344" t="s">
        <v>1153</v>
      </c>
      <c r="D344" t="s">
        <v>2263</v>
      </c>
      <c r="E344" t="s">
        <v>1043</v>
      </c>
      <c r="F344" t="s">
        <v>1037</v>
      </c>
      <c r="G344" t="s">
        <v>1043</v>
      </c>
      <c r="H344" s="134" t="s">
        <v>2036</v>
      </c>
      <c r="I344" t="s">
        <v>2260</v>
      </c>
      <c r="J344" t="s">
        <v>956</v>
      </c>
      <c r="K344" t="s">
        <v>684</v>
      </c>
      <c r="N344" t="s">
        <v>639</v>
      </c>
      <c r="O344" t="s">
        <v>639</v>
      </c>
    </row>
    <row r="345" spans="1:15" hidden="1" x14ac:dyDescent="0.25">
      <c r="A345">
        <v>364</v>
      </c>
      <c r="B345" t="s">
        <v>2034</v>
      </c>
      <c r="C345" t="s">
        <v>1153</v>
      </c>
      <c r="D345" t="s">
        <v>2264</v>
      </c>
      <c r="E345" t="s">
        <v>1043</v>
      </c>
      <c r="F345" t="s">
        <v>1037</v>
      </c>
      <c r="G345" t="s">
        <v>1043</v>
      </c>
      <c r="H345" s="134" t="s">
        <v>2036</v>
      </c>
      <c r="J345" t="s">
        <v>956</v>
      </c>
      <c r="K345" t="s">
        <v>684</v>
      </c>
      <c r="N345" t="s">
        <v>639</v>
      </c>
      <c r="O345" t="s">
        <v>639</v>
      </c>
    </row>
    <row r="346" spans="1:15" hidden="1" x14ac:dyDescent="0.25">
      <c r="A346">
        <v>365</v>
      </c>
      <c r="B346" t="s">
        <v>1246</v>
      </c>
      <c r="C346" t="s">
        <v>1247</v>
      </c>
      <c r="D346" t="s">
        <v>1248</v>
      </c>
      <c r="E346" t="s">
        <v>1127</v>
      </c>
      <c r="F346" t="s">
        <v>2914</v>
      </c>
      <c r="G346" t="s">
        <v>1037</v>
      </c>
      <c r="H346" s="134" t="s">
        <v>1249</v>
      </c>
      <c r="I346" t="s">
        <v>1250</v>
      </c>
      <c r="J346" t="s">
        <v>858</v>
      </c>
      <c r="N346" t="s">
        <v>639</v>
      </c>
      <c r="O346" t="s">
        <v>639</v>
      </c>
    </row>
    <row r="347" spans="1:15" hidden="1" x14ac:dyDescent="0.25">
      <c r="A347">
        <v>365</v>
      </c>
      <c r="B347" t="s">
        <v>1246</v>
      </c>
      <c r="C347" t="s">
        <v>1247</v>
      </c>
      <c r="D347" t="s">
        <v>1251</v>
      </c>
      <c r="E347" t="s">
        <v>967</v>
      </c>
      <c r="F347" t="s">
        <v>774</v>
      </c>
      <c r="G347" t="s">
        <v>1037</v>
      </c>
      <c r="H347" s="134" t="s">
        <v>1249</v>
      </c>
      <c r="I347" t="s">
        <v>1250</v>
      </c>
      <c r="J347" t="s">
        <v>858</v>
      </c>
      <c r="N347" t="s">
        <v>639</v>
      </c>
      <c r="O347" t="s">
        <v>639</v>
      </c>
    </row>
    <row r="348" spans="1:15" hidden="1" x14ac:dyDescent="0.25">
      <c r="A348">
        <v>365</v>
      </c>
      <c r="B348" t="s">
        <v>1246</v>
      </c>
      <c r="C348" t="s">
        <v>1247</v>
      </c>
      <c r="D348" t="s">
        <v>1252</v>
      </c>
      <c r="E348" t="s">
        <v>791</v>
      </c>
      <c r="F348" t="s">
        <v>1155</v>
      </c>
      <c r="G348" t="s">
        <v>1037</v>
      </c>
      <c r="H348" s="134" t="s">
        <v>1249</v>
      </c>
      <c r="J348" t="s">
        <v>858</v>
      </c>
      <c r="N348" t="s">
        <v>639</v>
      </c>
      <c r="O348" t="s">
        <v>639</v>
      </c>
    </row>
    <row r="349" spans="1:15" hidden="1" x14ac:dyDescent="0.25">
      <c r="A349">
        <v>368</v>
      </c>
      <c r="B349" t="s">
        <v>2052</v>
      </c>
      <c r="C349" t="s">
        <v>659</v>
      </c>
      <c r="D349" t="s">
        <v>2715</v>
      </c>
      <c r="E349" t="s">
        <v>2716</v>
      </c>
      <c r="F349" t="s">
        <v>717</v>
      </c>
      <c r="G349" t="s">
        <v>1037</v>
      </c>
      <c r="H349" s="134" t="s">
        <v>2054</v>
      </c>
      <c r="I349" t="s">
        <v>3307</v>
      </c>
      <c r="J349" t="s">
        <v>956</v>
      </c>
      <c r="K349" t="s">
        <v>695</v>
      </c>
      <c r="M349" t="s">
        <v>686</v>
      </c>
      <c r="N349" t="s">
        <v>687</v>
      </c>
      <c r="O349" t="s">
        <v>639</v>
      </c>
    </row>
    <row r="350" spans="1:15" hidden="1" x14ac:dyDescent="0.25">
      <c r="A350">
        <v>369</v>
      </c>
      <c r="B350" t="s">
        <v>2058</v>
      </c>
      <c r="C350" t="s">
        <v>659</v>
      </c>
      <c r="D350" t="s">
        <v>2757</v>
      </c>
      <c r="E350" t="s">
        <v>1037</v>
      </c>
      <c r="F350" t="s">
        <v>774</v>
      </c>
      <c r="G350" t="s">
        <v>679</v>
      </c>
      <c r="H350" s="134" t="s">
        <v>2062</v>
      </c>
      <c r="I350" t="s">
        <v>3307</v>
      </c>
      <c r="J350" t="s">
        <v>858</v>
      </c>
      <c r="N350" t="s">
        <v>639</v>
      </c>
      <c r="O350" t="s">
        <v>639</v>
      </c>
    </row>
    <row r="351" spans="1:15" hidden="1" x14ac:dyDescent="0.25">
      <c r="A351">
        <v>369</v>
      </c>
      <c r="B351" t="s">
        <v>2058</v>
      </c>
      <c r="C351" t="s">
        <v>659</v>
      </c>
      <c r="D351" t="s">
        <v>2758</v>
      </c>
      <c r="E351" t="s">
        <v>1037</v>
      </c>
      <c r="F351" t="s">
        <v>774</v>
      </c>
      <c r="G351" t="s">
        <v>679</v>
      </c>
      <c r="H351" s="134" t="s">
        <v>2062</v>
      </c>
      <c r="I351" t="s">
        <v>3307</v>
      </c>
      <c r="J351" t="s">
        <v>858</v>
      </c>
      <c r="N351" t="s">
        <v>639</v>
      </c>
      <c r="O351" t="s">
        <v>639</v>
      </c>
    </row>
    <row r="352" spans="1:15" hidden="1" x14ac:dyDescent="0.25">
      <c r="A352">
        <v>374</v>
      </c>
      <c r="B352" t="s">
        <v>2068</v>
      </c>
      <c r="C352" t="s">
        <v>659</v>
      </c>
      <c r="D352" t="s">
        <v>2265</v>
      </c>
      <c r="E352" t="s">
        <v>2070</v>
      </c>
      <c r="F352" t="s">
        <v>1321</v>
      </c>
      <c r="G352" t="s">
        <v>1321</v>
      </c>
      <c r="H352" s="134" t="s">
        <v>2071</v>
      </c>
      <c r="I352" t="s">
        <v>2266</v>
      </c>
      <c r="J352" t="s">
        <v>683</v>
      </c>
      <c r="K352" t="s">
        <v>684</v>
      </c>
      <c r="L352" t="s">
        <v>685</v>
      </c>
      <c r="M352" t="s">
        <v>686</v>
      </c>
      <c r="N352" t="s">
        <v>687</v>
      </c>
      <c r="O352" t="s">
        <v>639</v>
      </c>
    </row>
    <row r="353" spans="1:15" hidden="1" x14ac:dyDescent="0.25">
      <c r="A353">
        <v>375</v>
      </c>
      <c r="B353" t="s">
        <v>1253</v>
      </c>
      <c r="C353" t="s">
        <v>1153</v>
      </c>
      <c r="D353" t="s">
        <v>1254</v>
      </c>
      <c r="E353" t="s">
        <v>698</v>
      </c>
      <c r="F353" t="s">
        <v>875</v>
      </c>
      <c r="G353" t="s">
        <v>875</v>
      </c>
      <c r="H353" s="134" t="s">
        <v>699</v>
      </c>
      <c r="I353" t="s">
        <v>3114</v>
      </c>
      <c r="J353" t="s">
        <v>858</v>
      </c>
      <c r="N353" t="s">
        <v>639</v>
      </c>
      <c r="O353" t="s">
        <v>639</v>
      </c>
    </row>
    <row r="354" spans="1:15" hidden="1" x14ac:dyDescent="0.25">
      <c r="A354">
        <v>375</v>
      </c>
      <c r="B354" t="s">
        <v>1253</v>
      </c>
      <c r="C354" t="s">
        <v>1153</v>
      </c>
      <c r="D354" t="s">
        <v>1257</v>
      </c>
      <c r="E354" t="s">
        <v>698</v>
      </c>
      <c r="F354" t="s">
        <v>699</v>
      </c>
      <c r="G354" t="s">
        <v>875</v>
      </c>
      <c r="H354" s="134" t="s">
        <v>699</v>
      </c>
      <c r="I354" t="s">
        <v>3114</v>
      </c>
      <c r="J354" t="s">
        <v>858</v>
      </c>
      <c r="N354" t="s">
        <v>639</v>
      </c>
      <c r="O354" t="s">
        <v>639</v>
      </c>
    </row>
    <row r="355" spans="1:15" hidden="1" x14ac:dyDescent="0.25">
      <c r="A355">
        <v>375</v>
      </c>
      <c r="B355" t="s">
        <v>1253</v>
      </c>
      <c r="C355" t="s">
        <v>1153</v>
      </c>
      <c r="D355" t="s">
        <v>1255</v>
      </c>
      <c r="E355" t="s">
        <v>698</v>
      </c>
      <c r="F355" t="s">
        <v>875</v>
      </c>
      <c r="G355" t="s">
        <v>875</v>
      </c>
      <c r="H355" s="134" t="s">
        <v>699</v>
      </c>
      <c r="I355" t="s">
        <v>3113</v>
      </c>
      <c r="J355" t="s">
        <v>2164</v>
      </c>
      <c r="K355" t="s">
        <v>718</v>
      </c>
      <c r="N355" t="s">
        <v>639</v>
      </c>
      <c r="O355" t="s">
        <v>639</v>
      </c>
    </row>
    <row r="356" spans="1:15" hidden="1" x14ac:dyDescent="0.25">
      <c r="A356">
        <v>375</v>
      </c>
      <c r="B356" t="s">
        <v>1253</v>
      </c>
      <c r="C356" t="s">
        <v>1153</v>
      </c>
      <c r="D356" t="s">
        <v>1256</v>
      </c>
      <c r="E356" t="s">
        <v>698</v>
      </c>
      <c r="F356" t="s">
        <v>875</v>
      </c>
      <c r="G356" t="s">
        <v>875</v>
      </c>
      <c r="H356" s="134" t="s">
        <v>699</v>
      </c>
      <c r="I356" t="s">
        <v>3115</v>
      </c>
      <c r="J356" t="s">
        <v>858</v>
      </c>
      <c r="K356" t="s">
        <v>718</v>
      </c>
      <c r="N356" t="s">
        <v>639</v>
      </c>
      <c r="O356" t="s">
        <v>639</v>
      </c>
    </row>
    <row r="357" spans="1:15" hidden="1" x14ac:dyDescent="0.25">
      <c r="A357">
        <v>375</v>
      </c>
      <c r="B357" t="s">
        <v>1253</v>
      </c>
      <c r="C357" t="s">
        <v>1153</v>
      </c>
      <c r="D357" t="s">
        <v>1258</v>
      </c>
      <c r="E357" t="s">
        <v>698</v>
      </c>
      <c r="F357" t="s">
        <v>699</v>
      </c>
      <c r="G357" t="s">
        <v>875</v>
      </c>
      <c r="H357" s="134" t="s">
        <v>699</v>
      </c>
      <c r="I357" t="s">
        <v>2688</v>
      </c>
      <c r="J357" t="s">
        <v>683</v>
      </c>
      <c r="K357" t="s">
        <v>718</v>
      </c>
      <c r="L357" t="s">
        <v>685</v>
      </c>
      <c r="N357" t="s">
        <v>639</v>
      </c>
      <c r="O357" t="s">
        <v>639</v>
      </c>
    </row>
    <row r="358" spans="1:15" hidden="1" x14ac:dyDescent="0.25">
      <c r="A358">
        <v>375</v>
      </c>
      <c r="B358" t="s">
        <v>1253</v>
      </c>
      <c r="C358" t="s">
        <v>1153</v>
      </c>
      <c r="D358" t="s">
        <v>1259</v>
      </c>
      <c r="E358" t="s">
        <v>875</v>
      </c>
      <c r="F358" t="s">
        <v>698</v>
      </c>
      <c r="G358" t="s">
        <v>875</v>
      </c>
      <c r="H358" s="134" t="s">
        <v>699</v>
      </c>
      <c r="I358" t="s">
        <v>3116</v>
      </c>
      <c r="J358" t="s">
        <v>2164</v>
      </c>
      <c r="K358" t="s">
        <v>718</v>
      </c>
      <c r="N358" t="s">
        <v>639</v>
      </c>
      <c r="O358" t="s">
        <v>639</v>
      </c>
    </row>
    <row r="359" spans="1:15" hidden="1" x14ac:dyDescent="0.25">
      <c r="A359">
        <v>376</v>
      </c>
      <c r="B359" t="s">
        <v>2079</v>
      </c>
      <c r="C359" t="s">
        <v>1153</v>
      </c>
      <c r="D359" t="s">
        <v>2267</v>
      </c>
      <c r="E359" t="s">
        <v>2268</v>
      </c>
      <c r="F359" t="s">
        <v>1037</v>
      </c>
      <c r="G359" t="s">
        <v>680</v>
      </c>
      <c r="H359" s="134" t="s">
        <v>2054</v>
      </c>
      <c r="I359" t="s">
        <v>2269</v>
      </c>
      <c r="J359" t="s">
        <v>858</v>
      </c>
      <c r="K359" t="s">
        <v>684</v>
      </c>
      <c r="N359" t="s">
        <v>639</v>
      </c>
      <c r="O359" t="s">
        <v>639</v>
      </c>
    </row>
    <row r="360" spans="1:15" hidden="1" x14ac:dyDescent="0.25">
      <c r="A360">
        <v>376</v>
      </c>
      <c r="B360" t="s">
        <v>2079</v>
      </c>
      <c r="C360" t="s">
        <v>1153</v>
      </c>
      <c r="D360" t="s">
        <v>2270</v>
      </c>
      <c r="E360" t="s">
        <v>2268</v>
      </c>
      <c r="F360" t="s">
        <v>1037</v>
      </c>
      <c r="G360" t="s">
        <v>680</v>
      </c>
      <c r="H360" s="134" t="s">
        <v>2054</v>
      </c>
      <c r="I360" t="s">
        <v>2269</v>
      </c>
      <c r="J360" t="s">
        <v>858</v>
      </c>
      <c r="K360" t="s">
        <v>684</v>
      </c>
      <c r="N360" t="s">
        <v>639</v>
      </c>
      <c r="O360" t="s">
        <v>639</v>
      </c>
    </row>
    <row r="361" spans="1:15" hidden="1" x14ac:dyDescent="0.25">
      <c r="A361">
        <v>378</v>
      </c>
      <c r="B361" t="s">
        <v>1260</v>
      </c>
      <c r="C361" t="s">
        <v>659</v>
      </c>
      <c r="D361" t="s">
        <v>1261</v>
      </c>
      <c r="E361" t="s">
        <v>698</v>
      </c>
      <c r="F361" t="s">
        <v>875</v>
      </c>
      <c r="G361" t="s">
        <v>875</v>
      </c>
      <c r="H361" s="134" t="s">
        <v>1262</v>
      </c>
      <c r="I361" t="s">
        <v>1263</v>
      </c>
      <c r="J361" t="s">
        <v>683</v>
      </c>
      <c r="K361" t="s">
        <v>718</v>
      </c>
      <c r="L361" t="s">
        <v>8</v>
      </c>
      <c r="M361" t="s">
        <v>686</v>
      </c>
      <c r="N361" t="s">
        <v>687</v>
      </c>
      <c r="O361" t="s">
        <v>639</v>
      </c>
    </row>
    <row r="362" spans="1:15" hidden="1" x14ac:dyDescent="0.25">
      <c r="A362">
        <v>382</v>
      </c>
      <c r="B362" t="s">
        <v>1264</v>
      </c>
      <c r="C362" t="s">
        <v>1165</v>
      </c>
      <c r="D362" t="s">
        <v>1265</v>
      </c>
      <c r="E362" t="s">
        <v>662</v>
      </c>
      <c r="F362" t="s">
        <v>658</v>
      </c>
      <c r="G362" t="s">
        <v>662</v>
      </c>
      <c r="H362" s="134" t="s">
        <v>1195</v>
      </c>
      <c r="I362" t="s">
        <v>1266</v>
      </c>
      <c r="J362" t="s">
        <v>858</v>
      </c>
      <c r="N362" t="s">
        <v>639</v>
      </c>
      <c r="O362" t="s">
        <v>639</v>
      </c>
    </row>
    <row r="363" spans="1:15" hidden="1" x14ac:dyDescent="0.25">
      <c r="A363">
        <v>382</v>
      </c>
      <c r="B363" t="s">
        <v>1264</v>
      </c>
      <c r="C363" t="s">
        <v>1165</v>
      </c>
      <c r="D363" t="s">
        <v>1267</v>
      </c>
      <c r="E363" t="s">
        <v>662</v>
      </c>
      <c r="F363" t="s">
        <v>658</v>
      </c>
      <c r="G363" t="s">
        <v>662</v>
      </c>
      <c r="H363" s="134" t="s">
        <v>1195</v>
      </c>
      <c r="I363" t="s">
        <v>1266</v>
      </c>
      <c r="J363" t="s">
        <v>858</v>
      </c>
      <c r="N363" t="s">
        <v>639</v>
      </c>
      <c r="O363" t="s">
        <v>639</v>
      </c>
    </row>
    <row r="364" spans="1:15" hidden="1" x14ac:dyDescent="0.25">
      <c r="A364">
        <v>384</v>
      </c>
      <c r="B364" t="s">
        <v>2100</v>
      </c>
      <c r="C364" t="s">
        <v>659</v>
      </c>
      <c r="D364" t="s">
        <v>2271</v>
      </c>
      <c r="E364" t="s">
        <v>2104</v>
      </c>
      <c r="F364" t="s">
        <v>950</v>
      </c>
      <c r="G364" t="s">
        <v>950</v>
      </c>
      <c r="H364" s="134" t="s">
        <v>2102</v>
      </c>
      <c r="I364" t="s">
        <v>2717</v>
      </c>
      <c r="J364" t="s">
        <v>683</v>
      </c>
      <c r="K364" t="s">
        <v>684</v>
      </c>
      <c r="L364" t="s">
        <v>988</v>
      </c>
      <c r="M364" t="s">
        <v>686</v>
      </c>
      <c r="N364" t="s">
        <v>687</v>
      </c>
      <c r="O364" t="s">
        <v>639</v>
      </c>
    </row>
    <row r="365" spans="1:15" hidden="1" x14ac:dyDescent="0.25">
      <c r="A365">
        <v>384</v>
      </c>
      <c r="B365" t="s">
        <v>2100</v>
      </c>
      <c r="C365" t="s">
        <v>659</v>
      </c>
      <c r="D365" t="s">
        <v>2272</v>
      </c>
      <c r="E365" t="s">
        <v>2104</v>
      </c>
      <c r="F365" t="s">
        <v>950</v>
      </c>
      <c r="G365" t="s">
        <v>950</v>
      </c>
      <c r="H365" s="134" t="s">
        <v>2102</v>
      </c>
      <c r="I365" t="s">
        <v>2717</v>
      </c>
      <c r="J365" t="s">
        <v>683</v>
      </c>
      <c r="K365" t="s">
        <v>684</v>
      </c>
      <c r="L365" t="s">
        <v>988</v>
      </c>
      <c r="M365" t="s">
        <v>686</v>
      </c>
      <c r="N365" t="s">
        <v>687</v>
      </c>
      <c r="O365" t="s">
        <v>639</v>
      </c>
    </row>
    <row r="366" spans="1:15" hidden="1" x14ac:dyDescent="0.25">
      <c r="A366">
        <v>386</v>
      </c>
      <c r="B366" t="s">
        <v>1268</v>
      </c>
      <c r="C366" t="s">
        <v>1247</v>
      </c>
      <c r="D366" t="s">
        <v>1269</v>
      </c>
      <c r="E366" t="s">
        <v>662</v>
      </c>
      <c r="F366" t="s">
        <v>658</v>
      </c>
      <c r="G366" t="s">
        <v>1270</v>
      </c>
      <c r="H366" s="134" t="s">
        <v>1271</v>
      </c>
      <c r="I366" t="s">
        <v>1272</v>
      </c>
      <c r="J366" t="s">
        <v>858</v>
      </c>
      <c r="K366" t="s">
        <v>684</v>
      </c>
      <c r="N366" t="s">
        <v>639</v>
      </c>
      <c r="O366" t="s">
        <v>639</v>
      </c>
    </row>
    <row r="367" spans="1:15" hidden="1" x14ac:dyDescent="0.25">
      <c r="A367">
        <v>389</v>
      </c>
      <c r="B367" t="s">
        <v>2114</v>
      </c>
      <c r="C367" t="s">
        <v>659</v>
      </c>
      <c r="D367" t="s">
        <v>2689</v>
      </c>
      <c r="E367" t="s">
        <v>2871</v>
      </c>
      <c r="F367" t="s">
        <v>1321</v>
      </c>
      <c r="G367" t="s">
        <v>1588</v>
      </c>
      <c r="H367" s="134" t="s">
        <v>1704</v>
      </c>
      <c r="I367" t="s">
        <v>2872</v>
      </c>
      <c r="J367" t="s">
        <v>683</v>
      </c>
      <c r="K367" t="s">
        <v>695</v>
      </c>
      <c r="L367" t="s">
        <v>2131</v>
      </c>
      <c r="M367" t="s">
        <v>686</v>
      </c>
      <c r="N367" t="s">
        <v>687</v>
      </c>
      <c r="O367" t="s">
        <v>639</v>
      </c>
    </row>
    <row r="368" spans="1:15" hidden="1" x14ac:dyDescent="0.25">
      <c r="A368">
        <v>389</v>
      </c>
      <c r="B368" t="s">
        <v>2114</v>
      </c>
      <c r="C368" t="s">
        <v>659</v>
      </c>
      <c r="D368" t="s">
        <v>2719</v>
      </c>
      <c r="E368" t="s">
        <v>2871</v>
      </c>
      <c r="F368" t="s">
        <v>1321</v>
      </c>
      <c r="G368" t="s">
        <v>1588</v>
      </c>
      <c r="H368" s="134" t="s">
        <v>1704</v>
      </c>
      <c r="I368" t="s">
        <v>3269</v>
      </c>
      <c r="J368" t="s">
        <v>683</v>
      </c>
      <c r="K368" t="s">
        <v>695</v>
      </c>
      <c r="L368" t="s">
        <v>2131</v>
      </c>
      <c r="M368" t="s">
        <v>686</v>
      </c>
      <c r="N368" t="s">
        <v>687</v>
      </c>
      <c r="O368" t="s">
        <v>639</v>
      </c>
    </row>
    <row r="369" spans="1:15" x14ac:dyDescent="0.25">
      <c r="A369">
        <v>391</v>
      </c>
      <c r="B369" t="s">
        <v>1273</v>
      </c>
      <c r="C369" t="s">
        <v>659</v>
      </c>
      <c r="D369" s="273" t="s">
        <v>1274</v>
      </c>
      <c r="E369" t="s">
        <v>766</v>
      </c>
      <c r="F369" t="s">
        <v>800</v>
      </c>
      <c r="G369" t="s">
        <v>1037</v>
      </c>
      <c r="H369" s="134" t="s">
        <v>1275</v>
      </c>
      <c r="J369" t="s">
        <v>956</v>
      </c>
      <c r="K369" t="s">
        <v>684</v>
      </c>
      <c r="N369" t="s">
        <v>639</v>
      </c>
      <c r="O369" t="s">
        <v>639</v>
      </c>
    </row>
    <row r="370" spans="1:15" x14ac:dyDescent="0.25">
      <c r="A370">
        <v>398</v>
      </c>
      <c r="B370" t="s">
        <v>2700</v>
      </c>
      <c r="C370" t="s">
        <v>1165</v>
      </c>
      <c r="D370" s="273" t="s">
        <v>3143</v>
      </c>
      <c r="E370" t="s">
        <v>717</v>
      </c>
      <c r="F370" t="s">
        <v>766</v>
      </c>
      <c r="G370" t="s">
        <v>717</v>
      </c>
      <c r="H370" s="134" t="s">
        <v>2703</v>
      </c>
      <c r="I370" t="s">
        <v>2690</v>
      </c>
      <c r="J370" t="s">
        <v>858</v>
      </c>
      <c r="N370" t="s">
        <v>639</v>
      </c>
      <c r="O370" t="s">
        <v>639</v>
      </c>
    </row>
    <row r="371" spans="1:15" x14ac:dyDescent="0.25">
      <c r="A371">
        <v>398</v>
      </c>
      <c r="B371" t="s">
        <v>2700</v>
      </c>
      <c r="C371" t="s">
        <v>1165</v>
      </c>
      <c r="D371" s="273" t="s">
        <v>3144</v>
      </c>
      <c r="E371" t="s">
        <v>717</v>
      </c>
      <c r="F371" t="s">
        <v>766</v>
      </c>
      <c r="G371" t="s">
        <v>717</v>
      </c>
      <c r="H371" s="134" t="s">
        <v>2703</v>
      </c>
      <c r="I371" t="s">
        <v>2690</v>
      </c>
      <c r="J371" t="s">
        <v>858</v>
      </c>
      <c r="N371" t="s">
        <v>639</v>
      </c>
      <c r="O371" t="s">
        <v>639</v>
      </c>
    </row>
    <row r="372" spans="1:15" hidden="1" x14ac:dyDescent="0.25">
      <c r="A372">
        <v>399</v>
      </c>
      <c r="B372" t="s">
        <v>2707</v>
      </c>
      <c r="C372" t="s">
        <v>659</v>
      </c>
      <c r="D372" t="s">
        <v>2874</v>
      </c>
      <c r="E372" t="s">
        <v>2709</v>
      </c>
      <c r="F372" t="s">
        <v>1069</v>
      </c>
      <c r="G372" t="s">
        <v>2709</v>
      </c>
      <c r="H372" s="134" t="s">
        <v>2710</v>
      </c>
      <c r="I372" t="s">
        <v>2915</v>
      </c>
      <c r="J372" t="s">
        <v>683</v>
      </c>
      <c r="K372" t="s">
        <v>684</v>
      </c>
      <c r="L372" t="s">
        <v>685</v>
      </c>
      <c r="M372" t="s">
        <v>686</v>
      </c>
      <c r="N372" t="s">
        <v>687</v>
      </c>
      <c r="O372" t="s">
        <v>639</v>
      </c>
    </row>
    <row r="373" spans="1:15" hidden="1" x14ac:dyDescent="0.25">
      <c r="A373">
        <v>399</v>
      </c>
      <c r="B373" t="s">
        <v>2707</v>
      </c>
      <c r="C373" t="s">
        <v>659</v>
      </c>
      <c r="D373" t="s">
        <v>2873</v>
      </c>
      <c r="E373" t="s">
        <v>2709</v>
      </c>
      <c r="F373" t="s">
        <v>1069</v>
      </c>
      <c r="G373" t="s">
        <v>2709</v>
      </c>
      <c r="H373" s="134" t="s">
        <v>2710</v>
      </c>
      <c r="I373" t="s">
        <v>2916</v>
      </c>
      <c r="J373" t="s">
        <v>683</v>
      </c>
      <c r="K373" t="s">
        <v>684</v>
      </c>
      <c r="L373" t="s">
        <v>685</v>
      </c>
      <c r="M373" t="s">
        <v>686</v>
      </c>
      <c r="N373" t="s">
        <v>687</v>
      </c>
      <c r="O373" t="s">
        <v>639</v>
      </c>
    </row>
    <row r="374" spans="1:15" hidden="1" x14ac:dyDescent="0.25">
      <c r="A374">
        <v>399</v>
      </c>
      <c r="B374" t="s">
        <v>2707</v>
      </c>
      <c r="C374" t="s">
        <v>659</v>
      </c>
      <c r="D374" t="s">
        <v>2875</v>
      </c>
      <c r="E374" t="s">
        <v>2709</v>
      </c>
      <c r="F374" t="s">
        <v>1069</v>
      </c>
      <c r="G374" t="s">
        <v>2709</v>
      </c>
      <c r="H374" s="134" t="s">
        <v>2710</v>
      </c>
      <c r="I374" t="s">
        <v>2915</v>
      </c>
      <c r="J374" t="s">
        <v>683</v>
      </c>
      <c r="K374" t="s">
        <v>684</v>
      </c>
      <c r="L374" t="s">
        <v>685</v>
      </c>
      <c r="M374" t="s">
        <v>686</v>
      </c>
      <c r="N374" t="s">
        <v>687</v>
      </c>
      <c r="O374" t="s">
        <v>639</v>
      </c>
    </row>
    <row r="375" spans="1:15" hidden="1" x14ac:dyDescent="0.25">
      <c r="A375">
        <v>401</v>
      </c>
      <c r="B375" t="s">
        <v>2731</v>
      </c>
      <c r="C375" t="s">
        <v>659</v>
      </c>
      <c r="D375" t="s">
        <v>3208</v>
      </c>
      <c r="E375" t="s">
        <v>699</v>
      </c>
      <c r="F375" t="s">
        <v>875</v>
      </c>
      <c r="G375" t="s">
        <v>699</v>
      </c>
      <c r="H375" s="134" t="s">
        <v>2734</v>
      </c>
      <c r="I375" t="s">
        <v>3209</v>
      </c>
      <c r="J375" t="s">
        <v>858</v>
      </c>
      <c r="K375" t="s">
        <v>718</v>
      </c>
      <c r="M375" t="s">
        <v>686</v>
      </c>
      <c r="N375" t="s">
        <v>687</v>
      </c>
      <c r="O375" t="s">
        <v>639</v>
      </c>
    </row>
    <row r="376" spans="1:15" hidden="1" x14ac:dyDescent="0.25">
      <c r="A376">
        <v>405</v>
      </c>
      <c r="B376" t="s">
        <v>2751</v>
      </c>
      <c r="C376" t="s">
        <v>659</v>
      </c>
      <c r="D376" t="s">
        <v>2917</v>
      </c>
      <c r="E376" t="s">
        <v>2718</v>
      </c>
      <c r="F376" t="s">
        <v>950</v>
      </c>
      <c r="G376" t="s">
        <v>950</v>
      </c>
      <c r="H376" s="134" t="s">
        <v>2752</v>
      </c>
      <c r="I376" t="s">
        <v>2918</v>
      </c>
      <c r="J376" t="s">
        <v>683</v>
      </c>
      <c r="K376" t="s">
        <v>695</v>
      </c>
      <c r="L376" t="s">
        <v>988</v>
      </c>
      <c r="M376" t="s">
        <v>686</v>
      </c>
      <c r="N376" t="s">
        <v>687</v>
      </c>
      <c r="O376" t="s">
        <v>639</v>
      </c>
    </row>
    <row r="377" spans="1:15" hidden="1" x14ac:dyDescent="0.25">
      <c r="A377">
        <v>405</v>
      </c>
      <c r="B377" t="s">
        <v>2751</v>
      </c>
      <c r="C377" t="s">
        <v>659</v>
      </c>
      <c r="D377" t="s">
        <v>2832</v>
      </c>
      <c r="E377" t="s">
        <v>2718</v>
      </c>
      <c r="F377" t="s">
        <v>950</v>
      </c>
      <c r="G377" t="s">
        <v>950</v>
      </c>
      <c r="H377" s="134" t="s">
        <v>2752</v>
      </c>
      <c r="I377" t="s">
        <v>2918</v>
      </c>
      <c r="J377" t="s">
        <v>683</v>
      </c>
      <c r="K377" t="s">
        <v>684</v>
      </c>
      <c r="L377" t="s">
        <v>685</v>
      </c>
      <c r="M377" t="s">
        <v>686</v>
      </c>
      <c r="N377" t="s">
        <v>687</v>
      </c>
      <c r="O377" t="s">
        <v>639</v>
      </c>
    </row>
    <row r="378" spans="1:15" hidden="1" x14ac:dyDescent="0.25">
      <c r="A378">
        <v>407</v>
      </c>
      <c r="B378" t="s">
        <v>2813</v>
      </c>
      <c r="C378" t="s">
        <v>659</v>
      </c>
      <c r="D378" t="s">
        <v>2833</v>
      </c>
      <c r="E378" t="s">
        <v>1236</v>
      </c>
      <c r="F378" t="s">
        <v>1428</v>
      </c>
      <c r="G378" t="s">
        <v>766</v>
      </c>
      <c r="H378" s="134" t="s">
        <v>2815</v>
      </c>
      <c r="I378" t="s">
        <v>3307</v>
      </c>
      <c r="J378" t="s">
        <v>683</v>
      </c>
      <c r="K378" t="s">
        <v>695</v>
      </c>
      <c r="L378" t="s">
        <v>685</v>
      </c>
      <c r="N378" t="s">
        <v>639</v>
      </c>
      <c r="O378" t="s">
        <v>639</v>
      </c>
    </row>
    <row r="379" spans="1:15" hidden="1" x14ac:dyDescent="0.25">
      <c r="A379">
        <v>408</v>
      </c>
      <c r="B379" t="s">
        <v>2820</v>
      </c>
      <c r="C379" t="s">
        <v>1247</v>
      </c>
      <c r="D379" t="s">
        <v>3145</v>
      </c>
      <c r="E379" t="s">
        <v>1236</v>
      </c>
      <c r="F379" t="s">
        <v>717</v>
      </c>
      <c r="G379" t="s">
        <v>766</v>
      </c>
      <c r="H379" s="134" t="s">
        <v>2815</v>
      </c>
      <c r="J379" t="s">
        <v>858</v>
      </c>
      <c r="K379" t="s">
        <v>684</v>
      </c>
      <c r="M379" t="s">
        <v>686</v>
      </c>
      <c r="N379" t="s">
        <v>687</v>
      </c>
      <c r="O379" t="s">
        <v>639</v>
      </c>
    </row>
    <row r="380" spans="1:15" hidden="1" x14ac:dyDescent="0.25">
      <c r="A380">
        <v>409</v>
      </c>
      <c r="B380" t="s">
        <v>2826</v>
      </c>
      <c r="C380" t="s">
        <v>1247</v>
      </c>
      <c r="D380" t="s">
        <v>2835</v>
      </c>
      <c r="E380" t="s">
        <v>1855</v>
      </c>
      <c r="F380" t="s">
        <v>766</v>
      </c>
      <c r="G380" t="s">
        <v>766</v>
      </c>
      <c r="H380" s="134" t="s">
        <v>2815</v>
      </c>
      <c r="J380" t="s">
        <v>956</v>
      </c>
      <c r="K380" t="s">
        <v>692</v>
      </c>
      <c r="M380" t="s">
        <v>686</v>
      </c>
      <c r="N380" t="s">
        <v>687</v>
      </c>
      <c r="O380" t="s">
        <v>639</v>
      </c>
    </row>
    <row r="381" spans="1:15" hidden="1" x14ac:dyDescent="0.25">
      <c r="A381">
        <v>409</v>
      </c>
      <c r="B381" t="s">
        <v>2826</v>
      </c>
      <c r="C381" t="s">
        <v>1247</v>
      </c>
      <c r="D381" t="s">
        <v>2834</v>
      </c>
      <c r="E381" t="s">
        <v>1236</v>
      </c>
      <c r="F381" t="s">
        <v>766</v>
      </c>
      <c r="G381" t="s">
        <v>766</v>
      </c>
      <c r="H381" s="134" t="s">
        <v>2815</v>
      </c>
      <c r="J381" t="s">
        <v>956</v>
      </c>
      <c r="K381" t="s">
        <v>692</v>
      </c>
      <c r="M381" t="s">
        <v>686</v>
      </c>
      <c r="N381" t="s">
        <v>687</v>
      </c>
      <c r="O381" t="s">
        <v>639</v>
      </c>
    </row>
    <row r="382" spans="1:15" hidden="1" x14ac:dyDescent="0.25">
      <c r="A382">
        <v>412</v>
      </c>
      <c r="B382" t="s">
        <v>2867</v>
      </c>
      <c r="C382" t="s">
        <v>659</v>
      </c>
      <c r="D382" t="s">
        <v>2876</v>
      </c>
      <c r="E382" t="s">
        <v>717</v>
      </c>
      <c r="F382" t="s">
        <v>1037</v>
      </c>
      <c r="G382" t="s">
        <v>1236</v>
      </c>
      <c r="H382" s="134" t="s">
        <v>1275</v>
      </c>
      <c r="J382" t="s">
        <v>956</v>
      </c>
      <c r="K382" t="s">
        <v>684</v>
      </c>
      <c r="N382" t="s">
        <v>639</v>
      </c>
      <c r="O382" t="s">
        <v>639</v>
      </c>
    </row>
    <row r="383" spans="1:15" hidden="1" x14ac:dyDescent="0.25">
      <c r="A383">
        <v>419</v>
      </c>
      <c r="B383" t="s">
        <v>2908</v>
      </c>
      <c r="C383" t="s">
        <v>1247</v>
      </c>
      <c r="D383" t="s">
        <v>3353</v>
      </c>
      <c r="E383" t="s">
        <v>2910</v>
      </c>
      <c r="F383" t="s">
        <v>2070</v>
      </c>
      <c r="G383" t="s">
        <v>2781</v>
      </c>
      <c r="H383" s="134"/>
      <c r="J383" t="s">
        <v>858</v>
      </c>
      <c r="N383" t="s">
        <v>639</v>
      </c>
      <c r="O383" t="s">
        <v>639</v>
      </c>
    </row>
    <row r="384" spans="1:15" hidden="1" x14ac:dyDescent="0.25">
      <c r="A384">
        <v>419</v>
      </c>
      <c r="B384" t="s">
        <v>2908</v>
      </c>
      <c r="C384" t="s">
        <v>1247</v>
      </c>
      <c r="D384" t="s">
        <v>3354</v>
      </c>
      <c r="E384" t="s">
        <v>3338</v>
      </c>
      <c r="F384" t="s">
        <v>2070</v>
      </c>
      <c r="G384" t="s">
        <v>2781</v>
      </c>
      <c r="H384" s="134"/>
      <c r="J384" t="s">
        <v>858</v>
      </c>
      <c r="N384" t="s">
        <v>639</v>
      </c>
      <c r="O384" t="s">
        <v>639</v>
      </c>
    </row>
    <row r="385" spans="1:15" hidden="1" x14ac:dyDescent="0.25">
      <c r="A385">
        <v>419</v>
      </c>
      <c r="B385" t="s">
        <v>2908</v>
      </c>
      <c r="C385" t="s">
        <v>1247</v>
      </c>
      <c r="D385" t="s">
        <v>3354</v>
      </c>
      <c r="E385" t="s">
        <v>2070</v>
      </c>
      <c r="G385" t="s">
        <v>2781</v>
      </c>
      <c r="H385" s="134"/>
      <c r="J385" t="s">
        <v>858</v>
      </c>
      <c r="N385" t="s">
        <v>639</v>
      </c>
      <c r="O385" t="s">
        <v>639</v>
      </c>
    </row>
    <row r="386" spans="1:15" hidden="1" x14ac:dyDescent="0.25">
      <c r="A386">
        <v>419</v>
      </c>
      <c r="B386" t="s">
        <v>2908</v>
      </c>
      <c r="C386" t="s">
        <v>1247</v>
      </c>
      <c r="D386" t="s">
        <v>3355</v>
      </c>
      <c r="E386" t="s">
        <v>2070</v>
      </c>
      <c r="G386" t="s">
        <v>2781</v>
      </c>
      <c r="H386" s="134"/>
      <c r="I386" t="s">
        <v>3356</v>
      </c>
      <c r="J386" t="s">
        <v>858</v>
      </c>
      <c r="N386" t="s">
        <v>639</v>
      </c>
      <c r="O386" t="s">
        <v>639</v>
      </c>
    </row>
    <row r="387" spans="1:15" hidden="1" x14ac:dyDescent="0.25">
      <c r="A387">
        <v>425</v>
      </c>
      <c r="B387" t="s">
        <v>3132</v>
      </c>
      <c r="C387" t="s">
        <v>659</v>
      </c>
      <c r="D387" t="s">
        <v>3210</v>
      </c>
      <c r="E387" t="s">
        <v>698</v>
      </c>
      <c r="F387" t="s">
        <v>3133</v>
      </c>
      <c r="G387" t="s">
        <v>3133</v>
      </c>
      <c r="H387" s="134" t="s">
        <v>3137</v>
      </c>
      <c r="I387" t="s">
        <v>3142</v>
      </c>
      <c r="J387" t="s">
        <v>858</v>
      </c>
      <c r="N387" t="s">
        <v>687</v>
      </c>
      <c r="O387" t="s">
        <v>639</v>
      </c>
    </row>
    <row r="388" spans="1:15" hidden="1" x14ac:dyDescent="0.25">
      <c r="A388">
        <v>432</v>
      </c>
      <c r="B388" t="s">
        <v>3200</v>
      </c>
      <c r="C388" t="s">
        <v>659</v>
      </c>
      <c r="D388" t="s">
        <v>3211</v>
      </c>
      <c r="E388" t="s">
        <v>2059</v>
      </c>
      <c r="F388" t="s">
        <v>875</v>
      </c>
      <c r="G388" t="s">
        <v>875</v>
      </c>
      <c r="H388" s="134" t="s">
        <v>3204</v>
      </c>
      <c r="I388" t="s">
        <v>3212</v>
      </c>
      <c r="J388" t="s">
        <v>858</v>
      </c>
      <c r="K388" t="s">
        <v>695</v>
      </c>
      <c r="M388" t="s">
        <v>686</v>
      </c>
      <c r="N388" t="s">
        <v>687</v>
      </c>
      <c r="O388" t="s">
        <v>639</v>
      </c>
    </row>
    <row r="389" spans="1:15" hidden="1" x14ac:dyDescent="0.25">
      <c r="A389">
        <v>436</v>
      </c>
      <c r="B389" t="s">
        <v>3223</v>
      </c>
      <c r="C389" t="s">
        <v>659</v>
      </c>
      <c r="D389" t="s">
        <v>3308</v>
      </c>
      <c r="E389" t="s">
        <v>3228</v>
      </c>
      <c r="F389" t="s">
        <v>766</v>
      </c>
      <c r="G389" t="s">
        <v>3228</v>
      </c>
      <c r="H389" s="134" t="s">
        <v>3229</v>
      </c>
      <c r="I389" t="s">
        <v>3307</v>
      </c>
      <c r="J389" t="s">
        <v>683</v>
      </c>
      <c r="K389" t="s">
        <v>684</v>
      </c>
      <c r="L389" t="s">
        <v>685</v>
      </c>
      <c r="N389" t="s">
        <v>687</v>
      </c>
      <c r="O389" t="s">
        <v>639</v>
      </c>
    </row>
    <row r="390" spans="1:15" hidden="1" x14ac:dyDescent="0.25">
      <c r="A390">
        <v>436</v>
      </c>
      <c r="B390" t="s">
        <v>3223</v>
      </c>
      <c r="C390" t="s">
        <v>659</v>
      </c>
      <c r="D390" t="s">
        <v>3309</v>
      </c>
      <c r="E390" t="s">
        <v>3228</v>
      </c>
      <c r="F390" t="s">
        <v>766</v>
      </c>
      <c r="G390" t="s">
        <v>3228</v>
      </c>
      <c r="H390" s="134" t="s">
        <v>3229</v>
      </c>
      <c r="I390" t="s">
        <v>3307</v>
      </c>
      <c r="J390" t="s">
        <v>683</v>
      </c>
      <c r="K390" t="s">
        <v>684</v>
      </c>
      <c r="L390" t="s">
        <v>685</v>
      </c>
      <c r="N390" t="s">
        <v>687</v>
      </c>
      <c r="O390" t="s">
        <v>639</v>
      </c>
    </row>
    <row r="391" spans="1:15" hidden="1" x14ac:dyDescent="0.25">
      <c r="A391">
        <v>436</v>
      </c>
      <c r="B391" t="s">
        <v>3223</v>
      </c>
      <c r="C391" t="s">
        <v>659</v>
      </c>
      <c r="D391" t="s">
        <v>3310</v>
      </c>
      <c r="E391" t="s">
        <v>3228</v>
      </c>
      <c r="F391" t="s">
        <v>766</v>
      </c>
      <c r="G391" t="s">
        <v>3228</v>
      </c>
      <c r="H391" s="134" t="s">
        <v>3229</v>
      </c>
      <c r="I391" t="s">
        <v>3307</v>
      </c>
      <c r="J391" t="s">
        <v>683</v>
      </c>
      <c r="K391" t="s">
        <v>684</v>
      </c>
      <c r="L391" t="s">
        <v>685</v>
      </c>
      <c r="N391" t="s">
        <v>687</v>
      </c>
      <c r="O391" t="s">
        <v>639</v>
      </c>
    </row>
    <row r="392" spans="1:15" x14ac:dyDescent="0.25">
      <c r="H392" s="134"/>
    </row>
    <row r="393" spans="1:15" x14ac:dyDescent="0.25">
      <c r="H393" s="134"/>
    </row>
    <row r="394" spans="1:15" x14ac:dyDescent="0.25">
      <c r="H394" s="134"/>
    </row>
    <row r="395" spans="1:15" x14ac:dyDescent="0.25">
      <c r="H395" s="134"/>
    </row>
    <row r="396" spans="1:15" x14ac:dyDescent="0.25">
      <c r="H396" s="134"/>
    </row>
    <row r="397" spans="1:15" x14ac:dyDescent="0.25">
      <c r="H397" s="134"/>
    </row>
    <row r="398" spans="1:15" x14ac:dyDescent="0.25">
      <c r="H398" s="134"/>
    </row>
    <row r="399" spans="1:15" x14ac:dyDescent="0.25">
      <c r="H399" s="134"/>
    </row>
    <row r="400" spans="1:15" x14ac:dyDescent="0.25">
      <c r="H400" s="134"/>
    </row>
    <row r="401" spans="8:8" x14ac:dyDescent="0.25">
      <c r="H401" s="134"/>
    </row>
    <row r="402" spans="8:8" x14ac:dyDescent="0.25">
      <c r="H402" s="134"/>
    </row>
    <row r="403" spans="8:8" x14ac:dyDescent="0.25">
      <c r="H403" s="134"/>
    </row>
    <row r="404" spans="8:8" x14ac:dyDescent="0.25">
      <c r="H404" s="134"/>
    </row>
    <row r="405" spans="8:8" x14ac:dyDescent="0.25">
      <c r="H405" s="134"/>
    </row>
    <row r="406" spans="8:8" x14ac:dyDescent="0.25">
      <c r="H406" s="134"/>
    </row>
    <row r="407" spans="8:8" x14ac:dyDescent="0.25">
      <c r="H407" s="134"/>
    </row>
    <row r="408" spans="8:8" x14ac:dyDescent="0.25">
      <c r="H408" s="134"/>
    </row>
    <row r="409" spans="8:8" x14ac:dyDescent="0.25">
      <c r="H409" s="134"/>
    </row>
    <row r="410" spans="8:8" x14ac:dyDescent="0.25">
      <c r="H410" s="134"/>
    </row>
    <row r="411" spans="8:8" x14ac:dyDescent="0.25">
      <c r="H411" s="134"/>
    </row>
    <row r="412" spans="8:8" x14ac:dyDescent="0.25">
      <c r="H412" s="134"/>
    </row>
    <row r="413" spans="8:8" x14ac:dyDescent="0.25">
      <c r="H413" s="134"/>
    </row>
    <row r="414" spans="8:8" x14ac:dyDescent="0.25">
      <c r="H414" s="134"/>
    </row>
    <row r="415" spans="8:8" x14ac:dyDescent="0.25">
      <c r="H415" s="134"/>
    </row>
    <row r="416" spans="8:8" x14ac:dyDescent="0.25">
      <c r="H416" s="134"/>
    </row>
    <row r="417" spans="8:8" x14ac:dyDescent="0.25">
      <c r="H417" s="134"/>
    </row>
    <row r="418" spans="8:8" x14ac:dyDescent="0.25">
      <c r="H418" s="134"/>
    </row>
    <row r="419" spans="8:8" x14ac:dyDescent="0.25">
      <c r="H419" s="134"/>
    </row>
    <row r="420" spans="8:8" x14ac:dyDescent="0.25">
      <c r="H420" s="134"/>
    </row>
    <row r="421" spans="8:8" x14ac:dyDescent="0.25">
      <c r="H421" s="134"/>
    </row>
    <row r="422" spans="8:8" x14ac:dyDescent="0.25">
      <c r="H422" s="134"/>
    </row>
    <row r="423" spans="8:8" x14ac:dyDescent="0.25">
      <c r="H423" s="134"/>
    </row>
    <row r="424" spans="8:8" x14ac:dyDescent="0.25">
      <c r="H424" s="134"/>
    </row>
    <row r="425" spans="8:8" x14ac:dyDescent="0.25">
      <c r="H425" s="134"/>
    </row>
    <row r="426" spans="8:8" x14ac:dyDescent="0.25">
      <c r="H426" s="134"/>
    </row>
    <row r="427" spans="8:8" x14ac:dyDescent="0.25">
      <c r="H427" s="134"/>
    </row>
    <row r="428" spans="8:8" x14ac:dyDescent="0.25">
      <c r="H428" s="134"/>
    </row>
    <row r="429" spans="8:8" x14ac:dyDescent="0.25">
      <c r="H429" s="134"/>
    </row>
    <row r="430" spans="8:8" x14ac:dyDescent="0.25">
      <c r="H430" s="134"/>
    </row>
    <row r="431" spans="8:8" x14ac:dyDescent="0.25">
      <c r="H431" s="134"/>
    </row>
    <row r="432" spans="8:8" x14ac:dyDescent="0.25">
      <c r="H432" s="134"/>
    </row>
    <row r="433" spans="8:8" x14ac:dyDescent="0.25">
      <c r="H433" s="134"/>
    </row>
    <row r="434" spans="8:8" x14ac:dyDescent="0.25">
      <c r="H434" s="134"/>
    </row>
    <row r="435" spans="8:8" x14ac:dyDescent="0.25">
      <c r="H435" s="134"/>
    </row>
    <row r="436" spans="8:8" x14ac:dyDescent="0.25">
      <c r="H436" s="134"/>
    </row>
    <row r="437" spans="8:8" x14ac:dyDescent="0.25">
      <c r="H437" s="134"/>
    </row>
    <row r="438" spans="8:8" x14ac:dyDescent="0.25">
      <c r="H438" s="134"/>
    </row>
    <row r="439" spans="8:8" x14ac:dyDescent="0.25">
      <c r="H439" s="134"/>
    </row>
    <row r="440" spans="8:8" x14ac:dyDescent="0.25">
      <c r="H440" s="134"/>
    </row>
    <row r="441" spans="8:8" x14ac:dyDescent="0.25">
      <c r="H441" s="134"/>
    </row>
    <row r="442" spans="8:8" x14ac:dyDescent="0.25">
      <c r="H442" s="134"/>
    </row>
    <row r="443" spans="8:8" x14ac:dyDescent="0.25">
      <c r="H443" s="134"/>
    </row>
    <row r="444" spans="8:8" x14ac:dyDescent="0.25">
      <c r="H444" s="134"/>
    </row>
    <row r="445" spans="8:8" x14ac:dyDescent="0.25">
      <c r="H445" s="134"/>
    </row>
    <row r="446" spans="8:8" x14ac:dyDescent="0.25">
      <c r="H446" s="134"/>
    </row>
    <row r="447" spans="8:8" x14ac:dyDescent="0.25">
      <c r="H447" s="134"/>
    </row>
    <row r="448" spans="8:8" x14ac:dyDescent="0.25">
      <c r="H448" s="134"/>
    </row>
    <row r="449" spans="8:8" x14ac:dyDescent="0.25">
      <c r="H449" s="134"/>
    </row>
    <row r="450" spans="8:8" x14ac:dyDescent="0.25">
      <c r="H450" s="134"/>
    </row>
    <row r="451" spans="8:8" x14ac:dyDescent="0.25">
      <c r="H451" s="134"/>
    </row>
    <row r="452" spans="8:8" x14ac:dyDescent="0.25">
      <c r="H452" s="134"/>
    </row>
    <row r="453" spans="8:8" x14ac:dyDescent="0.25">
      <c r="H453" s="134"/>
    </row>
    <row r="454" spans="8:8" x14ac:dyDescent="0.25">
      <c r="H454" s="134"/>
    </row>
    <row r="455" spans="8:8" x14ac:dyDescent="0.25">
      <c r="H455" s="134"/>
    </row>
    <row r="456" spans="8:8" x14ac:dyDescent="0.25">
      <c r="H456" s="134"/>
    </row>
    <row r="457" spans="8:8" x14ac:dyDescent="0.25">
      <c r="H457" s="134"/>
    </row>
    <row r="458" spans="8:8" x14ac:dyDescent="0.25">
      <c r="H458" s="134"/>
    </row>
    <row r="459" spans="8:8" x14ac:dyDescent="0.25">
      <c r="H459" s="134"/>
    </row>
    <row r="460" spans="8:8" x14ac:dyDescent="0.25">
      <c r="H460" s="134"/>
    </row>
    <row r="461" spans="8:8" x14ac:dyDescent="0.25">
      <c r="H461" s="134"/>
    </row>
    <row r="462" spans="8:8" x14ac:dyDescent="0.25">
      <c r="H462" s="134"/>
    </row>
    <row r="463" spans="8:8" x14ac:dyDescent="0.25">
      <c r="H463" s="134"/>
    </row>
    <row r="464" spans="8:8" x14ac:dyDescent="0.25">
      <c r="H464" s="134"/>
    </row>
    <row r="465" spans="8:8" x14ac:dyDescent="0.25">
      <c r="H465" s="134"/>
    </row>
    <row r="466" spans="8:8" x14ac:dyDescent="0.25">
      <c r="H466" s="134"/>
    </row>
    <row r="467" spans="8:8" x14ac:dyDescent="0.25">
      <c r="H467" s="134"/>
    </row>
    <row r="468" spans="8:8" x14ac:dyDescent="0.25">
      <c r="H468" s="134"/>
    </row>
    <row r="469" spans="8:8" x14ac:dyDescent="0.25">
      <c r="H469" s="134"/>
    </row>
    <row r="470" spans="8:8" x14ac:dyDescent="0.25">
      <c r="H470" s="134"/>
    </row>
    <row r="471" spans="8:8" x14ac:dyDescent="0.25">
      <c r="H471" s="134"/>
    </row>
    <row r="472" spans="8:8" x14ac:dyDescent="0.25">
      <c r="H472" s="134"/>
    </row>
    <row r="473" spans="8:8" x14ac:dyDescent="0.25">
      <c r="H473" s="134"/>
    </row>
    <row r="474" spans="8:8" x14ac:dyDescent="0.25">
      <c r="H474" s="134"/>
    </row>
    <row r="475" spans="8:8" x14ac:dyDescent="0.25">
      <c r="H475" s="134"/>
    </row>
    <row r="476" spans="8:8" x14ac:dyDescent="0.25">
      <c r="H476" s="134"/>
    </row>
    <row r="477" spans="8:8" x14ac:dyDescent="0.25">
      <c r="H477" s="134"/>
    </row>
    <row r="478" spans="8:8" x14ac:dyDescent="0.25">
      <c r="H478" s="134"/>
    </row>
    <row r="479" spans="8:8" x14ac:dyDescent="0.25">
      <c r="H479" s="134"/>
    </row>
    <row r="480" spans="8:8" x14ac:dyDescent="0.25">
      <c r="H480" s="134"/>
    </row>
    <row r="481" spans="8:8" x14ac:dyDescent="0.25">
      <c r="H481" s="134"/>
    </row>
    <row r="482" spans="8:8" x14ac:dyDescent="0.25">
      <c r="H482" s="134"/>
    </row>
    <row r="483" spans="8:8" x14ac:dyDescent="0.25">
      <c r="H483" s="134"/>
    </row>
    <row r="484" spans="8:8" x14ac:dyDescent="0.25">
      <c r="H484" s="134"/>
    </row>
    <row r="485" spans="8:8" x14ac:dyDescent="0.25">
      <c r="H485" s="134"/>
    </row>
    <row r="486" spans="8:8" x14ac:dyDescent="0.25">
      <c r="H486" s="134"/>
    </row>
    <row r="487" spans="8:8" x14ac:dyDescent="0.25">
      <c r="H487" s="134"/>
    </row>
    <row r="488" spans="8:8" x14ac:dyDescent="0.25">
      <c r="H488" s="134"/>
    </row>
    <row r="489" spans="8:8" x14ac:dyDescent="0.25">
      <c r="H489" s="134"/>
    </row>
    <row r="490" spans="8:8" x14ac:dyDescent="0.25">
      <c r="H490" s="134"/>
    </row>
    <row r="491" spans="8:8" x14ac:dyDescent="0.25">
      <c r="H491" s="134"/>
    </row>
    <row r="492" spans="8:8" x14ac:dyDescent="0.25">
      <c r="H492" s="134"/>
    </row>
    <row r="493" spans="8:8" x14ac:dyDescent="0.25">
      <c r="H493" s="134"/>
    </row>
    <row r="494" spans="8:8" x14ac:dyDescent="0.25">
      <c r="H494" s="134"/>
    </row>
    <row r="495" spans="8:8" x14ac:dyDescent="0.25">
      <c r="H495" s="134"/>
    </row>
    <row r="496" spans="8:8" x14ac:dyDescent="0.25">
      <c r="H496" s="134"/>
    </row>
    <row r="497" spans="8:8" x14ac:dyDescent="0.25">
      <c r="H497" s="134"/>
    </row>
    <row r="498" spans="8:8" x14ac:dyDescent="0.25">
      <c r="H498" s="134"/>
    </row>
    <row r="499" spans="8:8" x14ac:dyDescent="0.25">
      <c r="H499" s="134"/>
    </row>
    <row r="500" spans="8:8" x14ac:dyDescent="0.25">
      <c r="H500" s="134"/>
    </row>
    <row r="501" spans="8:8" x14ac:dyDescent="0.25">
      <c r="H501" s="134"/>
    </row>
    <row r="502" spans="8:8" x14ac:dyDescent="0.25">
      <c r="H502" s="134"/>
    </row>
    <row r="503" spans="8:8" x14ac:dyDescent="0.25">
      <c r="H503" s="134"/>
    </row>
    <row r="504" spans="8:8" x14ac:dyDescent="0.25">
      <c r="H504" s="134"/>
    </row>
    <row r="505" spans="8:8" x14ac:dyDescent="0.25">
      <c r="H505" s="134"/>
    </row>
    <row r="506" spans="8:8" x14ac:dyDescent="0.25">
      <c r="H506" s="134"/>
    </row>
    <row r="507" spans="8:8" x14ac:dyDescent="0.25">
      <c r="H507" s="134"/>
    </row>
    <row r="508" spans="8:8" x14ac:dyDescent="0.25">
      <c r="H508" s="134"/>
    </row>
    <row r="509" spans="8:8" x14ac:dyDescent="0.25">
      <c r="H509" s="134"/>
    </row>
    <row r="510" spans="8:8" x14ac:dyDescent="0.25">
      <c r="H510" s="134"/>
    </row>
    <row r="511" spans="8:8" x14ac:dyDescent="0.25">
      <c r="H511" s="134"/>
    </row>
    <row r="512" spans="8:8" x14ac:dyDescent="0.25">
      <c r="H512" s="134"/>
    </row>
    <row r="513" spans="8:8" x14ac:dyDescent="0.25">
      <c r="H513" s="134"/>
    </row>
    <row r="514" spans="8:8" x14ac:dyDescent="0.25">
      <c r="H514" s="134"/>
    </row>
    <row r="515" spans="8:8" x14ac:dyDescent="0.25">
      <c r="H515" s="134"/>
    </row>
    <row r="516" spans="8:8" x14ac:dyDescent="0.25">
      <c r="H516" s="134"/>
    </row>
    <row r="517" spans="8:8" x14ac:dyDescent="0.25">
      <c r="H517" s="134"/>
    </row>
    <row r="518" spans="8:8" x14ac:dyDescent="0.25">
      <c r="H518" s="134"/>
    </row>
    <row r="519" spans="8:8" x14ac:dyDescent="0.25">
      <c r="H519" s="134"/>
    </row>
    <row r="520" spans="8:8" x14ac:dyDescent="0.25">
      <c r="H520" s="134"/>
    </row>
    <row r="521" spans="8:8" x14ac:dyDescent="0.25">
      <c r="H521" s="134"/>
    </row>
    <row r="522" spans="8:8" x14ac:dyDescent="0.25">
      <c r="H522" s="134"/>
    </row>
    <row r="523" spans="8:8" x14ac:dyDescent="0.25">
      <c r="H523" s="134"/>
    </row>
    <row r="524" spans="8:8" x14ac:dyDescent="0.25">
      <c r="H524" s="134"/>
    </row>
    <row r="525" spans="8:8" x14ac:dyDescent="0.25">
      <c r="H525" s="134"/>
    </row>
    <row r="526" spans="8:8" x14ac:dyDescent="0.25">
      <c r="H526" s="134"/>
    </row>
    <row r="527" spans="8:8" x14ac:dyDescent="0.25">
      <c r="H527" s="134"/>
    </row>
    <row r="528" spans="8:8" x14ac:dyDescent="0.25">
      <c r="H528" s="134"/>
    </row>
    <row r="529" spans="8:8" x14ac:dyDescent="0.25">
      <c r="H529" s="134"/>
    </row>
    <row r="530" spans="8:8" x14ac:dyDescent="0.25">
      <c r="H530" s="134"/>
    </row>
    <row r="531" spans="8:8" x14ac:dyDescent="0.25">
      <c r="H531" s="134"/>
    </row>
    <row r="532" spans="8:8" x14ac:dyDescent="0.25">
      <c r="H532" s="134"/>
    </row>
    <row r="533" spans="8:8" x14ac:dyDescent="0.25">
      <c r="H533" s="134"/>
    </row>
    <row r="534" spans="8:8" x14ac:dyDescent="0.25">
      <c r="H534" s="134"/>
    </row>
    <row r="535" spans="8:8" x14ac:dyDescent="0.25">
      <c r="H535" s="134"/>
    </row>
    <row r="536" spans="8:8" x14ac:dyDescent="0.25">
      <c r="H536" s="134"/>
    </row>
    <row r="537" spans="8:8" x14ac:dyDescent="0.25">
      <c r="H537" s="134"/>
    </row>
    <row r="538" spans="8:8" x14ac:dyDescent="0.25">
      <c r="H538" s="134"/>
    </row>
    <row r="539" spans="8:8" x14ac:dyDescent="0.25">
      <c r="H539" s="134"/>
    </row>
    <row r="540" spans="8:8" x14ac:dyDescent="0.25">
      <c r="H540" s="134"/>
    </row>
    <row r="541" spans="8:8" x14ac:dyDescent="0.25">
      <c r="H541" s="134"/>
    </row>
    <row r="542" spans="8:8" x14ac:dyDescent="0.25">
      <c r="H542" s="134"/>
    </row>
    <row r="543" spans="8:8" x14ac:dyDescent="0.25">
      <c r="H543" s="134"/>
    </row>
    <row r="544" spans="8:8" x14ac:dyDescent="0.25">
      <c r="H544" s="134"/>
    </row>
    <row r="545" spans="8:8" x14ac:dyDescent="0.25">
      <c r="H545" s="134"/>
    </row>
    <row r="546" spans="8:8" x14ac:dyDescent="0.25">
      <c r="H546" s="134"/>
    </row>
    <row r="547" spans="8:8" x14ac:dyDescent="0.25">
      <c r="H547" s="134"/>
    </row>
    <row r="548" spans="8:8" x14ac:dyDescent="0.25">
      <c r="H548" s="134"/>
    </row>
    <row r="549" spans="8:8" x14ac:dyDescent="0.25">
      <c r="H549" s="134"/>
    </row>
    <row r="550" spans="8:8" x14ac:dyDescent="0.25">
      <c r="H550" s="134"/>
    </row>
    <row r="551" spans="8:8" x14ac:dyDescent="0.25">
      <c r="H551" s="134"/>
    </row>
    <row r="552" spans="8:8" x14ac:dyDescent="0.25">
      <c r="H552" s="134"/>
    </row>
    <row r="553" spans="8:8" x14ac:dyDescent="0.25">
      <c r="H553" s="134"/>
    </row>
    <row r="554" spans="8:8" x14ac:dyDescent="0.25">
      <c r="H554" s="134"/>
    </row>
    <row r="555" spans="8:8" x14ac:dyDescent="0.25">
      <c r="H555" s="134"/>
    </row>
    <row r="556" spans="8:8" x14ac:dyDescent="0.25">
      <c r="H556" s="134"/>
    </row>
    <row r="557" spans="8:8" x14ac:dyDescent="0.25">
      <c r="H557" s="134"/>
    </row>
    <row r="558" spans="8:8" x14ac:dyDescent="0.25">
      <c r="H558" s="134"/>
    </row>
    <row r="559" spans="8:8" x14ac:dyDescent="0.25">
      <c r="H559" s="134"/>
    </row>
    <row r="560" spans="8:8" x14ac:dyDescent="0.25">
      <c r="H560" s="134"/>
    </row>
    <row r="561" spans="8:8" x14ac:dyDescent="0.25">
      <c r="H561" s="134"/>
    </row>
    <row r="562" spans="8:8" x14ac:dyDescent="0.25">
      <c r="H562" s="134"/>
    </row>
    <row r="563" spans="8:8" x14ac:dyDescent="0.25">
      <c r="H563" s="134"/>
    </row>
    <row r="564" spans="8:8" x14ac:dyDescent="0.25">
      <c r="H564" s="134"/>
    </row>
    <row r="565" spans="8:8" x14ac:dyDescent="0.25">
      <c r="H565" s="134"/>
    </row>
    <row r="566" spans="8:8" x14ac:dyDescent="0.25">
      <c r="H566" s="134"/>
    </row>
    <row r="567" spans="8:8" x14ac:dyDescent="0.25">
      <c r="H567" s="134"/>
    </row>
    <row r="568" spans="8:8" x14ac:dyDescent="0.25">
      <c r="H568" s="134"/>
    </row>
    <row r="569" spans="8:8" x14ac:dyDescent="0.25">
      <c r="H569" s="134"/>
    </row>
    <row r="570" spans="8:8" x14ac:dyDescent="0.25">
      <c r="H570" s="134"/>
    </row>
    <row r="571" spans="8:8" x14ac:dyDescent="0.25">
      <c r="H571" s="134"/>
    </row>
    <row r="572" spans="8:8" x14ac:dyDescent="0.25">
      <c r="H572" s="134"/>
    </row>
    <row r="573" spans="8:8" x14ac:dyDescent="0.25">
      <c r="H573" s="134"/>
    </row>
    <row r="574" spans="8:8" x14ac:dyDescent="0.25">
      <c r="H574" s="134"/>
    </row>
    <row r="575" spans="8:8" x14ac:dyDescent="0.25">
      <c r="H575" s="134"/>
    </row>
    <row r="576" spans="8:8" x14ac:dyDescent="0.25">
      <c r="H576" s="134"/>
    </row>
    <row r="577" spans="8:8" x14ac:dyDescent="0.25">
      <c r="H577" s="134"/>
    </row>
    <row r="578" spans="8:8" x14ac:dyDescent="0.25">
      <c r="H578" s="134"/>
    </row>
    <row r="579" spans="8:8" x14ac:dyDescent="0.25">
      <c r="H579" s="134"/>
    </row>
    <row r="580" spans="8:8" x14ac:dyDescent="0.25">
      <c r="H580" s="134"/>
    </row>
    <row r="581" spans="8:8" x14ac:dyDescent="0.25">
      <c r="H581" s="134"/>
    </row>
    <row r="582" spans="8:8" x14ac:dyDescent="0.25">
      <c r="H582" s="134"/>
    </row>
    <row r="583" spans="8:8" x14ac:dyDescent="0.25">
      <c r="H583" s="134"/>
    </row>
    <row r="584" spans="8:8" x14ac:dyDescent="0.25">
      <c r="H584" s="134"/>
    </row>
    <row r="585" spans="8:8" x14ac:dyDescent="0.25">
      <c r="H585" s="134"/>
    </row>
    <row r="586" spans="8:8" x14ac:dyDescent="0.25">
      <c r="H586" s="134"/>
    </row>
    <row r="587" spans="8:8" x14ac:dyDescent="0.25">
      <c r="H587" s="134"/>
    </row>
    <row r="588" spans="8:8" x14ac:dyDescent="0.25">
      <c r="H588" s="134"/>
    </row>
    <row r="589" spans="8:8" x14ac:dyDescent="0.25">
      <c r="H589" s="134"/>
    </row>
    <row r="590" spans="8:8" x14ac:dyDescent="0.25">
      <c r="H590" s="134"/>
    </row>
    <row r="591" spans="8:8" x14ac:dyDescent="0.25">
      <c r="H591" s="134"/>
    </row>
    <row r="592" spans="8:8" x14ac:dyDescent="0.25">
      <c r="H592" s="134"/>
    </row>
    <row r="593" spans="8:8" x14ac:dyDescent="0.25">
      <c r="H593" s="134"/>
    </row>
    <row r="594" spans="8:8" x14ac:dyDescent="0.25">
      <c r="H594" s="134"/>
    </row>
    <row r="595" spans="8:8" x14ac:dyDescent="0.25">
      <c r="H595" s="134"/>
    </row>
    <row r="596" spans="8:8" x14ac:dyDescent="0.25">
      <c r="H596" s="134"/>
    </row>
    <row r="597" spans="8:8" x14ac:dyDescent="0.25">
      <c r="H597" s="134"/>
    </row>
    <row r="598" spans="8:8" x14ac:dyDescent="0.25">
      <c r="H598" s="134"/>
    </row>
    <row r="599" spans="8:8" x14ac:dyDescent="0.25">
      <c r="H599" s="134"/>
    </row>
    <row r="600" spans="8:8" x14ac:dyDescent="0.25">
      <c r="H600" s="134"/>
    </row>
    <row r="601" spans="8:8" x14ac:dyDescent="0.25">
      <c r="H601" s="134"/>
    </row>
    <row r="602" spans="8:8" x14ac:dyDescent="0.25">
      <c r="H602" s="134"/>
    </row>
    <row r="603" spans="8:8" x14ac:dyDescent="0.25">
      <c r="H603" s="134"/>
    </row>
    <row r="604" spans="8:8" x14ac:dyDescent="0.25">
      <c r="H604" s="134"/>
    </row>
    <row r="605" spans="8:8" x14ac:dyDescent="0.25">
      <c r="H605" s="134"/>
    </row>
    <row r="606" spans="8:8" x14ac:dyDescent="0.25">
      <c r="H606" s="134"/>
    </row>
    <row r="607" spans="8:8" x14ac:dyDescent="0.25">
      <c r="H607" s="134"/>
    </row>
    <row r="608" spans="8:8" x14ac:dyDescent="0.25">
      <c r="H608" s="134"/>
    </row>
    <row r="609" spans="8:8" x14ac:dyDescent="0.25">
      <c r="H609" s="134"/>
    </row>
    <row r="610" spans="8:8" x14ac:dyDescent="0.25">
      <c r="H610" s="134"/>
    </row>
    <row r="611" spans="8:8" x14ac:dyDescent="0.25">
      <c r="H611" s="134"/>
    </row>
    <row r="612" spans="8:8" x14ac:dyDescent="0.25">
      <c r="H612" s="134"/>
    </row>
    <row r="613" spans="8:8" x14ac:dyDescent="0.25">
      <c r="H613" s="134"/>
    </row>
    <row r="614" spans="8:8" x14ac:dyDescent="0.25">
      <c r="H614" s="134"/>
    </row>
    <row r="615" spans="8:8" x14ac:dyDescent="0.25">
      <c r="H615" s="134"/>
    </row>
    <row r="616" spans="8:8" x14ac:dyDescent="0.25">
      <c r="H616" s="134"/>
    </row>
    <row r="617" spans="8:8" x14ac:dyDescent="0.25">
      <c r="H617" s="134"/>
    </row>
    <row r="618" spans="8:8" x14ac:dyDescent="0.25">
      <c r="H618" s="134"/>
    </row>
    <row r="619" spans="8:8" x14ac:dyDescent="0.25">
      <c r="H619" s="134"/>
    </row>
    <row r="620" spans="8:8" x14ac:dyDescent="0.25">
      <c r="H620" s="134"/>
    </row>
    <row r="621" spans="8:8" x14ac:dyDescent="0.25">
      <c r="H621" s="134"/>
    </row>
    <row r="622" spans="8:8" x14ac:dyDescent="0.25">
      <c r="H622" s="134"/>
    </row>
    <row r="623" spans="8:8" x14ac:dyDescent="0.25">
      <c r="H623" s="134"/>
    </row>
    <row r="624" spans="8:8" x14ac:dyDescent="0.25">
      <c r="H624" s="134"/>
    </row>
    <row r="625" spans="8:8" x14ac:dyDescent="0.25">
      <c r="H625" s="134"/>
    </row>
    <row r="626" spans="8:8" x14ac:dyDescent="0.25">
      <c r="H626" s="134"/>
    </row>
    <row r="627" spans="8:8" x14ac:dyDescent="0.25">
      <c r="H627" s="134"/>
    </row>
    <row r="628" spans="8:8" x14ac:dyDescent="0.25">
      <c r="H628" s="134"/>
    </row>
    <row r="629" spans="8:8" x14ac:dyDescent="0.25">
      <c r="H629" s="134"/>
    </row>
    <row r="630" spans="8:8" x14ac:dyDescent="0.25">
      <c r="H630" s="134"/>
    </row>
    <row r="631" spans="8:8" x14ac:dyDescent="0.25">
      <c r="H631" s="134"/>
    </row>
    <row r="632" spans="8:8" x14ac:dyDescent="0.25">
      <c r="H632" s="134"/>
    </row>
    <row r="633" spans="8:8" x14ac:dyDescent="0.25">
      <c r="H633" s="134"/>
    </row>
    <row r="634" spans="8:8" x14ac:dyDescent="0.25">
      <c r="H634" s="134"/>
    </row>
    <row r="635" spans="8:8" x14ac:dyDescent="0.25">
      <c r="H635" s="134"/>
    </row>
    <row r="636" spans="8:8" x14ac:dyDescent="0.25">
      <c r="H636" s="134"/>
    </row>
    <row r="637" spans="8:8" x14ac:dyDescent="0.25">
      <c r="H637" s="134"/>
    </row>
    <row r="638" spans="8:8" x14ac:dyDescent="0.25">
      <c r="H638" s="134"/>
    </row>
    <row r="639" spans="8:8" x14ac:dyDescent="0.25">
      <c r="H639" s="134"/>
    </row>
    <row r="640" spans="8:8" x14ac:dyDescent="0.25">
      <c r="H640" s="134"/>
    </row>
    <row r="641" spans="8:8" x14ac:dyDescent="0.25">
      <c r="H641" s="134"/>
    </row>
    <row r="642" spans="8:8" x14ac:dyDescent="0.25">
      <c r="H642" s="134"/>
    </row>
    <row r="643" spans="8:8" x14ac:dyDescent="0.25">
      <c r="H643" s="134"/>
    </row>
    <row r="644" spans="8:8" x14ac:dyDescent="0.25">
      <c r="H644" s="134"/>
    </row>
    <row r="645" spans="8:8" x14ac:dyDescent="0.25">
      <c r="H645" s="134"/>
    </row>
    <row r="646" spans="8:8" x14ac:dyDescent="0.25">
      <c r="H646" s="134"/>
    </row>
    <row r="647" spans="8:8" x14ac:dyDescent="0.25">
      <c r="H647" s="134"/>
    </row>
    <row r="648" spans="8:8" x14ac:dyDescent="0.25">
      <c r="H648" s="134"/>
    </row>
    <row r="649" spans="8:8" x14ac:dyDescent="0.25">
      <c r="H649" s="134"/>
    </row>
    <row r="650" spans="8:8" x14ac:dyDescent="0.25">
      <c r="H650" s="134"/>
    </row>
    <row r="651" spans="8:8" x14ac:dyDescent="0.25">
      <c r="H651" s="134"/>
    </row>
    <row r="652" spans="8:8" x14ac:dyDescent="0.25">
      <c r="H652" s="134"/>
    </row>
    <row r="653" spans="8:8" x14ac:dyDescent="0.25">
      <c r="H653" s="134"/>
    </row>
    <row r="654" spans="8:8" x14ac:dyDescent="0.25">
      <c r="H654" s="134"/>
    </row>
    <row r="655" spans="8:8" x14ac:dyDescent="0.25">
      <c r="H655" s="134"/>
    </row>
    <row r="656" spans="8:8" x14ac:dyDescent="0.25">
      <c r="H656" s="134"/>
    </row>
    <row r="657" spans="8:8" x14ac:dyDescent="0.25">
      <c r="H657" s="134"/>
    </row>
    <row r="658" spans="8:8" x14ac:dyDescent="0.25">
      <c r="H658" s="134"/>
    </row>
    <row r="659" spans="8:8" x14ac:dyDescent="0.25">
      <c r="H659" s="134"/>
    </row>
    <row r="660" spans="8:8" x14ac:dyDescent="0.25">
      <c r="H660" s="134"/>
    </row>
    <row r="661" spans="8:8" x14ac:dyDescent="0.25">
      <c r="H661" s="134"/>
    </row>
    <row r="662" spans="8:8" x14ac:dyDescent="0.25">
      <c r="H662" s="134"/>
    </row>
    <row r="663" spans="8:8" x14ac:dyDescent="0.25">
      <c r="H663" s="134"/>
    </row>
    <row r="664" spans="8:8" x14ac:dyDescent="0.25">
      <c r="H664" s="134"/>
    </row>
    <row r="665" spans="8:8" x14ac:dyDescent="0.25">
      <c r="H665" s="134"/>
    </row>
    <row r="666" spans="8:8" x14ac:dyDescent="0.25">
      <c r="H666" s="134"/>
    </row>
    <row r="667" spans="8:8" x14ac:dyDescent="0.25">
      <c r="H667" s="134"/>
    </row>
    <row r="668" spans="8:8" x14ac:dyDescent="0.25">
      <c r="H668" s="134"/>
    </row>
    <row r="669" spans="8:8" x14ac:dyDescent="0.25">
      <c r="H669" s="134"/>
    </row>
    <row r="670" spans="8:8" x14ac:dyDescent="0.25">
      <c r="H670" s="134"/>
    </row>
    <row r="671" spans="8:8" x14ac:dyDescent="0.25">
      <c r="H671" s="134"/>
    </row>
    <row r="672" spans="8:8" x14ac:dyDescent="0.25">
      <c r="H672" s="134"/>
    </row>
    <row r="673" spans="8:8" x14ac:dyDescent="0.25">
      <c r="H673" s="134"/>
    </row>
    <row r="674" spans="8:8" x14ac:dyDescent="0.25">
      <c r="H674" s="134"/>
    </row>
    <row r="675" spans="8:8" x14ac:dyDescent="0.25">
      <c r="H675" s="134"/>
    </row>
    <row r="676" spans="8:8" x14ac:dyDescent="0.25">
      <c r="H676" s="134"/>
    </row>
    <row r="677" spans="8:8" x14ac:dyDescent="0.25">
      <c r="H677" s="134"/>
    </row>
    <row r="678" spans="8:8" x14ac:dyDescent="0.25">
      <c r="H678" s="134"/>
    </row>
    <row r="679" spans="8:8" x14ac:dyDescent="0.25">
      <c r="H679" s="134"/>
    </row>
    <row r="680" spans="8:8" x14ac:dyDescent="0.25">
      <c r="H680" s="134"/>
    </row>
    <row r="681" spans="8:8" x14ac:dyDescent="0.25">
      <c r="H681" s="134"/>
    </row>
    <row r="682" spans="8:8" x14ac:dyDescent="0.25">
      <c r="H682" s="134"/>
    </row>
    <row r="683" spans="8:8" x14ac:dyDescent="0.25">
      <c r="H683" s="134"/>
    </row>
    <row r="684" spans="8:8" x14ac:dyDescent="0.25">
      <c r="H684" s="134"/>
    </row>
    <row r="685" spans="8:8" x14ac:dyDescent="0.25">
      <c r="H685" s="134"/>
    </row>
    <row r="686" spans="8:8" x14ac:dyDescent="0.25">
      <c r="H686" s="134"/>
    </row>
    <row r="687" spans="8:8" x14ac:dyDescent="0.25">
      <c r="H687" s="134"/>
    </row>
    <row r="688" spans="8:8" x14ac:dyDescent="0.25">
      <c r="H688" s="134"/>
    </row>
    <row r="689" spans="8:8" x14ac:dyDescent="0.25">
      <c r="H689" s="134"/>
    </row>
    <row r="690" spans="8:8" x14ac:dyDescent="0.25">
      <c r="H690" s="134"/>
    </row>
    <row r="691" spans="8:8" x14ac:dyDescent="0.25">
      <c r="H691" s="134"/>
    </row>
    <row r="692" spans="8:8" x14ac:dyDescent="0.25">
      <c r="H692" s="134"/>
    </row>
    <row r="693" spans="8:8" x14ac:dyDescent="0.25">
      <c r="H693" s="134"/>
    </row>
    <row r="694" spans="8:8" x14ac:dyDescent="0.25">
      <c r="H694" s="134"/>
    </row>
    <row r="695" spans="8:8" x14ac:dyDescent="0.25">
      <c r="H695" s="134"/>
    </row>
    <row r="696" spans="8:8" x14ac:dyDescent="0.25">
      <c r="H696" s="134"/>
    </row>
    <row r="697" spans="8:8" x14ac:dyDescent="0.25">
      <c r="H697" s="134"/>
    </row>
    <row r="698" spans="8:8" x14ac:dyDescent="0.25">
      <c r="H698" s="134"/>
    </row>
    <row r="699" spans="8:8" x14ac:dyDescent="0.25">
      <c r="H699" s="134"/>
    </row>
    <row r="700" spans="8:8" x14ac:dyDescent="0.25">
      <c r="H700" s="134"/>
    </row>
    <row r="701" spans="8:8" x14ac:dyDescent="0.25">
      <c r="H701" s="134"/>
    </row>
    <row r="702" spans="8:8" x14ac:dyDescent="0.25">
      <c r="H702" s="134"/>
    </row>
    <row r="703" spans="8:8" x14ac:dyDescent="0.25">
      <c r="H703" s="134"/>
    </row>
    <row r="704" spans="8:8" x14ac:dyDescent="0.25">
      <c r="H704" s="134"/>
    </row>
    <row r="705" spans="8:8" x14ac:dyDescent="0.25">
      <c r="H705" s="134"/>
    </row>
    <row r="706" spans="8:8" x14ac:dyDescent="0.25">
      <c r="H706" s="134"/>
    </row>
    <row r="707" spans="8:8" x14ac:dyDescent="0.25">
      <c r="H707" s="134"/>
    </row>
    <row r="708" spans="8:8" x14ac:dyDescent="0.25">
      <c r="H708" s="134"/>
    </row>
    <row r="709" spans="8:8" x14ac:dyDescent="0.25">
      <c r="H709" s="134"/>
    </row>
    <row r="710" spans="8:8" x14ac:dyDescent="0.25">
      <c r="H710" s="134"/>
    </row>
    <row r="711" spans="8:8" x14ac:dyDescent="0.25">
      <c r="H711" s="134"/>
    </row>
    <row r="712" spans="8:8" x14ac:dyDescent="0.25">
      <c r="H712" s="134"/>
    </row>
    <row r="713" spans="8:8" x14ac:dyDescent="0.25">
      <c r="H713" s="134"/>
    </row>
    <row r="714" spans="8:8" x14ac:dyDescent="0.25">
      <c r="H714" s="134"/>
    </row>
    <row r="715" spans="8:8" x14ac:dyDescent="0.25">
      <c r="H715" s="134"/>
    </row>
    <row r="716" spans="8:8" x14ac:dyDescent="0.25">
      <c r="H716" s="134"/>
    </row>
    <row r="717" spans="8:8" x14ac:dyDescent="0.25">
      <c r="H717" s="134"/>
    </row>
    <row r="718" spans="8:8" x14ac:dyDescent="0.25">
      <c r="H718" s="134"/>
    </row>
    <row r="719" spans="8:8" x14ac:dyDescent="0.25">
      <c r="H719" s="134"/>
    </row>
    <row r="720" spans="8:8" x14ac:dyDescent="0.25">
      <c r="H720" s="134"/>
    </row>
    <row r="721" spans="8:8" x14ac:dyDescent="0.25">
      <c r="H721" s="134"/>
    </row>
    <row r="722" spans="8:8" x14ac:dyDescent="0.25">
      <c r="H722" s="134"/>
    </row>
    <row r="723" spans="8:8" x14ac:dyDescent="0.25">
      <c r="H723" s="134"/>
    </row>
    <row r="724" spans="8:8" x14ac:dyDescent="0.25">
      <c r="H724" s="134"/>
    </row>
    <row r="725" spans="8:8" x14ac:dyDescent="0.25">
      <c r="H725" s="134"/>
    </row>
    <row r="726" spans="8:8" x14ac:dyDescent="0.25">
      <c r="H726" s="134"/>
    </row>
    <row r="727" spans="8:8" x14ac:dyDescent="0.25">
      <c r="H727" s="134"/>
    </row>
    <row r="728" spans="8:8" x14ac:dyDescent="0.25">
      <c r="H728" s="134"/>
    </row>
    <row r="729" spans="8:8" x14ac:dyDescent="0.25">
      <c r="H729" s="134"/>
    </row>
    <row r="730" spans="8:8" x14ac:dyDescent="0.25">
      <c r="H730" s="134"/>
    </row>
    <row r="731" spans="8:8" x14ac:dyDescent="0.25">
      <c r="H731" s="134"/>
    </row>
    <row r="732" spans="8:8" x14ac:dyDescent="0.25">
      <c r="H732" s="134"/>
    </row>
    <row r="733" spans="8:8" x14ac:dyDescent="0.25">
      <c r="H733" s="134"/>
    </row>
    <row r="734" spans="8:8" x14ac:dyDescent="0.25">
      <c r="H734" s="134"/>
    </row>
    <row r="735" spans="8:8" x14ac:dyDescent="0.25">
      <c r="H735" s="134"/>
    </row>
    <row r="736" spans="8:8" x14ac:dyDescent="0.25">
      <c r="H736" s="134"/>
    </row>
    <row r="737" spans="8:8" x14ac:dyDescent="0.25">
      <c r="H737" s="134"/>
    </row>
    <row r="738" spans="8:8" x14ac:dyDescent="0.25">
      <c r="H738" s="134"/>
    </row>
    <row r="739" spans="8:8" x14ac:dyDescent="0.25">
      <c r="H739" s="134"/>
    </row>
    <row r="740" spans="8:8" x14ac:dyDescent="0.25">
      <c r="H740" s="134"/>
    </row>
    <row r="741" spans="8:8" x14ac:dyDescent="0.25">
      <c r="H741" s="134"/>
    </row>
    <row r="742" spans="8:8" x14ac:dyDescent="0.25">
      <c r="H742" s="134"/>
    </row>
    <row r="743" spans="8:8" x14ac:dyDescent="0.25">
      <c r="H743" s="134"/>
    </row>
    <row r="744" spans="8:8" x14ac:dyDescent="0.25">
      <c r="H744" s="134"/>
    </row>
    <row r="745" spans="8:8" x14ac:dyDescent="0.25">
      <c r="H745" s="134"/>
    </row>
    <row r="746" spans="8:8" x14ac:dyDescent="0.25">
      <c r="H746" s="134"/>
    </row>
    <row r="747" spans="8:8" x14ac:dyDescent="0.25">
      <c r="H747" s="134"/>
    </row>
    <row r="748" spans="8:8" x14ac:dyDescent="0.25">
      <c r="H748" s="134"/>
    </row>
    <row r="749" spans="8:8" x14ac:dyDescent="0.25">
      <c r="H749" s="134"/>
    </row>
    <row r="750" spans="8:8" x14ac:dyDescent="0.25">
      <c r="H750" s="134"/>
    </row>
    <row r="751" spans="8:8" x14ac:dyDescent="0.25">
      <c r="H751" s="134"/>
    </row>
    <row r="752" spans="8:8" x14ac:dyDescent="0.25">
      <c r="H752" s="134"/>
    </row>
    <row r="753" spans="8:8" x14ac:dyDescent="0.25">
      <c r="H753" s="134"/>
    </row>
    <row r="754" spans="8:8" x14ac:dyDescent="0.25">
      <c r="H754" s="134"/>
    </row>
    <row r="755" spans="8:8" x14ac:dyDescent="0.25">
      <c r="H755" s="134"/>
    </row>
    <row r="756" spans="8:8" x14ac:dyDescent="0.25">
      <c r="H756" s="134"/>
    </row>
    <row r="757" spans="8:8" x14ac:dyDescent="0.25">
      <c r="H757" s="134"/>
    </row>
    <row r="758" spans="8:8" x14ac:dyDescent="0.25">
      <c r="H758" s="134"/>
    </row>
    <row r="759" spans="8:8" x14ac:dyDescent="0.25">
      <c r="H759" s="134"/>
    </row>
    <row r="760" spans="8:8" x14ac:dyDescent="0.25">
      <c r="H760" s="134"/>
    </row>
    <row r="761" spans="8:8" x14ac:dyDescent="0.25">
      <c r="H761" s="134"/>
    </row>
    <row r="762" spans="8:8" x14ac:dyDescent="0.25">
      <c r="H762" s="134"/>
    </row>
    <row r="763" spans="8:8" x14ac:dyDescent="0.25">
      <c r="H763" s="134"/>
    </row>
    <row r="764" spans="8:8" x14ac:dyDescent="0.25">
      <c r="H764" s="134"/>
    </row>
    <row r="765" spans="8:8" x14ac:dyDescent="0.25">
      <c r="H765" s="134"/>
    </row>
    <row r="766" spans="8:8" x14ac:dyDescent="0.25">
      <c r="H766" s="134"/>
    </row>
    <row r="767" spans="8:8" x14ac:dyDescent="0.25">
      <c r="H767" s="134"/>
    </row>
    <row r="768" spans="8:8" x14ac:dyDescent="0.25">
      <c r="H768" s="134"/>
    </row>
    <row r="769" spans="8:8" x14ac:dyDescent="0.25">
      <c r="H769" s="134"/>
    </row>
    <row r="770" spans="8:8" x14ac:dyDescent="0.25">
      <c r="H770" s="134"/>
    </row>
    <row r="771" spans="8:8" x14ac:dyDescent="0.25">
      <c r="H771" s="134"/>
    </row>
    <row r="772" spans="8:8" x14ac:dyDescent="0.25">
      <c r="H772" s="134"/>
    </row>
    <row r="773" spans="8:8" x14ac:dyDescent="0.25">
      <c r="H773" s="134"/>
    </row>
    <row r="774" spans="8:8" x14ac:dyDescent="0.25">
      <c r="H774" s="134"/>
    </row>
    <row r="775" spans="8:8" x14ac:dyDescent="0.25">
      <c r="H775" s="134"/>
    </row>
    <row r="776" spans="8:8" x14ac:dyDescent="0.25">
      <c r="H776" s="134"/>
    </row>
    <row r="777" spans="8:8" x14ac:dyDescent="0.25">
      <c r="H777" s="134"/>
    </row>
    <row r="778" spans="8:8" x14ac:dyDescent="0.25">
      <c r="H778" s="134"/>
    </row>
    <row r="779" spans="8:8" x14ac:dyDescent="0.25">
      <c r="H779" s="134"/>
    </row>
    <row r="780" spans="8:8" x14ac:dyDescent="0.25">
      <c r="H780" s="134"/>
    </row>
    <row r="781" spans="8:8" x14ac:dyDescent="0.25">
      <c r="H781" s="134"/>
    </row>
    <row r="782" spans="8:8" x14ac:dyDescent="0.25">
      <c r="H782" s="134"/>
    </row>
    <row r="783" spans="8:8" x14ac:dyDescent="0.25">
      <c r="H783" s="134"/>
    </row>
    <row r="784" spans="8:8" x14ac:dyDescent="0.25">
      <c r="H784" s="134"/>
    </row>
    <row r="785" spans="8:8" x14ac:dyDescent="0.25">
      <c r="H785" s="134"/>
    </row>
    <row r="786" spans="8:8" x14ac:dyDescent="0.25">
      <c r="H786" s="134"/>
    </row>
    <row r="787" spans="8:8" x14ac:dyDescent="0.25">
      <c r="H787" s="134"/>
    </row>
    <row r="788" spans="8:8" x14ac:dyDescent="0.25">
      <c r="H788" s="134"/>
    </row>
    <row r="789" spans="8:8" x14ac:dyDescent="0.25">
      <c r="H789" s="134"/>
    </row>
    <row r="790" spans="8:8" x14ac:dyDescent="0.25">
      <c r="H790" s="134"/>
    </row>
    <row r="791" spans="8:8" x14ac:dyDescent="0.25">
      <c r="H791" s="134"/>
    </row>
    <row r="792" spans="8:8" x14ac:dyDescent="0.25">
      <c r="H792" s="134"/>
    </row>
    <row r="793" spans="8:8" x14ac:dyDescent="0.25">
      <c r="H793" s="134"/>
    </row>
    <row r="794" spans="8:8" x14ac:dyDescent="0.25">
      <c r="H794" s="134"/>
    </row>
    <row r="795" spans="8:8" x14ac:dyDescent="0.25">
      <c r="H795" s="134"/>
    </row>
    <row r="796" spans="8:8" x14ac:dyDescent="0.25">
      <c r="H796" s="134"/>
    </row>
    <row r="797" spans="8:8" x14ac:dyDescent="0.25">
      <c r="H797" s="134"/>
    </row>
    <row r="798" spans="8:8" x14ac:dyDescent="0.25">
      <c r="H798" s="134"/>
    </row>
    <row r="799" spans="8:8" x14ac:dyDescent="0.25">
      <c r="H799" s="134"/>
    </row>
    <row r="800" spans="8:8" x14ac:dyDescent="0.25">
      <c r="H800" s="134"/>
    </row>
    <row r="801" spans="8:8" x14ac:dyDescent="0.25">
      <c r="H801" s="134"/>
    </row>
    <row r="802" spans="8:8" x14ac:dyDescent="0.25">
      <c r="H802" s="134"/>
    </row>
    <row r="803" spans="8:8" x14ac:dyDescent="0.25">
      <c r="H803" s="134"/>
    </row>
    <row r="804" spans="8:8" x14ac:dyDescent="0.25">
      <c r="H804" s="134"/>
    </row>
    <row r="805" spans="8:8" x14ac:dyDescent="0.25">
      <c r="H805" s="134"/>
    </row>
    <row r="806" spans="8:8" x14ac:dyDescent="0.25">
      <c r="H806" s="134"/>
    </row>
    <row r="807" spans="8:8" x14ac:dyDescent="0.25">
      <c r="H807" s="134"/>
    </row>
    <row r="808" spans="8:8" x14ac:dyDescent="0.25">
      <c r="H808" s="134"/>
    </row>
    <row r="809" spans="8:8" x14ac:dyDescent="0.25">
      <c r="H809" s="134"/>
    </row>
    <row r="810" spans="8:8" x14ac:dyDescent="0.25">
      <c r="H810" s="134"/>
    </row>
    <row r="811" spans="8:8" x14ac:dyDescent="0.25">
      <c r="H811" s="134"/>
    </row>
    <row r="812" spans="8:8" x14ac:dyDescent="0.25">
      <c r="H812" s="134"/>
    </row>
    <row r="813" spans="8:8" x14ac:dyDescent="0.25">
      <c r="H813" s="134"/>
    </row>
    <row r="814" spans="8:8" x14ac:dyDescent="0.25">
      <c r="H814" s="134"/>
    </row>
    <row r="815" spans="8:8" x14ac:dyDescent="0.25">
      <c r="H815" s="134"/>
    </row>
    <row r="816" spans="8:8" x14ac:dyDescent="0.25">
      <c r="H816" s="134"/>
    </row>
    <row r="817" spans="8:8" x14ac:dyDescent="0.25">
      <c r="H817" s="134"/>
    </row>
    <row r="818" spans="8:8" x14ac:dyDescent="0.25">
      <c r="H818" s="134"/>
    </row>
    <row r="819" spans="8:8" x14ac:dyDescent="0.25">
      <c r="H819" s="134"/>
    </row>
    <row r="820" spans="8:8" x14ac:dyDescent="0.25">
      <c r="H820" s="134"/>
    </row>
    <row r="821" spans="8:8" x14ac:dyDescent="0.25">
      <c r="H821" s="134"/>
    </row>
    <row r="822" spans="8:8" x14ac:dyDescent="0.25">
      <c r="H822" s="134"/>
    </row>
    <row r="823" spans="8:8" x14ac:dyDescent="0.25">
      <c r="H823" s="134"/>
    </row>
    <row r="824" spans="8:8" x14ac:dyDescent="0.25">
      <c r="H824" s="134"/>
    </row>
    <row r="825" spans="8:8" x14ac:dyDescent="0.25">
      <c r="H825" s="134"/>
    </row>
    <row r="826" spans="8:8" x14ac:dyDescent="0.25">
      <c r="H826" s="134"/>
    </row>
    <row r="827" spans="8:8" x14ac:dyDescent="0.25">
      <c r="H827" s="134"/>
    </row>
    <row r="828" spans="8:8" x14ac:dyDescent="0.25">
      <c r="H828" s="134"/>
    </row>
    <row r="829" spans="8:8" x14ac:dyDescent="0.25">
      <c r="H829" s="134"/>
    </row>
    <row r="830" spans="8:8" x14ac:dyDescent="0.25">
      <c r="H830" s="134"/>
    </row>
    <row r="831" spans="8:8" x14ac:dyDescent="0.25">
      <c r="H831" s="134"/>
    </row>
    <row r="832" spans="8:8" x14ac:dyDescent="0.25">
      <c r="H832" s="134"/>
    </row>
    <row r="833" spans="8:8" x14ac:dyDescent="0.25">
      <c r="H833" s="134"/>
    </row>
    <row r="834" spans="8:8" x14ac:dyDescent="0.25">
      <c r="H834" s="134"/>
    </row>
    <row r="835" spans="8:8" x14ac:dyDescent="0.25">
      <c r="H835" s="134"/>
    </row>
    <row r="836" spans="8:8" x14ac:dyDescent="0.25">
      <c r="H836" s="134"/>
    </row>
    <row r="837" spans="8:8" x14ac:dyDescent="0.25">
      <c r="H837" s="134"/>
    </row>
    <row r="838" spans="8:8" x14ac:dyDescent="0.25">
      <c r="H838" s="134"/>
    </row>
    <row r="839" spans="8:8" x14ac:dyDescent="0.25">
      <c r="H839" s="134"/>
    </row>
    <row r="840" spans="8:8" x14ac:dyDescent="0.25">
      <c r="H840" s="134"/>
    </row>
    <row r="841" spans="8:8" x14ac:dyDescent="0.25">
      <c r="H841" s="134"/>
    </row>
    <row r="842" spans="8:8" x14ac:dyDescent="0.25">
      <c r="H842" s="134"/>
    </row>
    <row r="843" spans="8:8" x14ac:dyDescent="0.25">
      <c r="H843" s="134"/>
    </row>
    <row r="844" spans="8:8" x14ac:dyDescent="0.25">
      <c r="H844" s="134"/>
    </row>
    <row r="845" spans="8:8" x14ac:dyDescent="0.25">
      <c r="H845" s="134"/>
    </row>
    <row r="846" spans="8:8" x14ac:dyDescent="0.25">
      <c r="H846" s="134"/>
    </row>
    <row r="847" spans="8:8" x14ac:dyDescent="0.25">
      <c r="H847" s="134"/>
    </row>
    <row r="848" spans="8:8" x14ac:dyDescent="0.25">
      <c r="H848" s="134"/>
    </row>
    <row r="849" spans="8:8" x14ac:dyDescent="0.25">
      <c r="H849" s="134"/>
    </row>
    <row r="850" spans="8:8" x14ac:dyDescent="0.25">
      <c r="H850" s="134"/>
    </row>
    <row r="851" spans="8:8" x14ac:dyDescent="0.25">
      <c r="H851" s="134"/>
    </row>
    <row r="852" spans="8:8" x14ac:dyDescent="0.25">
      <c r="H852" s="134"/>
    </row>
    <row r="853" spans="8:8" x14ac:dyDescent="0.25">
      <c r="H853" s="134"/>
    </row>
    <row r="854" spans="8:8" x14ac:dyDescent="0.25">
      <c r="H854" s="134"/>
    </row>
    <row r="855" spans="8:8" x14ac:dyDescent="0.25">
      <c r="H855" s="134"/>
    </row>
    <row r="856" spans="8:8" x14ac:dyDescent="0.25">
      <c r="H856" s="134"/>
    </row>
    <row r="857" spans="8:8" x14ac:dyDescent="0.25">
      <c r="H857" s="134"/>
    </row>
    <row r="858" spans="8:8" x14ac:dyDescent="0.25">
      <c r="H858" s="134"/>
    </row>
    <row r="859" spans="8:8" x14ac:dyDescent="0.25">
      <c r="H859" s="134"/>
    </row>
    <row r="860" spans="8:8" x14ac:dyDescent="0.25">
      <c r="H860" s="134"/>
    </row>
    <row r="861" spans="8:8" x14ac:dyDescent="0.25">
      <c r="H861" s="134"/>
    </row>
    <row r="862" spans="8:8" x14ac:dyDescent="0.25">
      <c r="H862" s="134"/>
    </row>
    <row r="863" spans="8:8" x14ac:dyDescent="0.25">
      <c r="H863" s="134"/>
    </row>
    <row r="864" spans="8:8" x14ac:dyDescent="0.25">
      <c r="H864" s="134"/>
    </row>
    <row r="865" spans="8:8" x14ac:dyDescent="0.25">
      <c r="H865" s="134"/>
    </row>
    <row r="866" spans="8:8" x14ac:dyDescent="0.25">
      <c r="H866" s="134"/>
    </row>
    <row r="867" spans="8:8" x14ac:dyDescent="0.25">
      <c r="H867" s="134"/>
    </row>
    <row r="868" spans="8:8" x14ac:dyDescent="0.25">
      <c r="H868" s="134"/>
    </row>
    <row r="869" spans="8:8" x14ac:dyDescent="0.25">
      <c r="H869" s="134"/>
    </row>
    <row r="870" spans="8:8" x14ac:dyDescent="0.25">
      <c r="H870" s="134"/>
    </row>
    <row r="871" spans="8:8" x14ac:dyDescent="0.25">
      <c r="H871" s="134"/>
    </row>
    <row r="872" spans="8:8" x14ac:dyDescent="0.25">
      <c r="H872" s="134"/>
    </row>
    <row r="873" spans="8:8" x14ac:dyDescent="0.25">
      <c r="H873" s="134"/>
    </row>
    <row r="874" spans="8:8" x14ac:dyDescent="0.25">
      <c r="H874" s="134"/>
    </row>
    <row r="875" spans="8:8" x14ac:dyDescent="0.25">
      <c r="H875" s="134"/>
    </row>
    <row r="876" spans="8:8" x14ac:dyDescent="0.25">
      <c r="H876" s="134"/>
    </row>
    <row r="877" spans="8:8" x14ac:dyDescent="0.25">
      <c r="H877" s="134"/>
    </row>
    <row r="878" spans="8:8" x14ac:dyDescent="0.25">
      <c r="H878" s="134"/>
    </row>
    <row r="879" spans="8:8" x14ac:dyDescent="0.25">
      <c r="H879" s="134"/>
    </row>
    <row r="880" spans="8:8" x14ac:dyDescent="0.25">
      <c r="H880" s="134"/>
    </row>
    <row r="881" spans="8:8" x14ac:dyDescent="0.25">
      <c r="H881" s="134"/>
    </row>
    <row r="882" spans="8:8" x14ac:dyDescent="0.25">
      <c r="H882" s="134"/>
    </row>
    <row r="883" spans="8:8" x14ac:dyDescent="0.25">
      <c r="H883" s="134"/>
    </row>
    <row r="884" spans="8:8" x14ac:dyDescent="0.25">
      <c r="H884" s="134"/>
    </row>
    <row r="885" spans="8:8" x14ac:dyDescent="0.25">
      <c r="H885" s="134"/>
    </row>
    <row r="886" spans="8:8" x14ac:dyDescent="0.25">
      <c r="H886" s="134"/>
    </row>
    <row r="887" spans="8:8" x14ac:dyDescent="0.25">
      <c r="H887" s="134"/>
    </row>
    <row r="888" spans="8:8" x14ac:dyDescent="0.25">
      <c r="H888" s="134"/>
    </row>
    <row r="889" spans="8:8" x14ac:dyDescent="0.25">
      <c r="H889" s="134"/>
    </row>
    <row r="890" spans="8:8" x14ac:dyDescent="0.25">
      <c r="H890" s="134"/>
    </row>
    <row r="891" spans="8:8" x14ac:dyDescent="0.25">
      <c r="H891" s="134"/>
    </row>
    <row r="892" spans="8:8" x14ac:dyDescent="0.25">
      <c r="H892" s="134"/>
    </row>
    <row r="893" spans="8:8" x14ac:dyDescent="0.25">
      <c r="H893" s="134"/>
    </row>
    <row r="894" spans="8:8" x14ac:dyDescent="0.25">
      <c r="H894" s="134"/>
    </row>
    <row r="895" spans="8:8" x14ac:dyDescent="0.25">
      <c r="H895" s="134"/>
    </row>
    <row r="896" spans="8:8" x14ac:dyDescent="0.25">
      <c r="H896" s="134"/>
    </row>
    <row r="897" spans="8:8" x14ac:dyDescent="0.25">
      <c r="H897" s="134"/>
    </row>
    <row r="898" spans="8:8" x14ac:dyDescent="0.25">
      <c r="H898" s="134"/>
    </row>
    <row r="899" spans="8:8" x14ac:dyDescent="0.25">
      <c r="H899" s="134"/>
    </row>
    <row r="900" spans="8:8" x14ac:dyDescent="0.25">
      <c r="H900" s="134"/>
    </row>
    <row r="901" spans="8:8" x14ac:dyDescent="0.25">
      <c r="H901" s="134"/>
    </row>
    <row r="902" spans="8:8" x14ac:dyDescent="0.25">
      <c r="H902" s="134"/>
    </row>
    <row r="903" spans="8:8" x14ac:dyDescent="0.25">
      <c r="H903" s="134"/>
    </row>
    <row r="904" spans="8:8" x14ac:dyDescent="0.25">
      <c r="H904" s="134"/>
    </row>
    <row r="905" spans="8:8" x14ac:dyDescent="0.25">
      <c r="H905" s="134"/>
    </row>
    <row r="906" spans="8:8" x14ac:dyDescent="0.25">
      <c r="H906" s="134"/>
    </row>
    <row r="907" spans="8:8" x14ac:dyDescent="0.25">
      <c r="H907" s="134"/>
    </row>
    <row r="908" spans="8:8" x14ac:dyDescent="0.25">
      <c r="H908" s="134"/>
    </row>
    <row r="909" spans="8:8" x14ac:dyDescent="0.25">
      <c r="H909" s="134"/>
    </row>
    <row r="910" spans="8:8" x14ac:dyDescent="0.25">
      <c r="H910" s="134"/>
    </row>
    <row r="911" spans="8:8" x14ac:dyDescent="0.25">
      <c r="H911" s="134"/>
    </row>
    <row r="912" spans="8:8" x14ac:dyDescent="0.25">
      <c r="H912" s="134"/>
    </row>
    <row r="913" spans="8:8" x14ac:dyDescent="0.25">
      <c r="H913" s="134"/>
    </row>
    <row r="914" spans="8:8" x14ac:dyDescent="0.25">
      <c r="H914" s="134"/>
    </row>
    <row r="915" spans="8:8" x14ac:dyDescent="0.25">
      <c r="H915" s="134"/>
    </row>
    <row r="916" spans="8:8" x14ac:dyDescent="0.25">
      <c r="H916" s="134"/>
    </row>
    <row r="917" spans="8:8" x14ac:dyDescent="0.25">
      <c r="H917" s="134"/>
    </row>
    <row r="918" spans="8:8" x14ac:dyDescent="0.25">
      <c r="H918" s="134"/>
    </row>
    <row r="919" spans="8:8" x14ac:dyDescent="0.25">
      <c r="H919" s="134"/>
    </row>
    <row r="920" spans="8:8" x14ac:dyDescent="0.25">
      <c r="H920" s="134"/>
    </row>
    <row r="921" spans="8:8" x14ac:dyDescent="0.25">
      <c r="H921" s="134"/>
    </row>
    <row r="922" spans="8:8" x14ac:dyDescent="0.25">
      <c r="H922" s="134"/>
    </row>
    <row r="923" spans="8:8" x14ac:dyDescent="0.25">
      <c r="H923" s="134"/>
    </row>
    <row r="924" spans="8:8" x14ac:dyDescent="0.25">
      <c r="H924" s="134"/>
    </row>
    <row r="925" spans="8:8" x14ac:dyDescent="0.25">
      <c r="H925" s="134"/>
    </row>
    <row r="926" spans="8:8" x14ac:dyDescent="0.25">
      <c r="H926" s="134"/>
    </row>
    <row r="927" spans="8:8" x14ac:dyDescent="0.25">
      <c r="H927" s="134"/>
    </row>
    <row r="928" spans="8:8" x14ac:dyDescent="0.25">
      <c r="H928" s="134"/>
    </row>
    <row r="929" spans="8:8" x14ac:dyDescent="0.25">
      <c r="H929" s="134"/>
    </row>
    <row r="930" spans="8:8" x14ac:dyDescent="0.25">
      <c r="H930" s="134"/>
    </row>
    <row r="931" spans="8:8" x14ac:dyDescent="0.25">
      <c r="H931" s="134"/>
    </row>
    <row r="932" spans="8:8" x14ac:dyDescent="0.25">
      <c r="H932" s="134"/>
    </row>
    <row r="933" spans="8:8" x14ac:dyDescent="0.25">
      <c r="H933" s="134"/>
    </row>
    <row r="934" spans="8:8" x14ac:dyDescent="0.25">
      <c r="H934" s="134"/>
    </row>
    <row r="935" spans="8:8" x14ac:dyDescent="0.25">
      <c r="H935" s="134"/>
    </row>
    <row r="936" spans="8:8" x14ac:dyDescent="0.25">
      <c r="H936" s="134"/>
    </row>
    <row r="937" spans="8:8" x14ac:dyDescent="0.25">
      <c r="H937" s="134"/>
    </row>
    <row r="938" spans="8:8" x14ac:dyDescent="0.25">
      <c r="H938" s="134"/>
    </row>
    <row r="939" spans="8:8" x14ac:dyDescent="0.25">
      <c r="H939" s="134"/>
    </row>
    <row r="940" spans="8:8" x14ac:dyDescent="0.25">
      <c r="H940" s="134"/>
    </row>
    <row r="941" spans="8:8" x14ac:dyDescent="0.25">
      <c r="H941" s="134"/>
    </row>
    <row r="942" spans="8:8" x14ac:dyDescent="0.25">
      <c r="H942" s="134"/>
    </row>
    <row r="943" spans="8:8" x14ac:dyDescent="0.25">
      <c r="H943" s="134"/>
    </row>
    <row r="944" spans="8:8" x14ac:dyDescent="0.25">
      <c r="H944" s="134"/>
    </row>
    <row r="945" spans="8:8" x14ac:dyDescent="0.25">
      <c r="H945" s="134"/>
    </row>
    <row r="946" spans="8:8" x14ac:dyDescent="0.25">
      <c r="H946" s="134"/>
    </row>
    <row r="947" spans="8:8" x14ac:dyDescent="0.25">
      <c r="H947" s="134"/>
    </row>
    <row r="948" spans="8:8" x14ac:dyDescent="0.25">
      <c r="H948" s="134"/>
    </row>
    <row r="949" spans="8:8" x14ac:dyDescent="0.25">
      <c r="H949" s="134"/>
    </row>
    <row r="950" spans="8:8" x14ac:dyDescent="0.25">
      <c r="H950" s="134"/>
    </row>
    <row r="951" spans="8:8" x14ac:dyDescent="0.25">
      <c r="H951" s="134"/>
    </row>
    <row r="952" spans="8:8" x14ac:dyDescent="0.25">
      <c r="H952" s="134"/>
    </row>
    <row r="953" spans="8:8" x14ac:dyDescent="0.25">
      <c r="H953" s="134"/>
    </row>
    <row r="954" spans="8:8" x14ac:dyDescent="0.25">
      <c r="H954" s="134"/>
    </row>
    <row r="955" spans="8:8" x14ac:dyDescent="0.25">
      <c r="H955" s="134"/>
    </row>
    <row r="956" spans="8:8" x14ac:dyDescent="0.25">
      <c r="H956" s="134"/>
    </row>
    <row r="957" spans="8:8" x14ac:dyDescent="0.25">
      <c r="H957" s="134"/>
    </row>
    <row r="958" spans="8:8" x14ac:dyDescent="0.25">
      <c r="H958" s="134"/>
    </row>
    <row r="959" spans="8:8" x14ac:dyDescent="0.25">
      <c r="H959" s="134"/>
    </row>
    <row r="960" spans="8:8" x14ac:dyDescent="0.25">
      <c r="H960" s="134"/>
    </row>
    <row r="961" spans="8:8" x14ac:dyDescent="0.25">
      <c r="H961" s="134"/>
    </row>
    <row r="962" spans="8:8" x14ac:dyDescent="0.25">
      <c r="H962" s="134"/>
    </row>
    <row r="963" spans="8:8" x14ac:dyDescent="0.25">
      <c r="H963" s="134"/>
    </row>
    <row r="964" spans="8:8" x14ac:dyDescent="0.25">
      <c r="H964" s="134"/>
    </row>
    <row r="965" spans="8:8" x14ac:dyDescent="0.25">
      <c r="H965" s="134"/>
    </row>
    <row r="966" spans="8:8" x14ac:dyDescent="0.25">
      <c r="H966" s="134"/>
    </row>
    <row r="967" spans="8:8" x14ac:dyDescent="0.25">
      <c r="H967" s="134"/>
    </row>
    <row r="968" spans="8:8" x14ac:dyDescent="0.25">
      <c r="H968" s="134"/>
    </row>
    <row r="969" spans="8:8" x14ac:dyDescent="0.25">
      <c r="H969" s="134"/>
    </row>
    <row r="970" spans="8:8" x14ac:dyDescent="0.25">
      <c r="H970" s="134"/>
    </row>
    <row r="971" spans="8:8" x14ac:dyDescent="0.25">
      <c r="H971" s="134"/>
    </row>
    <row r="972" spans="8:8" x14ac:dyDescent="0.25">
      <c r="H972" s="134"/>
    </row>
    <row r="973" spans="8:8" x14ac:dyDescent="0.25">
      <c r="H973" s="134"/>
    </row>
    <row r="974" spans="8:8" x14ac:dyDescent="0.25">
      <c r="H974" s="134"/>
    </row>
    <row r="975" spans="8:8" x14ac:dyDescent="0.25">
      <c r="H975" s="134"/>
    </row>
    <row r="976" spans="8:8" x14ac:dyDescent="0.25">
      <c r="H976" s="134"/>
    </row>
    <row r="977" spans="8:8" x14ac:dyDescent="0.25">
      <c r="H977" s="134"/>
    </row>
    <row r="978" spans="8:8" x14ac:dyDescent="0.25">
      <c r="H978" s="134"/>
    </row>
    <row r="979" spans="8:8" x14ac:dyDescent="0.25">
      <c r="H979" s="134"/>
    </row>
    <row r="980" spans="8:8" x14ac:dyDescent="0.25">
      <c r="H980" s="134"/>
    </row>
    <row r="981" spans="8:8" x14ac:dyDescent="0.25">
      <c r="H981" s="134"/>
    </row>
    <row r="982" spans="8:8" x14ac:dyDescent="0.25">
      <c r="H982" s="134"/>
    </row>
    <row r="983" spans="8:8" x14ac:dyDescent="0.25">
      <c r="H983" s="134"/>
    </row>
    <row r="984" spans="8:8" x14ac:dyDescent="0.25">
      <c r="H984" s="134"/>
    </row>
    <row r="985" spans="8:8" x14ac:dyDescent="0.25">
      <c r="H985" s="134"/>
    </row>
    <row r="986" spans="8:8" x14ac:dyDescent="0.25">
      <c r="H986" s="134"/>
    </row>
    <row r="987" spans="8:8" x14ac:dyDescent="0.25">
      <c r="H987" s="134"/>
    </row>
    <row r="988" spans="8:8" x14ac:dyDescent="0.25">
      <c r="H988" s="134"/>
    </row>
    <row r="989" spans="8:8" x14ac:dyDescent="0.25">
      <c r="H989" s="134"/>
    </row>
    <row r="990" spans="8:8" x14ac:dyDescent="0.25">
      <c r="H990" s="134"/>
    </row>
    <row r="991" spans="8:8" x14ac:dyDescent="0.25">
      <c r="H991" s="134"/>
    </row>
    <row r="992" spans="8:8" x14ac:dyDescent="0.25">
      <c r="H992" s="134"/>
    </row>
    <row r="993" spans="8:8" x14ac:dyDescent="0.25">
      <c r="H993" s="134"/>
    </row>
    <row r="994" spans="8:8" x14ac:dyDescent="0.25">
      <c r="H994" s="134"/>
    </row>
    <row r="995" spans="8:8" x14ac:dyDescent="0.25">
      <c r="H995" s="134"/>
    </row>
    <row r="996" spans="8:8" x14ac:dyDescent="0.25">
      <c r="H996" s="134"/>
    </row>
    <row r="997" spans="8:8" x14ac:dyDescent="0.25">
      <c r="H997" s="134"/>
    </row>
    <row r="998" spans="8:8" x14ac:dyDescent="0.25">
      <c r="H998" s="134"/>
    </row>
    <row r="999" spans="8:8" x14ac:dyDescent="0.25">
      <c r="H999" s="134"/>
    </row>
    <row r="1000" spans="8:8" x14ac:dyDescent="0.25">
      <c r="H1000" s="134"/>
    </row>
    <row r="1001" spans="8:8" x14ac:dyDescent="0.25">
      <c r="H1001" s="134"/>
    </row>
    <row r="1002" spans="8:8" x14ac:dyDescent="0.25">
      <c r="H1002" s="134"/>
    </row>
    <row r="1003" spans="8:8" x14ac:dyDescent="0.25">
      <c r="H1003" s="134"/>
    </row>
    <row r="1004" spans="8:8" x14ac:dyDescent="0.25">
      <c r="H1004" s="134"/>
    </row>
    <row r="1005" spans="8:8" x14ac:dyDescent="0.25">
      <c r="H1005" s="134"/>
    </row>
    <row r="1006" spans="8:8" x14ac:dyDescent="0.25">
      <c r="H1006" s="134"/>
    </row>
    <row r="1007" spans="8:8" x14ac:dyDescent="0.25">
      <c r="H1007" s="134"/>
    </row>
    <row r="1008" spans="8:8" x14ac:dyDescent="0.25">
      <c r="H1008" s="134"/>
    </row>
    <row r="1009" spans="8:8" x14ac:dyDescent="0.25">
      <c r="H1009" s="134"/>
    </row>
    <row r="1010" spans="8:8" x14ac:dyDescent="0.25">
      <c r="H1010" s="134"/>
    </row>
    <row r="1011" spans="8:8" x14ac:dyDescent="0.25">
      <c r="H1011" s="134"/>
    </row>
    <row r="1012" spans="8:8" x14ac:dyDescent="0.25">
      <c r="H1012" s="134"/>
    </row>
    <row r="1013" spans="8:8" x14ac:dyDescent="0.25">
      <c r="H1013" s="134"/>
    </row>
    <row r="1014" spans="8:8" x14ac:dyDescent="0.25">
      <c r="H1014" s="134"/>
    </row>
    <row r="1015" spans="8:8" x14ac:dyDescent="0.25">
      <c r="H1015" s="134"/>
    </row>
    <row r="1016" spans="8:8" x14ac:dyDescent="0.25">
      <c r="H1016" s="134"/>
    </row>
    <row r="1017" spans="8:8" x14ac:dyDescent="0.25">
      <c r="H1017" s="134"/>
    </row>
    <row r="1018" spans="8:8" x14ac:dyDescent="0.25">
      <c r="H1018" s="134"/>
    </row>
    <row r="1019" spans="8:8" x14ac:dyDescent="0.25">
      <c r="H1019" s="134"/>
    </row>
    <row r="1020" spans="8:8" x14ac:dyDescent="0.25">
      <c r="H1020" s="134"/>
    </row>
    <row r="1021" spans="8:8" x14ac:dyDescent="0.25">
      <c r="H1021" s="134"/>
    </row>
    <row r="1022" spans="8:8" x14ac:dyDescent="0.25">
      <c r="H1022" s="134"/>
    </row>
    <row r="1023" spans="8:8" x14ac:dyDescent="0.25">
      <c r="H1023" s="134"/>
    </row>
    <row r="1024" spans="8:8" x14ac:dyDescent="0.25">
      <c r="H1024" s="134"/>
    </row>
    <row r="1025" spans="8:8" x14ac:dyDescent="0.25">
      <c r="H1025" s="134"/>
    </row>
    <row r="1026" spans="8:8" x14ac:dyDescent="0.25">
      <c r="H1026" s="134"/>
    </row>
    <row r="1027" spans="8:8" x14ac:dyDescent="0.25">
      <c r="H1027" s="134"/>
    </row>
    <row r="1028" spans="8:8" x14ac:dyDescent="0.25">
      <c r="H1028" s="134"/>
    </row>
    <row r="1029" spans="8:8" x14ac:dyDescent="0.25">
      <c r="H1029" s="134"/>
    </row>
    <row r="1030" spans="8:8" x14ac:dyDescent="0.25">
      <c r="H1030" s="134"/>
    </row>
    <row r="1031" spans="8:8" x14ac:dyDescent="0.25">
      <c r="H1031" s="134"/>
    </row>
    <row r="1032" spans="8:8" x14ac:dyDescent="0.25">
      <c r="H1032" s="134"/>
    </row>
    <row r="1033" spans="8:8" x14ac:dyDescent="0.25">
      <c r="H1033" s="134"/>
    </row>
    <row r="1034" spans="8:8" x14ac:dyDescent="0.25">
      <c r="H1034" s="134"/>
    </row>
    <row r="1035" spans="8:8" x14ac:dyDescent="0.25">
      <c r="H1035" s="134"/>
    </row>
    <row r="1036" spans="8:8" x14ac:dyDescent="0.25">
      <c r="H1036" s="134"/>
    </row>
    <row r="1037" spans="8:8" x14ac:dyDescent="0.25">
      <c r="H1037" s="134"/>
    </row>
    <row r="1038" spans="8:8" x14ac:dyDescent="0.25">
      <c r="H1038" s="134"/>
    </row>
    <row r="1039" spans="8:8" x14ac:dyDescent="0.25">
      <c r="H1039" s="134"/>
    </row>
    <row r="1040" spans="8:8" x14ac:dyDescent="0.25">
      <c r="H1040" s="134"/>
    </row>
    <row r="1041" spans="8:8" x14ac:dyDescent="0.25">
      <c r="H1041" s="134"/>
    </row>
    <row r="1042" spans="8:8" x14ac:dyDescent="0.25">
      <c r="H1042" s="134"/>
    </row>
    <row r="1043" spans="8:8" x14ac:dyDescent="0.25">
      <c r="H1043" s="134"/>
    </row>
    <row r="1044" spans="8:8" x14ac:dyDescent="0.25">
      <c r="H1044" s="134"/>
    </row>
    <row r="1045" spans="8:8" x14ac:dyDescent="0.25">
      <c r="H1045" s="134"/>
    </row>
    <row r="1046" spans="8:8" x14ac:dyDescent="0.25">
      <c r="H1046" s="134"/>
    </row>
    <row r="1047" spans="8:8" x14ac:dyDescent="0.25">
      <c r="H1047" s="134"/>
    </row>
    <row r="1048" spans="8:8" x14ac:dyDescent="0.25">
      <c r="H1048" s="134"/>
    </row>
    <row r="1049" spans="8:8" x14ac:dyDescent="0.25">
      <c r="H1049" s="134"/>
    </row>
    <row r="1050" spans="8:8" x14ac:dyDescent="0.25">
      <c r="H1050" s="134"/>
    </row>
    <row r="1051" spans="8:8" x14ac:dyDescent="0.25">
      <c r="H1051" s="134"/>
    </row>
    <row r="1052" spans="8:8" x14ac:dyDescent="0.25">
      <c r="H1052" s="134"/>
    </row>
    <row r="1053" spans="8:8" x14ac:dyDescent="0.25">
      <c r="H1053" s="134"/>
    </row>
    <row r="1054" spans="8:8" x14ac:dyDescent="0.25">
      <c r="H1054" s="134"/>
    </row>
    <row r="1055" spans="8:8" x14ac:dyDescent="0.25">
      <c r="H1055" s="134"/>
    </row>
    <row r="1056" spans="8:8" x14ac:dyDescent="0.25">
      <c r="H1056" s="134"/>
    </row>
    <row r="1057" spans="8:8" x14ac:dyDescent="0.25">
      <c r="H1057" s="134"/>
    </row>
    <row r="1058" spans="8:8" x14ac:dyDescent="0.25">
      <c r="H1058" s="134"/>
    </row>
    <row r="1059" spans="8:8" x14ac:dyDescent="0.25">
      <c r="H1059" s="134"/>
    </row>
    <row r="1060" spans="8:8" x14ac:dyDescent="0.25">
      <c r="H1060" s="134"/>
    </row>
    <row r="1061" spans="8:8" x14ac:dyDescent="0.25">
      <c r="H1061" s="134"/>
    </row>
    <row r="1062" spans="8:8" x14ac:dyDescent="0.25">
      <c r="H1062" s="134"/>
    </row>
    <row r="1063" spans="8:8" x14ac:dyDescent="0.25">
      <c r="H1063" s="134"/>
    </row>
    <row r="1064" spans="8:8" x14ac:dyDescent="0.25">
      <c r="H1064" s="134"/>
    </row>
    <row r="1065" spans="8:8" x14ac:dyDescent="0.25">
      <c r="H1065" s="134"/>
    </row>
    <row r="1066" spans="8:8" x14ac:dyDescent="0.25">
      <c r="H1066" s="134"/>
    </row>
    <row r="1067" spans="8:8" x14ac:dyDescent="0.25">
      <c r="H1067" s="134"/>
    </row>
    <row r="1068" spans="8:8" x14ac:dyDescent="0.25">
      <c r="H1068" s="134"/>
    </row>
    <row r="1069" spans="8:8" x14ac:dyDescent="0.25">
      <c r="H1069" s="134"/>
    </row>
    <row r="1070" spans="8:8" x14ac:dyDescent="0.25">
      <c r="H1070" s="134"/>
    </row>
    <row r="1071" spans="8:8" x14ac:dyDescent="0.25">
      <c r="H1071" s="134"/>
    </row>
    <row r="1072" spans="8:8" x14ac:dyDescent="0.25">
      <c r="H1072" s="134"/>
    </row>
    <row r="1073" spans="8:8" x14ac:dyDescent="0.25">
      <c r="H1073" s="134"/>
    </row>
    <row r="1074" spans="8:8" x14ac:dyDescent="0.25">
      <c r="H1074" s="134"/>
    </row>
    <row r="1075" spans="8:8" x14ac:dyDescent="0.25">
      <c r="H1075" s="134"/>
    </row>
    <row r="1076" spans="8:8" x14ac:dyDescent="0.25">
      <c r="H1076" s="134"/>
    </row>
    <row r="1077" spans="8:8" x14ac:dyDescent="0.25">
      <c r="H1077" s="134"/>
    </row>
    <row r="1078" spans="8:8" x14ac:dyDescent="0.25">
      <c r="H1078" s="134"/>
    </row>
    <row r="1079" spans="8:8" x14ac:dyDescent="0.25">
      <c r="H1079" s="134"/>
    </row>
    <row r="1080" spans="8:8" x14ac:dyDescent="0.25">
      <c r="H1080" s="134"/>
    </row>
    <row r="1081" spans="8:8" x14ac:dyDescent="0.25">
      <c r="H1081" s="134"/>
    </row>
    <row r="1082" spans="8:8" x14ac:dyDescent="0.25">
      <c r="H1082" s="134"/>
    </row>
    <row r="1083" spans="8:8" x14ac:dyDescent="0.25">
      <c r="H1083" s="134"/>
    </row>
    <row r="1084" spans="8:8" x14ac:dyDescent="0.25">
      <c r="H1084" s="134"/>
    </row>
    <row r="1085" spans="8:8" x14ac:dyDescent="0.25">
      <c r="H1085" s="134"/>
    </row>
    <row r="1086" spans="8:8" x14ac:dyDescent="0.25">
      <c r="H1086" s="134"/>
    </row>
    <row r="1087" spans="8:8" x14ac:dyDescent="0.25">
      <c r="H1087" s="134"/>
    </row>
    <row r="1088" spans="8:8" x14ac:dyDescent="0.25">
      <c r="H1088" s="134"/>
    </row>
    <row r="1089" spans="8:8" x14ac:dyDescent="0.25">
      <c r="H1089" s="134"/>
    </row>
    <row r="1090" spans="8:8" x14ac:dyDescent="0.25">
      <c r="H1090" s="134"/>
    </row>
    <row r="1091" spans="8:8" x14ac:dyDescent="0.25">
      <c r="H1091" s="134"/>
    </row>
    <row r="1092" spans="8:8" x14ac:dyDescent="0.25">
      <c r="H1092" s="134"/>
    </row>
    <row r="1093" spans="8:8" x14ac:dyDescent="0.25">
      <c r="H1093" s="134"/>
    </row>
    <row r="1094" spans="8:8" x14ac:dyDescent="0.25">
      <c r="H1094" s="134"/>
    </row>
    <row r="1095" spans="8:8" x14ac:dyDescent="0.25">
      <c r="H1095" s="134"/>
    </row>
    <row r="1096" spans="8:8" x14ac:dyDescent="0.25">
      <c r="H1096" s="134"/>
    </row>
    <row r="1097" spans="8:8" x14ac:dyDescent="0.25">
      <c r="H1097" s="134"/>
    </row>
    <row r="1098" spans="8:8" x14ac:dyDescent="0.25">
      <c r="H1098" s="134"/>
    </row>
    <row r="1099" spans="8:8" x14ac:dyDescent="0.25">
      <c r="H1099" s="134"/>
    </row>
    <row r="1100" spans="8:8" x14ac:dyDescent="0.25">
      <c r="H1100" s="134"/>
    </row>
    <row r="1101" spans="8:8" x14ac:dyDescent="0.25">
      <c r="H1101" s="134"/>
    </row>
    <row r="1102" spans="8:8" x14ac:dyDescent="0.25">
      <c r="H1102" s="134"/>
    </row>
    <row r="1103" spans="8:8" x14ac:dyDescent="0.25">
      <c r="H1103" s="134"/>
    </row>
    <row r="1104" spans="8:8" x14ac:dyDescent="0.25">
      <c r="H1104" s="134"/>
    </row>
    <row r="1105" spans="8:8" x14ac:dyDescent="0.25">
      <c r="H1105" s="134"/>
    </row>
    <row r="1106" spans="8:8" x14ac:dyDescent="0.25">
      <c r="H1106" s="134"/>
    </row>
    <row r="1107" spans="8:8" x14ac:dyDescent="0.25">
      <c r="H1107" s="134"/>
    </row>
    <row r="1108" spans="8:8" x14ac:dyDescent="0.25">
      <c r="H1108" s="134"/>
    </row>
    <row r="1109" spans="8:8" x14ac:dyDescent="0.25">
      <c r="H1109" s="134"/>
    </row>
    <row r="1110" spans="8:8" x14ac:dyDescent="0.25">
      <c r="H1110" s="134"/>
    </row>
    <row r="1111" spans="8:8" x14ac:dyDescent="0.25">
      <c r="H1111" s="134"/>
    </row>
    <row r="1112" spans="8:8" x14ac:dyDescent="0.25">
      <c r="H1112" s="134"/>
    </row>
    <row r="1113" spans="8:8" x14ac:dyDescent="0.25">
      <c r="H1113" s="134"/>
    </row>
    <row r="1114" spans="8:8" x14ac:dyDescent="0.25">
      <c r="H1114" s="134"/>
    </row>
    <row r="1115" spans="8:8" x14ac:dyDescent="0.25">
      <c r="H1115" s="134"/>
    </row>
    <row r="1116" spans="8:8" x14ac:dyDescent="0.25">
      <c r="H1116" s="134"/>
    </row>
    <row r="1117" spans="8:8" x14ac:dyDescent="0.25">
      <c r="H1117" s="134"/>
    </row>
    <row r="1118" spans="8:8" x14ac:dyDescent="0.25">
      <c r="H1118" s="134"/>
    </row>
    <row r="1119" spans="8:8" x14ac:dyDescent="0.25">
      <c r="H1119" s="134"/>
    </row>
    <row r="1120" spans="8:8" x14ac:dyDescent="0.25">
      <c r="H1120" s="134"/>
    </row>
    <row r="1121" spans="8:8" x14ac:dyDescent="0.25">
      <c r="H1121" s="134"/>
    </row>
    <row r="1122" spans="8:8" x14ac:dyDescent="0.25">
      <c r="H1122" s="134"/>
    </row>
    <row r="1123" spans="8:8" x14ac:dyDescent="0.25">
      <c r="H1123" s="134"/>
    </row>
    <row r="1124" spans="8:8" x14ac:dyDescent="0.25">
      <c r="H1124" s="134"/>
    </row>
    <row r="1125" spans="8:8" x14ac:dyDescent="0.25">
      <c r="H1125" s="134"/>
    </row>
    <row r="1126" spans="8:8" x14ac:dyDescent="0.25">
      <c r="H1126" s="134"/>
    </row>
    <row r="1127" spans="8:8" x14ac:dyDescent="0.25">
      <c r="H1127" s="134"/>
    </row>
    <row r="1128" spans="8:8" x14ac:dyDescent="0.25">
      <c r="H1128" s="134"/>
    </row>
    <row r="1129" spans="8:8" x14ac:dyDescent="0.25">
      <c r="H1129" s="134"/>
    </row>
    <row r="1130" spans="8:8" x14ac:dyDescent="0.25">
      <c r="H1130" s="134"/>
    </row>
    <row r="1131" spans="8:8" x14ac:dyDescent="0.25">
      <c r="H1131" s="134"/>
    </row>
    <row r="1132" spans="8:8" x14ac:dyDescent="0.25">
      <c r="H1132" s="134"/>
    </row>
    <row r="1133" spans="8:8" x14ac:dyDescent="0.25">
      <c r="H1133" s="134"/>
    </row>
    <row r="1134" spans="8:8" x14ac:dyDescent="0.25">
      <c r="H1134" s="134"/>
    </row>
    <row r="1135" spans="8:8" x14ac:dyDescent="0.25">
      <c r="H1135" s="134"/>
    </row>
    <row r="1136" spans="8:8" x14ac:dyDescent="0.25">
      <c r="H1136" s="134"/>
    </row>
    <row r="1137" spans="8:8" x14ac:dyDescent="0.25">
      <c r="H1137" s="134"/>
    </row>
    <row r="1138" spans="8:8" x14ac:dyDescent="0.25">
      <c r="H1138" s="134"/>
    </row>
    <row r="1139" spans="8:8" x14ac:dyDescent="0.25">
      <c r="H1139" s="134"/>
    </row>
    <row r="1140" spans="8:8" x14ac:dyDescent="0.25">
      <c r="H1140" s="134"/>
    </row>
    <row r="1141" spans="8:8" x14ac:dyDescent="0.25">
      <c r="H1141" s="134"/>
    </row>
    <row r="1142" spans="8:8" x14ac:dyDescent="0.25">
      <c r="H1142" s="134"/>
    </row>
    <row r="1143" spans="8:8" x14ac:dyDescent="0.25">
      <c r="H1143" s="134"/>
    </row>
    <row r="1144" spans="8:8" x14ac:dyDescent="0.25">
      <c r="H1144" s="134"/>
    </row>
    <row r="1145" spans="8:8" x14ac:dyDescent="0.25">
      <c r="H1145" s="134"/>
    </row>
    <row r="1146" spans="8:8" x14ac:dyDescent="0.25">
      <c r="H1146" s="134"/>
    </row>
    <row r="1147" spans="8:8" x14ac:dyDescent="0.25">
      <c r="H1147" s="134"/>
    </row>
    <row r="1148" spans="8:8" x14ac:dyDescent="0.25">
      <c r="H1148" s="134"/>
    </row>
    <row r="1149" spans="8:8" x14ac:dyDescent="0.25">
      <c r="H1149" s="134"/>
    </row>
    <row r="1150" spans="8:8" x14ac:dyDescent="0.25">
      <c r="H1150" s="134"/>
    </row>
    <row r="1151" spans="8:8" x14ac:dyDescent="0.25">
      <c r="H1151" s="134"/>
    </row>
    <row r="1152" spans="8:8" x14ac:dyDescent="0.25">
      <c r="H1152" s="134"/>
    </row>
    <row r="1153" spans="8:8" x14ac:dyDescent="0.25">
      <c r="H1153" s="134"/>
    </row>
    <row r="1154" spans="8:8" x14ac:dyDescent="0.25">
      <c r="H1154" s="134"/>
    </row>
    <row r="1155" spans="8:8" x14ac:dyDescent="0.25">
      <c r="H1155" s="134"/>
    </row>
    <row r="1156" spans="8:8" x14ac:dyDescent="0.25">
      <c r="H1156" s="134"/>
    </row>
    <row r="1157" spans="8:8" x14ac:dyDescent="0.25">
      <c r="H1157" s="134"/>
    </row>
    <row r="1158" spans="8:8" x14ac:dyDescent="0.25">
      <c r="H1158" s="134"/>
    </row>
    <row r="1159" spans="8:8" x14ac:dyDescent="0.25">
      <c r="H1159" s="134"/>
    </row>
    <row r="1160" spans="8:8" x14ac:dyDescent="0.25">
      <c r="H1160" s="134"/>
    </row>
    <row r="1161" spans="8:8" x14ac:dyDescent="0.25">
      <c r="H1161" s="134"/>
    </row>
    <row r="1162" spans="8:8" x14ac:dyDescent="0.25">
      <c r="H1162" s="134"/>
    </row>
    <row r="1163" spans="8:8" x14ac:dyDescent="0.25">
      <c r="H1163" s="134"/>
    </row>
    <row r="1164" spans="8:8" x14ac:dyDescent="0.25">
      <c r="H1164" s="134"/>
    </row>
    <row r="1165" spans="8:8" x14ac:dyDescent="0.25">
      <c r="H1165" s="134"/>
    </row>
    <row r="1166" spans="8:8" x14ac:dyDescent="0.25">
      <c r="H1166" s="134"/>
    </row>
    <row r="1167" spans="8:8" x14ac:dyDescent="0.25">
      <c r="H1167" s="134"/>
    </row>
    <row r="1168" spans="8:8" x14ac:dyDescent="0.25">
      <c r="H1168" s="134"/>
    </row>
    <row r="1169" spans="8:8" x14ac:dyDescent="0.25">
      <c r="H1169" s="134"/>
    </row>
    <row r="1170" spans="8:8" x14ac:dyDescent="0.25">
      <c r="H1170" s="134"/>
    </row>
    <row r="1171" spans="8:8" x14ac:dyDescent="0.25">
      <c r="H1171" s="134"/>
    </row>
    <row r="1172" spans="8:8" x14ac:dyDescent="0.25">
      <c r="H1172" s="134"/>
    </row>
    <row r="1173" spans="8:8" x14ac:dyDescent="0.25">
      <c r="H1173" s="134"/>
    </row>
    <row r="1174" spans="8:8" x14ac:dyDescent="0.25">
      <c r="H1174" s="134"/>
    </row>
    <row r="1175" spans="8:8" x14ac:dyDescent="0.25">
      <c r="H1175" s="134"/>
    </row>
    <row r="1176" spans="8:8" x14ac:dyDescent="0.25">
      <c r="H1176" s="134"/>
    </row>
    <row r="1177" spans="8:8" x14ac:dyDescent="0.25">
      <c r="H1177" s="134"/>
    </row>
    <row r="1178" spans="8:8" x14ac:dyDescent="0.25">
      <c r="H1178" s="134"/>
    </row>
    <row r="1179" spans="8:8" x14ac:dyDescent="0.25">
      <c r="H1179" s="134"/>
    </row>
    <row r="1180" spans="8:8" x14ac:dyDescent="0.25">
      <c r="H1180" s="134"/>
    </row>
    <row r="1181" spans="8:8" x14ac:dyDescent="0.25">
      <c r="H1181" s="134"/>
    </row>
    <row r="1182" spans="8:8" x14ac:dyDescent="0.25">
      <c r="H1182" s="134"/>
    </row>
    <row r="1183" spans="8:8" x14ac:dyDescent="0.25">
      <c r="H1183" s="134"/>
    </row>
    <row r="1184" spans="8:8" x14ac:dyDescent="0.25">
      <c r="H1184" s="134"/>
    </row>
    <row r="1185" spans="8:8" x14ac:dyDescent="0.25">
      <c r="H1185" s="134"/>
    </row>
    <row r="1186" spans="8:8" x14ac:dyDescent="0.25">
      <c r="H1186" s="134"/>
    </row>
    <row r="1187" spans="8:8" x14ac:dyDescent="0.25">
      <c r="H1187" s="134"/>
    </row>
    <row r="1188" spans="8:8" x14ac:dyDescent="0.25">
      <c r="H1188" s="134"/>
    </row>
    <row r="1189" spans="8:8" x14ac:dyDescent="0.25">
      <c r="H1189" s="134"/>
    </row>
    <row r="1190" spans="8:8" x14ac:dyDescent="0.25">
      <c r="H1190" s="134"/>
    </row>
    <row r="1191" spans="8:8" x14ac:dyDescent="0.25">
      <c r="H1191" s="134"/>
    </row>
    <row r="1192" spans="8:8" x14ac:dyDescent="0.25">
      <c r="H1192" s="134"/>
    </row>
    <row r="1193" spans="8:8" x14ac:dyDescent="0.25">
      <c r="H1193" s="134"/>
    </row>
    <row r="1194" spans="8:8" x14ac:dyDescent="0.25">
      <c r="H1194" s="134"/>
    </row>
    <row r="1195" spans="8:8" x14ac:dyDescent="0.25">
      <c r="H1195" s="134"/>
    </row>
    <row r="1196" spans="8:8" x14ac:dyDescent="0.25">
      <c r="H1196" s="134"/>
    </row>
    <row r="1197" spans="8:8" x14ac:dyDescent="0.25">
      <c r="H1197" s="134"/>
    </row>
    <row r="1198" spans="8:8" x14ac:dyDescent="0.25">
      <c r="H1198" s="134"/>
    </row>
    <row r="1199" spans="8:8" x14ac:dyDescent="0.25">
      <c r="H1199" s="134"/>
    </row>
    <row r="1200" spans="8:8" x14ac:dyDescent="0.25">
      <c r="H1200" s="134"/>
    </row>
    <row r="1201" spans="8:8" x14ac:dyDescent="0.25">
      <c r="H1201" s="134"/>
    </row>
    <row r="1202" spans="8:8" x14ac:dyDescent="0.25">
      <c r="H1202" s="134"/>
    </row>
    <row r="1203" spans="8:8" x14ac:dyDescent="0.25">
      <c r="H1203" s="134"/>
    </row>
    <row r="1204" spans="8:8" x14ac:dyDescent="0.25">
      <c r="H1204" s="134"/>
    </row>
    <row r="1205" spans="8:8" x14ac:dyDescent="0.25">
      <c r="H1205" s="134"/>
    </row>
    <row r="1206" spans="8:8" x14ac:dyDescent="0.25">
      <c r="H1206" s="134"/>
    </row>
    <row r="1207" spans="8:8" x14ac:dyDescent="0.25">
      <c r="H1207" s="134"/>
    </row>
    <row r="1208" spans="8:8" x14ac:dyDescent="0.25">
      <c r="H1208" s="134"/>
    </row>
    <row r="1209" spans="8:8" x14ac:dyDescent="0.25">
      <c r="H1209" s="134"/>
    </row>
    <row r="1210" spans="8:8" x14ac:dyDescent="0.25">
      <c r="H1210" s="134"/>
    </row>
    <row r="1211" spans="8:8" x14ac:dyDescent="0.25">
      <c r="H1211" s="134"/>
    </row>
    <row r="1212" spans="8:8" x14ac:dyDescent="0.25">
      <c r="H1212" s="134"/>
    </row>
    <row r="1213" spans="8:8" x14ac:dyDescent="0.25">
      <c r="H1213" s="134"/>
    </row>
    <row r="1214" spans="8:8" x14ac:dyDescent="0.25">
      <c r="H1214" s="134"/>
    </row>
    <row r="1215" spans="8:8" x14ac:dyDescent="0.25">
      <c r="H1215" s="134"/>
    </row>
    <row r="1216" spans="8:8" x14ac:dyDescent="0.25">
      <c r="H1216" s="134"/>
    </row>
    <row r="1217" spans="8:8" x14ac:dyDescent="0.25">
      <c r="H1217" s="134"/>
    </row>
    <row r="1218" spans="8:8" x14ac:dyDescent="0.25">
      <c r="H1218" s="134"/>
    </row>
    <row r="1219" spans="8:8" x14ac:dyDescent="0.25">
      <c r="H1219" s="134"/>
    </row>
    <row r="1220" spans="8:8" x14ac:dyDescent="0.25">
      <c r="H1220" s="134"/>
    </row>
    <row r="1221" spans="8:8" x14ac:dyDescent="0.25">
      <c r="H1221" s="134"/>
    </row>
    <row r="1222" spans="8:8" x14ac:dyDescent="0.25">
      <c r="H1222" s="134"/>
    </row>
    <row r="1223" spans="8:8" x14ac:dyDescent="0.25">
      <c r="H1223" s="134"/>
    </row>
    <row r="1224" spans="8:8" x14ac:dyDescent="0.25">
      <c r="H1224" s="134"/>
    </row>
    <row r="1225" spans="8:8" x14ac:dyDescent="0.25">
      <c r="H1225" s="134"/>
    </row>
    <row r="1226" spans="8:8" x14ac:dyDescent="0.25">
      <c r="H1226" s="134"/>
    </row>
    <row r="1227" spans="8:8" x14ac:dyDescent="0.25">
      <c r="H1227" s="134"/>
    </row>
    <row r="1228" spans="8:8" x14ac:dyDescent="0.25">
      <c r="H1228" s="134"/>
    </row>
    <row r="1229" spans="8:8" x14ac:dyDescent="0.25">
      <c r="H1229" s="134"/>
    </row>
    <row r="1230" spans="8:8" x14ac:dyDescent="0.25">
      <c r="H1230" s="134"/>
    </row>
    <row r="1231" spans="8:8" x14ac:dyDescent="0.25">
      <c r="H1231" s="134"/>
    </row>
    <row r="1232" spans="8:8" x14ac:dyDescent="0.25">
      <c r="H1232" s="134"/>
    </row>
    <row r="1233" spans="8:8" x14ac:dyDescent="0.25">
      <c r="H1233" s="134"/>
    </row>
    <row r="1234" spans="8:8" x14ac:dyDescent="0.25">
      <c r="H1234" s="134"/>
    </row>
    <row r="1235" spans="8:8" x14ac:dyDescent="0.25">
      <c r="H1235" s="134"/>
    </row>
    <row r="1236" spans="8:8" x14ac:dyDescent="0.25">
      <c r="H1236" s="134"/>
    </row>
    <row r="1237" spans="8:8" x14ac:dyDescent="0.25">
      <c r="H1237" s="134"/>
    </row>
    <row r="1238" spans="8:8" x14ac:dyDescent="0.25">
      <c r="H1238" s="134"/>
    </row>
    <row r="1239" spans="8:8" x14ac:dyDescent="0.25">
      <c r="H1239" s="134"/>
    </row>
    <row r="1240" spans="8:8" x14ac:dyDescent="0.25">
      <c r="H1240" s="134"/>
    </row>
    <row r="1241" spans="8:8" x14ac:dyDescent="0.25">
      <c r="H1241" s="134"/>
    </row>
    <row r="1242" spans="8:8" x14ac:dyDescent="0.25">
      <c r="H1242" s="134"/>
    </row>
    <row r="1243" spans="8:8" x14ac:dyDescent="0.25">
      <c r="H1243" s="134"/>
    </row>
    <row r="1244" spans="8:8" x14ac:dyDescent="0.25">
      <c r="H1244" s="134"/>
    </row>
    <row r="1245" spans="8:8" x14ac:dyDescent="0.25">
      <c r="H1245" s="134"/>
    </row>
    <row r="1246" spans="8:8" x14ac:dyDescent="0.25">
      <c r="H1246" s="134"/>
    </row>
    <row r="1247" spans="8:8" x14ac:dyDescent="0.25">
      <c r="H1247" s="134"/>
    </row>
    <row r="1248" spans="8:8" x14ac:dyDescent="0.25">
      <c r="H1248" s="134"/>
    </row>
    <row r="1249" spans="8:8" x14ac:dyDescent="0.25">
      <c r="H1249" s="134"/>
    </row>
    <row r="1250" spans="8:8" x14ac:dyDescent="0.25">
      <c r="H1250" s="134"/>
    </row>
    <row r="1251" spans="8:8" x14ac:dyDescent="0.25">
      <c r="H1251" s="134"/>
    </row>
    <row r="1252" spans="8:8" x14ac:dyDescent="0.25">
      <c r="H1252" s="134"/>
    </row>
    <row r="1253" spans="8:8" x14ac:dyDescent="0.25">
      <c r="H1253" s="134"/>
    </row>
    <row r="1254" spans="8:8" x14ac:dyDescent="0.25">
      <c r="H1254" s="134"/>
    </row>
    <row r="1255" spans="8:8" x14ac:dyDescent="0.25">
      <c r="H1255" s="134"/>
    </row>
    <row r="1256" spans="8:8" x14ac:dyDescent="0.25">
      <c r="H1256" s="134"/>
    </row>
    <row r="1257" spans="8:8" x14ac:dyDescent="0.25">
      <c r="H1257" s="134"/>
    </row>
    <row r="1258" spans="8:8" x14ac:dyDescent="0.25">
      <c r="H1258" s="134"/>
    </row>
    <row r="1259" spans="8:8" x14ac:dyDescent="0.25">
      <c r="H1259" s="134"/>
    </row>
    <row r="1260" spans="8:8" x14ac:dyDescent="0.25">
      <c r="H1260" s="134"/>
    </row>
    <row r="1261" spans="8:8" x14ac:dyDescent="0.25">
      <c r="H1261" s="134"/>
    </row>
    <row r="1262" spans="8:8" x14ac:dyDescent="0.25">
      <c r="H1262" s="134"/>
    </row>
    <row r="1263" spans="8:8" x14ac:dyDescent="0.25">
      <c r="H1263" s="134"/>
    </row>
    <row r="1264" spans="8:8" x14ac:dyDescent="0.25">
      <c r="H1264" s="134"/>
    </row>
    <row r="1265" spans="8:8" x14ac:dyDescent="0.25">
      <c r="H1265" s="134"/>
    </row>
    <row r="1266" spans="8:8" x14ac:dyDescent="0.25">
      <c r="H1266" s="134"/>
    </row>
    <row r="1267" spans="8:8" x14ac:dyDescent="0.25">
      <c r="H1267" s="134"/>
    </row>
    <row r="1268" spans="8:8" x14ac:dyDescent="0.25">
      <c r="H1268" s="134"/>
    </row>
    <row r="1269" spans="8:8" x14ac:dyDescent="0.25">
      <c r="H1269" s="134"/>
    </row>
    <row r="1270" spans="8:8" x14ac:dyDescent="0.25">
      <c r="H1270" s="134"/>
    </row>
    <row r="1271" spans="8:8" x14ac:dyDescent="0.25">
      <c r="H1271" s="134"/>
    </row>
    <row r="1272" spans="8:8" x14ac:dyDescent="0.25">
      <c r="H1272" s="134"/>
    </row>
    <row r="1273" spans="8:8" x14ac:dyDescent="0.25">
      <c r="H1273" s="134"/>
    </row>
    <row r="1274" spans="8:8" x14ac:dyDescent="0.25">
      <c r="H1274" s="134"/>
    </row>
    <row r="1275" spans="8:8" x14ac:dyDescent="0.25">
      <c r="H1275" s="134"/>
    </row>
    <row r="1276" spans="8:8" x14ac:dyDescent="0.25">
      <c r="H1276" s="134"/>
    </row>
    <row r="1277" spans="8:8" x14ac:dyDescent="0.25">
      <c r="H1277" s="134"/>
    </row>
    <row r="1278" spans="8:8" x14ac:dyDescent="0.25">
      <c r="H1278" s="134"/>
    </row>
    <row r="1279" spans="8:8" x14ac:dyDescent="0.25">
      <c r="H1279" s="134"/>
    </row>
    <row r="1280" spans="8:8" x14ac:dyDescent="0.25">
      <c r="H1280" s="134"/>
    </row>
    <row r="1281" spans="8:8" x14ac:dyDescent="0.25">
      <c r="H1281" s="134"/>
    </row>
    <row r="1282" spans="8:8" x14ac:dyDescent="0.25">
      <c r="H1282" s="134"/>
    </row>
    <row r="1283" spans="8:8" x14ac:dyDescent="0.25">
      <c r="H1283" s="134"/>
    </row>
    <row r="1284" spans="8:8" x14ac:dyDescent="0.25">
      <c r="H1284" s="134"/>
    </row>
    <row r="1285" spans="8:8" x14ac:dyDescent="0.25">
      <c r="H1285" s="134"/>
    </row>
    <row r="1286" spans="8:8" x14ac:dyDescent="0.25">
      <c r="H1286" s="134"/>
    </row>
    <row r="1287" spans="8:8" x14ac:dyDescent="0.25">
      <c r="H1287" s="134"/>
    </row>
    <row r="1288" spans="8:8" x14ac:dyDescent="0.25">
      <c r="H1288" s="134"/>
    </row>
    <row r="1289" spans="8:8" x14ac:dyDescent="0.25">
      <c r="H1289" s="134"/>
    </row>
    <row r="1290" spans="8:8" x14ac:dyDescent="0.25">
      <c r="H1290" s="134"/>
    </row>
    <row r="1291" spans="8:8" x14ac:dyDescent="0.25">
      <c r="H1291" s="134"/>
    </row>
    <row r="1292" spans="8:8" x14ac:dyDescent="0.25">
      <c r="H1292" s="134"/>
    </row>
    <row r="1293" spans="8:8" x14ac:dyDescent="0.25">
      <c r="H1293" s="134"/>
    </row>
    <row r="1294" spans="8:8" x14ac:dyDescent="0.25">
      <c r="H1294" s="134"/>
    </row>
    <row r="1295" spans="8:8" x14ac:dyDescent="0.25">
      <c r="H1295" s="134"/>
    </row>
    <row r="1296" spans="8:8" x14ac:dyDescent="0.25">
      <c r="H1296" s="134"/>
    </row>
    <row r="1297" spans="8:8" x14ac:dyDescent="0.25">
      <c r="H1297" s="134"/>
    </row>
    <row r="1298" spans="8:8" x14ac:dyDescent="0.25">
      <c r="H1298" s="134"/>
    </row>
    <row r="1299" spans="8:8" x14ac:dyDescent="0.25">
      <c r="H1299" s="134"/>
    </row>
    <row r="1300" spans="8:8" x14ac:dyDescent="0.25">
      <c r="H1300" s="134"/>
    </row>
    <row r="1301" spans="8:8" x14ac:dyDescent="0.25">
      <c r="H1301" s="134"/>
    </row>
    <row r="1302" spans="8:8" x14ac:dyDescent="0.25">
      <c r="H1302" s="134"/>
    </row>
    <row r="1303" spans="8:8" x14ac:dyDescent="0.25">
      <c r="H1303" s="134"/>
    </row>
    <row r="1304" spans="8:8" x14ac:dyDescent="0.25">
      <c r="H1304" s="134"/>
    </row>
    <row r="1305" spans="8:8" x14ac:dyDescent="0.25">
      <c r="H1305" s="134"/>
    </row>
    <row r="1306" spans="8:8" x14ac:dyDescent="0.25">
      <c r="H1306" s="134"/>
    </row>
    <row r="1307" spans="8:8" x14ac:dyDescent="0.25">
      <c r="H1307" s="134"/>
    </row>
    <row r="1308" spans="8:8" x14ac:dyDescent="0.25">
      <c r="H1308" s="134"/>
    </row>
    <row r="1309" spans="8:8" x14ac:dyDescent="0.25">
      <c r="H1309" s="134"/>
    </row>
    <row r="1310" spans="8:8" x14ac:dyDescent="0.25">
      <c r="H1310" s="134"/>
    </row>
    <row r="1311" spans="8:8" x14ac:dyDescent="0.25">
      <c r="H1311" s="134"/>
    </row>
    <row r="1312" spans="8:8" x14ac:dyDescent="0.25">
      <c r="H1312" s="134"/>
    </row>
    <row r="1313" spans="8:8" x14ac:dyDescent="0.25">
      <c r="H1313" s="134"/>
    </row>
    <row r="1314" spans="8:8" x14ac:dyDescent="0.25">
      <c r="H1314" s="134"/>
    </row>
    <row r="1315" spans="8:8" x14ac:dyDescent="0.25">
      <c r="H1315" s="134"/>
    </row>
    <row r="1316" spans="8:8" x14ac:dyDescent="0.25">
      <c r="H1316" s="134"/>
    </row>
    <row r="1317" spans="8:8" x14ac:dyDescent="0.25">
      <c r="H1317" s="134"/>
    </row>
    <row r="1318" spans="8:8" x14ac:dyDescent="0.25">
      <c r="H1318" s="134"/>
    </row>
    <row r="1319" spans="8:8" x14ac:dyDescent="0.25">
      <c r="H1319" s="134"/>
    </row>
    <row r="1320" spans="8:8" x14ac:dyDescent="0.25">
      <c r="H1320" s="134"/>
    </row>
    <row r="1321" spans="8:8" x14ac:dyDescent="0.25">
      <c r="H1321" s="134"/>
    </row>
    <row r="1322" spans="8:8" x14ac:dyDescent="0.25">
      <c r="H1322" s="134"/>
    </row>
    <row r="1323" spans="8:8" x14ac:dyDescent="0.25">
      <c r="H1323" s="134"/>
    </row>
    <row r="1324" spans="8:8" x14ac:dyDescent="0.25">
      <c r="H1324" s="134"/>
    </row>
    <row r="1325" spans="8:8" x14ac:dyDescent="0.25">
      <c r="H1325" s="134"/>
    </row>
    <row r="1326" spans="8:8" x14ac:dyDescent="0.25">
      <c r="H1326" s="134"/>
    </row>
    <row r="1327" spans="8:8" x14ac:dyDescent="0.25">
      <c r="H1327" s="134"/>
    </row>
    <row r="1328" spans="8:8" x14ac:dyDescent="0.25">
      <c r="H1328" s="134"/>
    </row>
    <row r="1329" spans="8:8" x14ac:dyDescent="0.25">
      <c r="H1329" s="134"/>
    </row>
    <row r="1330" spans="8:8" x14ac:dyDescent="0.25">
      <c r="H1330" s="134"/>
    </row>
    <row r="1331" spans="8:8" x14ac:dyDescent="0.25">
      <c r="H1331" s="134"/>
    </row>
    <row r="1332" spans="8:8" x14ac:dyDescent="0.25">
      <c r="H1332" s="134"/>
    </row>
    <row r="1333" spans="8:8" x14ac:dyDescent="0.25">
      <c r="H1333" s="134"/>
    </row>
    <row r="1334" spans="8:8" x14ac:dyDescent="0.25">
      <c r="H1334" s="134"/>
    </row>
    <row r="1335" spans="8:8" x14ac:dyDescent="0.25">
      <c r="H1335" s="134"/>
    </row>
    <row r="1336" spans="8:8" x14ac:dyDescent="0.25">
      <c r="H1336" s="134"/>
    </row>
    <row r="1337" spans="8:8" x14ac:dyDescent="0.25">
      <c r="H1337" s="134"/>
    </row>
    <row r="1338" spans="8:8" x14ac:dyDescent="0.25">
      <c r="H1338" s="134"/>
    </row>
    <row r="1339" spans="8:8" x14ac:dyDescent="0.25">
      <c r="H1339" s="134"/>
    </row>
    <row r="1340" spans="8:8" x14ac:dyDescent="0.25">
      <c r="H1340" s="134"/>
    </row>
    <row r="1341" spans="8:8" x14ac:dyDescent="0.25">
      <c r="H1341" s="134"/>
    </row>
    <row r="1342" spans="8:8" x14ac:dyDescent="0.25">
      <c r="H1342" s="134"/>
    </row>
    <row r="1343" spans="8:8" x14ac:dyDescent="0.25">
      <c r="H1343" s="134"/>
    </row>
    <row r="1344" spans="8:8" x14ac:dyDescent="0.25">
      <c r="H1344" s="134"/>
    </row>
    <row r="1345" spans="8:8" x14ac:dyDescent="0.25">
      <c r="H1345" s="134"/>
    </row>
    <row r="1346" spans="8:8" x14ac:dyDescent="0.25">
      <c r="H1346" s="134"/>
    </row>
    <row r="1347" spans="8:8" x14ac:dyDescent="0.25">
      <c r="H1347" s="134"/>
    </row>
    <row r="1348" spans="8:8" x14ac:dyDescent="0.25">
      <c r="H1348" s="134"/>
    </row>
    <row r="1349" spans="8:8" x14ac:dyDescent="0.25">
      <c r="H1349" s="134"/>
    </row>
    <row r="1350" spans="8:8" x14ac:dyDescent="0.25">
      <c r="H1350" s="134"/>
    </row>
    <row r="1351" spans="8:8" x14ac:dyDescent="0.25">
      <c r="H1351" s="134"/>
    </row>
    <row r="1352" spans="8:8" x14ac:dyDescent="0.25">
      <c r="H1352" s="134"/>
    </row>
    <row r="1353" spans="8:8" x14ac:dyDescent="0.25">
      <c r="H1353" s="134"/>
    </row>
    <row r="1354" spans="8:8" x14ac:dyDescent="0.25">
      <c r="H1354" s="134"/>
    </row>
    <row r="1355" spans="8:8" x14ac:dyDescent="0.25">
      <c r="H1355" s="134"/>
    </row>
    <row r="1356" spans="8:8" x14ac:dyDescent="0.25">
      <c r="H1356" s="134"/>
    </row>
    <row r="1357" spans="8:8" x14ac:dyDescent="0.25">
      <c r="H1357" s="134"/>
    </row>
    <row r="1358" spans="8:8" x14ac:dyDescent="0.25">
      <c r="H1358" s="134"/>
    </row>
    <row r="1359" spans="8:8" x14ac:dyDescent="0.25">
      <c r="H1359" s="134"/>
    </row>
    <row r="1360" spans="8:8" x14ac:dyDescent="0.25">
      <c r="H1360" s="134"/>
    </row>
    <row r="1361" spans="8:8" x14ac:dyDescent="0.25">
      <c r="H1361" s="134"/>
    </row>
    <row r="1362" spans="8:8" x14ac:dyDescent="0.25">
      <c r="H1362" s="134"/>
    </row>
    <row r="1363" spans="8:8" x14ac:dyDescent="0.25">
      <c r="H1363" s="134"/>
    </row>
    <row r="1364" spans="8:8" x14ac:dyDescent="0.25">
      <c r="H1364" s="134"/>
    </row>
    <row r="1365" spans="8:8" x14ac:dyDescent="0.25">
      <c r="H1365" s="134"/>
    </row>
    <row r="1366" spans="8:8" x14ac:dyDescent="0.25">
      <c r="H1366" s="134"/>
    </row>
    <row r="1367" spans="8:8" x14ac:dyDescent="0.25">
      <c r="H1367" s="134"/>
    </row>
    <row r="1368" spans="8:8" x14ac:dyDescent="0.25">
      <c r="H1368" s="134"/>
    </row>
    <row r="1369" spans="8:8" x14ac:dyDescent="0.25">
      <c r="H1369" s="134"/>
    </row>
    <row r="1370" spans="8:8" x14ac:dyDescent="0.25">
      <c r="H1370" s="134"/>
    </row>
    <row r="1371" spans="8:8" x14ac:dyDescent="0.25">
      <c r="H1371" s="134"/>
    </row>
    <row r="1372" spans="8:8" x14ac:dyDescent="0.25">
      <c r="H1372" s="134"/>
    </row>
    <row r="1373" spans="8:8" x14ac:dyDescent="0.25">
      <c r="H1373" s="134"/>
    </row>
    <row r="1374" spans="8:8" x14ac:dyDescent="0.25">
      <c r="H1374" s="134"/>
    </row>
    <row r="1375" spans="8:8" x14ac:dyDescent="0.25">
      <c r="H1375" s="134"/>
    </row>
    <row r="1376" spans="8:8" x14ac:dyDescent="0.25">
      <c r="H1376" s="134"/>
    </row>
    <row r="1377" spans="8:8" x14ac:dyDescent="0.25">
      <c r="H1377" s="134"/>
    </row>
    <row r="1378" spans="8:8" x14ac:dyDescent="0.25">
      <c r="H1378" s="134"/>
    </row>
    <row r="1379" spans="8:8" x14ac:dyDescent="0.25">
      <c r="H1379" s="134"/>
    </row>
    <row r="1380" spans="8:8" x14ac:dyDescent="0.25">
      <c r="H1380" s="134"/>
    </row>
    <row r="1381" spans="8:8" x14ac:dyDescent="0.25">
      <c r="H1381" s="134"/>
    </row>
    <row r="1382" spans="8:8" x14ac:dyDescent="0.25">
      <c r="H1382" s="134"/>
    </row>
    <row r="1383" spans="8:8" x14ac:dyDescent="0.25">
      <c r="H1383" s="134"/>
    </row>
    <row r="1384" spans="8:8" x14ac:dyDescent="0.25">
      <c r="H1384" s="134"/>
    </row>
    <row r="1385" spans="8:8" x14ac:dyDescent="0.25">
      <c r="H1385" s="134"/>
    </row>
    <row r="1386" spans="8:8" x14ac:dyDescent="0.25">
      <c r="H1386" s="134"/>
    </row>
    <row r="1387" spans="8:8" x14ac:dyDescent="0.25">
      <c r="H1387" s="134"/>
    </row>
    <row r="1388" spans="8:8" x14ac:dyDescent="0.25">
      <c r="H1388" s="134"/>
    </row>
    <row r="1389" spans="8:8" x14ac:dyDescent="0.25">
      <c r="H1389" s="134"/>
    </row>
    <row r="1390" spans="8:8" x14ac:dyDescent="0.25">
      <c r="H1390" s="134"/>
    </row>
    <row r="1391" spans="8:8" x14ac:dyDescent="0.25">
      <c r="H1391" s="134"/>
    </row>
    <row r="1392" spans="8:8" x14ac:dyDescent="0.25">
      <c r="H1392" s="134"/>
    </row>
    <row r="1393" spans="8:8" x14ac:dyDescent="0.25">
      <c r="H1393" s="134"/>
    </row>
    <row r="1394" spans="8:8" x14ac:dyDescent="0.25">
      <c r="H1394" s="134"/>
    </row>
    <row r="1395" spans="8:8" x14ac:dyDescent="0.25">
      <c r="H1395" s="134"/>
    </row>
    <row r="1396" spans="8:8" x14ac:dyDescent="0.25">
      <c r="H1396" s="134"/>
    </row>
    <row r="1397" spans="8:8" x14ac:dyDescent="0.25">
      <c r="H1397" s="134"/>
    </row>
    <row r="1398" spans="8:8" x14ac:dyDescent="0.25">
      <c r="H1398" s="134"/>
    </row>
    <row r="1399" spans="8:8" x14ac:dyDescent="0.25">
      <c r="H1399" s="134"/>
    </row>
    <row r="1400" spans="8:8" x14ac:dyDescent="0.25">
      <c r="H1400" s="134"/>
    </row>
    <row r="1401" spans="8:8" x14ac:dyDescent="0.25">
      <c r="H1401" s="134"/>
    </row>
    <row r="1402" spans="8:8" x14ac:dyDescent="0.25">
      <c r="H1402" s="134"/>
    </row>
    <row r="1403" spans="8:8" x14ac:dyDescent="0.25">
      <c r="H1403" s="134"/>
    </row>
    <row r="1404" spans="8:8" x14ac:dyDescent="0.25">
      <c r="H1404" s="134"/>
    </row>
    <row r="1405" spans="8:8" x14ac:dyDescent="0.25">
      <c r="H1405" s="134"/>
    </row>
    <row r="1406" spans="8:8" x14ac:dyDescent="0.25">
      <c r="H1406" s="134"/>
    </row>
    <row r="1407" spans="8:8" x14ac:dyDescent="0.25">
      <c r="H1407" s="134"/>
    </row>
    <row r="1408" spans="8:8" x14ac:dyDescent="0.25">
      <c r="H1408" s="134"/>
    </row>
    <row r="1409" spans="8:8" x14ac:dyDescent="0.25">
      <c r="H1409" s="134"/>
    </row>
    <row r="1410" spans="8:8" x14ac:dyDescent="0.25">
      <c r="H1410" s="134"/>
    </row>
    <row r="1411" spans="8:8" x14ac:dyDescent="0.25">
      <c r="H1411" s="134"/>
    </row>
    <row r="1412" spans="8:8" x14ac:dyDescent="0.25">
      <c r="H1412" s="134"/>
    </row>
    <row r="1413" spans="8:8" x14ac:dyDescent="0.25">
      <c r="H1413" s="134"/>
    </row>
    <row r="1414" spans="8:8" x14ac:dyDescent="0.25">
      <c r="H1414" s="134"/>
    </row>
    <row r="1415" spans="8:8" x14ac:dyDescent="0.25">
      <c r="H1415" s="134"/>
    </row>
    <row r="1416" spans="8:8" x14ac:dyDescent="0.25">
      <c r="H1416" s="134"/>
    </row>
    <row r="1417" spans="8:8" x14ac:dyDescent="0.25">
      <c r="H1417" s="134"/>
    </row>
    <row r="1418" spans="8:8" x14ac:dyDescent="0.25">
      <c r="H1418" s="134"/>
    </row>
    <row r="1419" spans="8:8" x14ac:dyDescent="0.25">
      <c r="H1419" s="134"/>
    </row>
    <row r="1420" spans="8:8" x14ac:dyDescent="0.25">
      <c r="H1420" s="134"/>
    </row>
    <row r="1421" spans="8:8" x14ac:dyDescent="0.25">
      <c r="H1421" s="134"/>
    </row>
    <row r="1422" spans="8:8" x14ac:dyDescent="0.25">
      <c r="H1422" s="134"/>
    </row>
    <row r="1423" spans="8:8" x14ac:dyDescent="0.25">
      <c r="H1423" s="134"/>
    </row>
    <row r="1424" spans="8:8" x14ac:dyDescent="0.25">
      <c r="H1424" s="134"/>
    </row>
    <row r="1425" spans="8:8" x14ac:dyDescent="0.25">
      <c r="H1425" s="134"/>
    </row>
    <row r="1426" spans="8:8" x14ac:dyDescent="0.25">
      <c r="H1426" s="134"/>
    </row>
    <row r="1427" spans="8:8" x14ac:dyDescent="0.25">
      <c r="H1427" s="134"/>
    </row>
    <row r="1428" spans="8:8" x14ac:dyDescent="0.25">
      <c r="H1428" s="134"/>
    </row>
    <row r="1429" spans="8:8" x14ac:dyDescent="0.25">
      <c r="H1429" s="134"/>
    </row>
    <row r="1430" spans="8:8" x14ac:dyDescent="0.25">
      <c r="H1430" s="134"/>
    </row>
    <row r="1431" spans="8:8" x14ac:dyDescent="0.25">
      <c r="H1431" s="134"/>
    </row>
    <row r="1432" spans="8:8" x14ac:dyDescent="0.25">
      <c r="H1432" s="134"/>
    </row>
    <row r="1433" spans="8:8" x14ac:dyDescent="0.25">
      <c r="H1433" s="134"/>
    </row>
    <row r="1434" spans="8:8" x14ac:dyDescent="0.25">
      <c r="H1434" s="134"/>
    </row>
    <row r="1435" spans="8:8" x14ac:dyDescent="0.25">
      <c r="H1435" s="134"/>
    </row>
    <row r="1436" spans="8:8" x14ac:dyDescent="0.25">
      <c r="H1436" s="134"/>
    </row>
    <row r="1437" spans="8:8" x14ac:dyDescent="0.25">
      <c r="H1437" s="134"/>
    </row>
    <row r="1438" spans="8:8" x14ac:dyDescent="0.25">
      <c r="H1438" s="134"/>
    </row>
    <row r="1439" spans="8:8" x14ac:dyDescent="0.25">
      <c r="H1439" s="134"/>
    </row>
    <row r="1440" spans="8:8" x14ac:dyDescent="0.25">
      <c r="H1440" s="134"/>
    </row>
    <row r="1441" spans="8:8" x14ac:dyDescent="0.25">
      <c r="H1441" s="134"/>
    </row>
    <row r="1442" spans="8:8" x14ac:dyDescent="0.25">
      <c r="H1442" s="134"/>
    </row>
    <row r="1443" spans="8:8" x14ac:dyDescent="0.25">
      <c r="H1443" s="134"/>
    </row>
    <row r="1444" spans="8:8" x14ac:dyDescent="0.25">
      <c r="H1444" s="134"/>
    </row>
    <row r="1445" spans="8:8" x14ac:dyDescent="0.25">
      <c r="H1445" s="134"/>
    </row>
    <row r="1446" spans="8:8" x14ac:dyDescent="0.25">
      <c r="H1446" s="134"/>
    </row>
    <row r="1447" spans="8:8" x14ac:dyDescent="0.25">
      <c r="H1447" s="134"/>
    </row>
    <row r="1448" spans="8:8" x14ac:dyDescent="0.25">
      <c r="H1448" s="134"/>
    </row>
    <row r="1449" spans="8:8" x14ac:dyDescent="0.25">
      <c r="H1449" s="134"/>
    </row>
    <row r="1450" spans="8:8" x14ac:dyDescent="0.25">
      <c r="H1450" s="134"/>
    </row>
    <row r="1451" spans="8:8" x14ac:dyDescent="0.25">
      <c r="H1451" s="134"/>
    </row>
    <row r="1452" spans="8:8" x14ac:dyDescent="0.25">
      <c r="H1452" s="134"/>
    </row>
    <row r="1453" spans="8:8" x14ac:dyDescent="0.25">
      <c r="H1453" s="134"/>
    </row>
    <row r="1454" spans="8:8" x14ac:dyDescent="0.25">
      <c r="H1454" s="134"/>
    </row>
    <row r="1455" spans="8:8" x14ac:dyDescent="0.25">
      <c r="H1455" s="134"/>
    </row>
    <row r="1456" spans="8:8" x14ac:dyDescent="0.25">
      <c r="H1456" s="134"/>
    </row>
    <row r="1457" spans="8:8" x14ac:dyDescent="0.25">
      <c r="H1457" s="134"/>
    </row>
    <row r="1458" spans="8:8" x14ac:dyDescent="0.25">
      <c r="H1458" s="134"/>
    </row>
    <row r="1459" spans="8:8" x14ac:dyDescent="0.25">
      <c r="H1459" s="134"/>
    </row>
    <row r="1460" spans="8:8" x14ac:dyDescent="0.25">
      <c r="H1460" s="134"/>
    </row>
    <row r="1461" spans="8:8" x14ac:dyDescent="0.25">
      <c r="H1461" s="134"/>
    </row>
    <row r="1462" spans="8:8" x14ac:dyDescent="0.25">
      <c r="H1462" s="134"/>
    </row>
    <row r="1463" spans="8:8" x14ac:dyDescent="0.25">
      <c r="H1463" s="134"/>
    </row>
    <row r="1464" spans="8:8" x14ac:dyDescent="0.25">
      <c r="H1464" s="134"/>
    </row>
    <row r="1465" spans="8:8" x14ac:dyDescent="0.25">
      <c r="H1465" s="134"/>
    </row>
    <row r="1466" spans="8:8" x14ac:dyDescent="0.25">
      <c r="H1466" s="134"/>
    </row>
    <row r="1467" spans="8:8" x14ac:dyDescent="0.25">
      <c r="H1467" s="134"/>
    </row>
    <row r="1468" spans="8:8" x14ac:dyDescent="0.25">
      <c r="H1468" s="134"/>
    </row>
    <row r="1469" spans="8:8" x14ac:dyDescent="0.25">
      <c r="H1469" s="134"/>
    </row>
    <row r="1470" spans="8:8" x14ac:dyDescent="0.25">
      <c r="H1470" s="134"/>
    </row>
    <row r="1471" spans="8:8" x14ac:dyDescent="0.25">
      <c r="H1471" s="134"/>
    </row>
    <row r="1472" spans="8:8" x14ac:dyDescent="0.25">
      <c r="H1472" s="134"/>
    </row>
    <row r="1473" spans="8:8" x14ac:dyDescent="0.25">
      <c r="H1473" s="134"/>
    </row>
    <row r="1474" spans="8:8" x14ac:dyDescent="0.25">
      <c r="H1474" s="134"/>
    </row>
    <row r="1475" spans="8:8" x14ac:dyDescent="0.25">
      <c r="H1475" s="134"/>
    </row>
    <row r="1476" spans="8:8" x14ac:dyDescent="0.25">
      <c r="H1476" s="134"/>
    </row>
    <row r="1477" spans="8:8" x14ac:dyDescent="0.25">
      <c r="H1477" s="134"/>
    </row>
    <row r="1478" spans="8:8" x14ac:dyDescent="0.25">
      <c r="H1478" s="134"/>
    </row>
    <row r="1479" spans="8:8" x14ac:dyDescent="0.25">
      <c r="H1479" s="134"/>
    </row>
    <row r="1480" spans="8:8" x14ac:dyDescent="0.25">
      <c r="H1480" s="134"/>
    </row>
    <row r="1481" spans="8:8" x14ac:dyDescent="0.25">
      <c r="H1481" s="134"/>
    </row>
    <row r="1482" spans="8:8" x14ac:dyDescent="0.25">
      <c r="H1482" s="134"/>
    </row>
    <row r="1483" spans="8:8" x14ac:dyDescent="0.25">
      <c r="H1483" s="134"/>
    </row>
    <row r="1484" spans="8:8" x14ac:dyDescent="0.25">
      <c r="H1484" s="134"/>
    </row>
    <row r="1485" spans="8:8" x14ac:dyDescent="0.25">
      <c r="H1485" s="134"/>
    </row>
    <row r="1486" spans="8:8" x14ac:dyDescent="0.25">
      <c r="H1486" s="134"/>
    </row>
    <row r="1487" spans="8:8" x14ac:dyDescent="0.25">
      <c r="H1487" s="134"/>
    </row>
    <row r="1488" spans="8:8" x14ac:dyDescent="0.25">
      <c r="H1488" s="134"/>
    </row>
    <row r="1489" spans="8:8" x14ac:dyDescent="0.25">
      <c r="H1489" s="134"/>
    </row>
    <row r="1490" spans="8:8" x14ac:dyDescent="0.25">
      <c r="H1490" s="134"/>
    </row>
    <row r="1491" spans="8:8" x14ac:dyDescent="0.25">
      <c r="H1491" s="134"/>
    </row>
    <row r="1492" spans="8:8" x14ac:dyDescent="0.25">
      <c r="H1492" s="134"/>
    </row>
    <row r="1493" spans="8:8" x14ac:dyDescent="0.25">
      <c r="H1493" s="134"/>
    </row>
    <row r="1494" spans="8:8" x14ac:dyDescent="0.25">
      <c r="H1494" s="134"/>
    </row>
    <row r="1495" spans="8:8" x14ac:dyDescent="0.25">
      <c r="H1495" s="134"/>
    </row>
    <row r="1496" spans="8:8" x14ac:dyDescent="0.25">
      <c r="H1496" s="134"/>
    </row>
    <row r="1497" spans="8:8" x14ac:dyDescent="0.25">
      <c r="H1497" s="134"/>
    </row>
    <row r="1498" spans="8:8" x14ac:dyDescent="0.25">
      <c r="H1498" s="134"/>
    </row>
    <row r="1499" spans="8:8" x14ac:dyDescent="0.25">
      <c r="H1499" s="134"/>
    </row>
    <row r="1500" spans="8:8" x14ac:dyDescent="0.25">
      <c r="H1500" s="134"/>
    </row>
    <row r="1501" spans="8:8" x14ac:dyDescent="0.25">
      <c r="H1501" s="134"/>
    </row>
    <row r="1502" spans="8:8" x14ac:dyDescent="0.25">
      <c r="H1502" s="134"/>
    </row>
    <row r="1503" spans="8:8" x14ac:dyDescent="0.25">
      <c r="H1503" s="134"/>
    </row>
    <row r="1504" spans="8:8" x14ac:dyDescent="0.25">
      <c r="H1504" s="134"/>
    </row>
    <row r="1505" spans="8:8" x14ac:dyDescent="0.25">
      <c r="H1505" s="134"/>
    </row>
    <row r="1506" spans="8:8" x14ac:dyDescent="0.25">
      <c r="H1506" s="134"/>
    </row>
    <row r="1507" spans="8:8" x14ac:dyDescent="0.25">
      <c r="H1507" s="134"/>
    </row>
    <row r="1508" spans="8:8" x14ac:dyDescent="0.25">
      <c r="H1508" s="134"/>
    </row>
    <row r="1509" spans="8:8" x14ac:dyDescent="0.25">
      <c r="H1509" s="134"/>
    </row>
    <row r="1510" spans="8:8" x14ac:dyDescent="0.25">
      <c r="H1510" s="134"/>
    </row>
    <row r="1511" spans="8:8" x14ac:dyDescent="0.25">
      <c r="H1511" s="134"/>
    </row>
    <row r="1512" spans="8:8" x14ac:dyDescent="0.25">
      <c r="H1512" s="134"/>
    </row>
    <row r="1513" spans="8:8" x14ac:dyDescent="0.25">
      <c r="H1513" s="134"/>
    </row>
    <row r="1514" spans="8:8" x14ac:dyDescent="0.25">
      <c r="H1514" s="134"/>
    </row>
    <row r="1515" spans="8:8" x14ac:dyDescent="0.25">
      <c r="H1515" s="134"/>
    </row>
    <row r="1516" spans="8:8" x14ac:dyDescent="0.25">
      <c r="H1516" s="134"/>
    </row>
    <row r="1517" spans="8:8" x14ac:dyDescent="0.25">
      <c r="H1517" s="134"/>
    </row>
    <row r="1518" spans="8:8" x14ac:dyDescent="0.25">
      <c r="H1518" s="134"/>
    </row>
    <row r="1519" spans="8:8" x14ac:dyDescent="0.25">
      <c r="H1519" s="134"/>
    </row>
    <row r="1520" spans="8:8" x14ac:dyDescent="0.25">
      <c r="H1520" s="134"/>
    </row>
    <row r="1521" spans="8:8" x14ac:dyDescent="0.25">
      <c r="H1521" s="134"/>
    </row>
    <row r="1522" spans="8:8" x14ac:dyDescent="0.25">
      <c r="H1522" s="134"/>
    </row>
    <row r="1523" spans="8:8" x14ac:dyDescent="0.25">
      <c r="H1523" s="134"/>
    </row>
    <row r="1524" spans="8:8" x14ac:dyDescent="0.25">
      <c r="H1524" s="134"/>
    </row>
    <row r="1525" spans="8:8" x14ac:dyDescent="0.25">
      <c r="H1525" s="134"/>
    </row>
    <row r="1526" spans="8:8" x14ac:dyDescent="0.25">
      <c r="H1526" s="134"/>
    </row>
    <row r="1527" spans="8:8" x14ac:dyDescent="0.25">
      <c r="H1527" s="134"/>
    </row>
    <row r="1528" spans="8:8" x14ac:dyDescent="0.25">
      <c r="H1528" s="134"/>
    </row>
    <row r="1529" spans="8:8" x14ac:dyDescent="0.25">
      <c r="H1529" s="134"/>
    </row>
    <row r="1530" spans="8:8" x14ac:dyDescent="0.25">
      <c r="H1530" s="134"/>
    </row>
    <row r="1531" spans="8:8" x14ac:dyDescent="0.25">
      <c r="H1531" s="134"/>
    </row>
    <row r="1532" spans="8:8" x14ac:dyDescent="0.25">
      <c r="H1532" s="134"/>
    </row>
    <row r="1533" spans="8:8" x14ac:dyDescent="0.25">
      <c r="H1533" s="134"/>
    </row>
    <row r="1534" spans="8:8" x14ac:dyDescent="0.25">
      <c r="H1534" s="134"/>
    </row>
    <row r="1535" spans="8:8" x14ac:dyDescent="0.25">
      <c r="H1535" s="134"/>
    </row>
    <row r="1536" spans="8:8" x14ac:dyDescent="0.25">
      <c r="H1536" s="134"/>
    </row>
    <row r="1537" spans="8:8" x14ac:dyDescent="0.25">
      <c r="H1537" s="134"/>
    </row>
    <row r="1538" spans="8:8" x14ac:dyDescent="0.25">
      <c r="H1538" s="134"/>
    </row>
    <row r="1539" spans="8:8" x14ac:dyDescent="0.25">
      <c r="H1539" s="134"/>
    </row>
    <row r="1540" spans="8:8" x14ac:dyDescent="0.25">
      <c r="H1540" s="134"/>
    </row>
    <row r="1541" spans="8:8" x14ac:dyDescent="0.25">
      <c r="H1541" s="134"/>
    </row>
    <row r="1542" spans="8:8" x14ac:dyDescent="0.25">
      <c r="H1542" s="134"/>
    </row>
    <row r="1543" spans="8:8" x14ac:dyDescent="0.25">
      <c r="H1543" s="134"/>
    </row>
    <row r="1544" spans="8:8" x14ac:dyDescent="0.25">
      <c r="H1544" s="134"/>
    </row>
    <row r="1545" spans="8:8" x14ac:dyDescent="0.25">
      <c r="H1545" s="134"/>
    </row>
    <row r="1546" spans="8:8" x14ac:dyDescent="0.25">
      <c r="H1546" s="134"/>
    </row>
    <row r="1547" spans="8:8" x14ac:dyDescent="0.25">
      <c r="H1547" s="134"/>
    </row>
    <row r="1548" spans="8:8" x14ac:dyDescent="0.25">
      <c r="H1548" s="134"/>
    </row>
    <row r="1549" spans="8:8" x14ac:dyDescent="0.25">
      <c r="H1549" s="134"/>
    </row>
    <row r="1550" spans="8:8" x14ac:dyDescent="0.25">
      <c r="H1550" s="134"/>
    </row>
    <row r="1551" spans="8:8" x14ac:dyDescent="0.25">
      <c r="H1551" s="134"/>
    </row>
    <row r="1552" spans="8:8" x14ac:dyDescent="0.25">
      <c r="H1552" s="134"/>
    </row>
    <row r="1553" spans="8:8" x14ac:dyDescent="0.25">
      <c r="H1553" s="134"/>
    </row>
    <row r="1554" spans="8:8" x14ac:dyDescent="0.25">
      <c r="H1554" s="134"/>
    </row>
    <row r="1555" spans="8:8" x14ac:dyDescent="0.25">
      <c r="H1555" s="134"/>
    </row>
    <row r="1556" spans="8:8" x14ac:dyDescent="0.25">
      <c r="H1556" s="134"/>
    </row>
    <row r="1557" spans="8:8" x14ac:dyDescent="0.25">
      <c r="H1557" s="134"/>
    </row>
    <row r="1558" spans="8:8" x14ac:dyDescent="0.25">
      <c r="H1558" s="134"/>
    </row>
    <row r="1559" spans="8:8" x14ac:dyDescent="0.25">
      <c r="H1559" s="134"/>
    </row>
    <row r="1560" spans="8:8" x14ac:dyDescent="0.25">
      <c r="H1560" s="134"/>
    </row>
    <row r="1561" spans="8:8" x14ac:dyDescent="0.25">
      <c r="H1561" s="134"/>
    </row>
    <row r="1562" spans="8:8" x14ac:dyDescent="0.25">
      <c r="H1562" s="134"/>
    </row>
    <row r="1563" spans="8:8" x14ac:dyDescent="0.25">
      <c r="H1563" s="134"/>
    </row>
    <row r="1564" spans="8:8" x14ac:dyDescent="0.25">
      <c r="H1564" s="134"/>
    </row>
    <row r="1565" spans="8:8" x14ac:dyDescent="0.25">
      <c r="H1565" s="134"/>
    </row>
    <row r="1566" spans="8:8" x14ac:dyDescent="0.25">
      <c r="H1566" s="134"/>
    </row>
    <row r="1567" spans="8:8" x14ac:dyDescent="0.25">
      <c r="H1567" s="134"/>
    </row>
    <row r="1568" spans="8:8" x14ac:dyDescent="0.25">
      <c r="H1568" s="134"/>
    </row>
    <row r="1569" spans="8:8" x14ac:dyDescent="0.25">
      <c r="H1569" s="134"/>
    </row>
    <row r="1570" spans="8:8" x14ac:dyDescent="0.25">
      <c r="H1570" s="134"/>
    </row>
    <row r="1571" spans="8:8" x14ac:dyDescent="0.25">
      <c r="H1571" s="134"/>
    </row>
    <row r="1572" spans="8:8" x14ac:dyDescent="0.25">
      <c r="H1572" s="134"/>
    </row>
    <row r="1573" spans="8:8" x14ac:dyDescent="0.25">
      <c r="H1573" s="134"/>
    </row>
    <row r="1574" spans="8:8" x14ac:dyDescent="0.25">
      <c r="H1574" s="134"/>
    </row>
    <row r="1575" spans="8:8" x14ac:dyDescent="0.25">
      <c r="H1575" s="134"/>
    </row>
    <row r="1576" spans="8:8" x14ac:dyDescent="0.25">
      <c r="H1576" s="134"/>
    </row>
    <row r="1577" spans="8:8" x14ac:dyDescent="0.25">
      <c r="H1577" s="134"/>
    </row>
    <row r="1578" spans="8:8" x14ac:dyDescent="0.25">
      <c r="H1578" s="134"/>
    </row>
    <row r="1579" spans="8:8" x14ac:dyDescent="0.25">
      <c r="H1579" s="134"/>
    </row>
    <row r="1580" spans="8:8" x14ac:dyDescent="0.25">
      <c r="H1580" s="134"/>
    </row>
    <row r="1581" spans="8:8" x14ac:dyDescent="0.25">
      <c r="H1581" s="134"/>
    </row>
    <row r="1582" spans="8:8" x14ac:dyDescent="0.25">
      <c r="H1582" s="134"/>
    </row>
    <row r="1583" spans="8:8" x14ac:dyDescent="0.25">
      <c r="H1583" s="134"/>
    </row>
    <row r="1584" spans="8:8" x14ac:dyDescent="0.25">
      <c r="H1584" s="134"/>
    </row>
    <row r="1585" spans="8:8" x14ac:dyDescent="0.25">
      <c r="H1585" s="134"/>
    </row>
    <row r="1586" spans="8:8" x14ac:dyDescent="0.25">
      <c r="H1586" s="134"/>
    </row>
    <row r="1587" spans="8:8" x14ac:dyDescent="0.25">
      <c r="H1587" s="134"/>
    </row>
    <row r="1588" spans="8:8" x14ac:dyDescent="0.25">
      <c r="H1588" s="134"/>
    </row>
    <row r="1589" spans="8:8" x14ac:dyDescent="0.25">
      <c r="H1589" s="134"/>
    </row>
    <row r="1590" spans="8:8" x14ac:dyDescent="0.25">
      <c r="H1590" s="134"/>
    </row>
    <row r="1591" spans="8:8" x14ac:dyDescent="0.25">
      <c r="H1591" s="134"/>
    </row>
    <row r="1592" spans="8:8" x14ac:dyDescent="0.25">
      <c r="H1592" s="134"/>
    </row>
    <row r="1593" spans="8:8" x14ac:dyDescent="0.25">
      <c r="H1593" s="134"/>
    </row>
    <row r="1594" spans="8:8" x14ac:dyDescent="0.25">
      <c r="H1594" s="134"/>
    </row>
    <row r="1595" spans="8:8" x14ac:dyDescent="0.25">
      <c r="H1595" s="134"/>
    </row>
    <row r="1596" spans="8:8" x14ac:dyDescent="0.25">
      <c r="H1596" s="134"/>
    </row>
    <row r="1597" spans="8:8" x14ac:dyDescent="0.25">
      <c r="H1597" s="134"/>
    </row>
    <row r="1598" spans="8:8" x14ac:dyDescent="0.25">
      <c r="H1598" s="134"/>
    </row>
    <row r="1599" spans="8:8" x14ac:dyDescent="0.25">
      <c r="H1599" s="134"/>
    </row>
    <row r="1600" spans="8:8" x14ac:dyDescent="0.25">
      <c r="H1600" s="134"/>
    </row>
    <row r="1601" spans="8:8" x14ac:dyDescent="0.25">
      <c r="H1601" s="134"/>
    </row>
    <row r="1602" spans="8:8" x14ac:dyDescent="0.25">
      <c r="H1602" s="134"/>
    </row>
    <row r="1603" spans="8:8" x14ac:dyDescent="0.25">
      <c r="H1603" s="134"/>
    </row>
    <row r="1604" spans="8:8" x14ac:dyDescent="0.25">
      <c r="H1604" s="134"/>
    </row>
    <row r="1605" spans="8:8" x14ac:dyDescent="0.25">
      <c r="H1605" s="134"/>
    </row>
    <row r="1606" spans="8:8" x14ac:dyDescent="0.25">
      <c r="H1606" s="134"/>
    </row>
    <row r="1607" spans="8:8" x14ac:dyDescent="0.25">
      <c r="H1607" s="134"/>
    </row>
    <row r="1608" spans="8:8" x14ac:dyDescent="0.25">
      <c r="H1608" s="134"/>
    </row>
    <row r="1609" spans="8:8" x14ac:dyDescent="0.25">
      <c r="H1609" s="134"/>
    </row>
    <row r="1610" spans="8:8" x14ac:dyDescent="0.25">
      <c r="H1610" s="134"/>
    </row>
    <row r="1611" spans="8:8" x14ac:dyDescent="0.25">
      <c r="H1611" s="134"/>
    </row>
    <row r="1612" spans="8:8" x14ac:dyDescent="0.25">
      <c r="H1612" s="134"/>
    </row>
    <row r="1613" spans="8:8" x14ac:dyDescent="0.25">
      <c r="H1613" s="134"/>
    </row>
    <row r="1614" spans="8:8" x14ac:dyDescent="0.25">
      <c r="H1614" s="134"/>
    </row>
    <row r="1615" spans="8:8" x14ac:dyDescent="0.25">
      <c r="H1615" s="134"/>
    </row>
    <row r="1616" spans="8:8" x14ac:dyDescent="0.25">
      <c r="H1616" s="134"/>
    </row>
    <row r="1617" spans="8:8" x14ac:dyDescent="0.25">
      <c r="H1617" s="134"/>
    </row>
    <row r="1618" spans="8:8" x14ac:dyDescent="0.25">
      <c r="H1618" s="134"/>
    </row>
    <row r="1619" spans="8:8" x14ac:dyDescent="0.25">
      <c r="H1619" s="134"/>
    </row>
    <row r="1620" spans="8:8" x14ac:dyDescent="0.25">
      <c r="H1620" s="134"/>
    </row>
    <row r="1621" spans="8:8" x14ac:dyDescent="0.25">
      <c r="H1621" s="134"/>
    </row>
    <row r="1622" spans="8:8" x14ac:dyDescent="0.25">
      <c r="H1622" s="134"/>
    </row>
    <row r="1623" spans="8:8" x14ac:dyDescent="0.25">
      <c r="H1623" s="134"/>
    </row>
    <row r="1624" spans="8:8" x14ac:dyDescent="0.25">
      <c r="H1624" s="134"/>
    </row>
    <row r="1625" spans="8:8" x14ac:dyDescent="0.25">
      <c r="H1625" s="134"/>
    </row>
    <row r="1626" spans="8:8" x14ac:dyDescent="0.25">
      <c r="H1626" s="134"/>
    </row>
    <row r="1627" spans="8:8" x14ac:dyDescent="0.25">
      <c r="H1627" s="134"/>
    </row>
    <row r="1628" spans="8:8" x14ac:dyDescent="0.25">
      <c r="H1628" s="134"/>
    </row>
    <row r="1629" spans="8:8" x14ac:dyDescent="0.25">
      <c r="H1629" s="134"/>
    </row>
    <row r="1630" spans="8:8" x14ac:dyDescent="0.25">
      <c r="H1630" s="134"/>
    </row>
    <row r="1631" spans="8:8" x14ac:dyDescent="0.25">
      <c r="H1631" s="134"/>
    </row>
    <row r="1632" spans="8:8" x14ac:dyDescent="0.25">
      <c r="H1632" s="134"/>
    </row>
    <row r="1633" spans="8:8" x14ac:dyDescent="0.25">
      <c r="H1633" s="134"/>
    </row>
    <row r="1634" spans="8:8" x14ac:dyDescent="0.25">
      <c r="H1634" s="134"/>
    </row>
    <row r="1635" spans="8:8" x14ac:dyDescent="0.25">
      <c r="H1635" s="134"/>
    </row>
    <row r="1636" spans="8:8" x14ac:dyDescent="0.25">
      <c r="H1636" s="134"/>
    </row>
    <row r="1637" spans="8:8" x14ac:dyDescent="0.25">
      <c r="H1637" s="134"/>
    </row>
    <row r="1638" spans="8:8" x14ac:dyDescent="0.25">
      <c r="H1638" s="134"/>
    </row>
    <row r="1639" spans="8:8" x14ac:dyDescent="0.25">
      <c r="H1639" s="134"/>
    </row>
    <row r="1640" spans="8:8" x14ac:dyDescent="0.25">
      <c r="H1640" s="134"/>
    </row>
    <row r="1641" spans="8:8" x14ac:dyDescent="0.25">
      <c r="H1641" s="134"/>
    </row>
    <row r="1642" spans="8:8" x14ac:dyDescent="0.25">
      <c r="H1642" s="134"/>
    </row>
    <row r="1643" spans="8:8" x14ac:dyDescent="0.25">
      <c r="H1643" s="134"/>
    </row>
    <row r="1644" spans="8:8" x14ac:dyDescent="0.25">
      <c r="H1644" s="134"/>
    </row>
    <row r="1645" spans="8:8" x14ac:dyDescent="0.25">
      <c r="H1645" s="134"/>
    </row>
    <row r="1646" spans="8:8" x14ac:dyDescent="0.25">
      <c r="H1646" s="134"/>
    </row>
    <row r="1647" spans="8:8" x14ac:dyDescent="0.25">
      <c r="H1647" s="134"/>
    </row>
    <row r="1648" spans="8:8" x14ac:dyDescent="0.25">
      <c r="H1648" s="134"/>
    </row>
    <row r="1649" spans="8:8" x14ac:dyDescent="0.25">
      <c r="H1649" s="134"/>
    </row>
    <row r="1650" spans="8:8" x14ac:dyDescent="0.25">
      <c r="H1650" s="134"/>
    </row>
    <row r="1651" spans="8:8" x14ac:dyDescent="0.25">
      <c r="H1651" s="134"/>
    </row>
    <row r="1652" spans="8:8" x14ac:dyDescent="0.25">
      <c r="H1652" s="134"/>
    </row>
    <row r="1653" spans="8:8" x14ac:dyDescent="0.25">
      <c r="H1653" s="134"/>
    </row>
    <row r="1654" spans="8:8" x14ac:dyDescent="0.25">
      <c r="H1654" s="134"/>
    </row>
    <row r="1655" spans="8:8" x14ac:dyDescent="0.25">
      <c r="H1655" s="134"/>
    </row>
    <row r="1656" spans="8:8" x14ac:dyDescent="0.25">
      <c r="H1656" s="134"/>
    </row>
    <row r="1657" spans="8:8" x14ac:dyDescent="0.25">
      <c r="H1657" s="134"/>
    </row>
    <row r="1658" spans="8:8" x14ac:dyDescent="0.25">
      <c r="H1658" s="134"/>
    </row>
    <row r="1659" spans="8:8" x14ac:dyDescent="0.25">
      <c r="H1659" s="134"/>
    </row>
    <row r="1660" spans="8:8" x14ac:dyDescent="0.25">
      <c r="H1660" s="134"/>
    </row>
    <row r="1661" spans="8:8" x14ac:dyDescent="0.25">
      <c r="H1661" s="134"/>
    </row>
    <row r="1662" spans="8:8" x14ac:dyDescent="0.25">
      <c r="H1662" s="134"/>
    </row>
    <row r="1663" spans="8:8" x14ac:dyDescent="0.25">
      <c r="H1663" s="134"/>
    </row>
    <row r="1664" spans="8:8" x14ac:dyDescent="0.25">
      <c r="H1664" s="134"/>
    </row>
    <row r="1665" spans="8:8" x14ac:dyDescent="0.25">
      <c r="H1665" s="134"/>
    </row>
    <row r="1666" spans="8:8" x14ac:dyDescent="0.25">
      <c r="H1666" s="134"/>
    </row>
    <row r="1667" spans="8:8" x14ac:dyDescent="0.25">
      <c r="H1667" s="134"/>
    </row>
    <row r="1668" spans="8:8" x14ac:dyDescent="0.25">
      <c r="H1668" s="134"/>
    </row>
    <row r="1669" spans="8:8" x14ac:dyDescent="0.25">
      <c r="H1669" s="134"/>
    </row>
    <row r="1670" spans="8:8" x14ac:dyDescent="0.25">
      <c r="H1670" s="134"/>
    </row>
    <row r="1671" spans="8:8" x14ac:dyDescent="0.25">
      <c r="H1671" s="134"/>
    </row>
    <row r="1672" spans="8:8" x14ac:dyDescent="0.25">
      <c r="H1672" s="134"/>
    </row>
    <row r="1673" spans="8:8" x14ac:dyDescent="0.25">
      <c r="H1673" s="134"/>
    </row>
    <row r="1674" spans="8:8" x14ac:dyDescent="0.25">
      <c r="H1674" s="134"/>
    </row>
    <row r="1675" spans="8:8" x14ac:dyDescent="0.25">
      <c r="H1675" s="134"/>
    </row>
    <row r="1676" spans="8:8" x14ac:dyDescent="0.25">
      <c r="H1676" s="134"/>
    </row>
    <row r="1677" spans="8:8" x14ac:dyDescent="0.25">
      <c r="H1677" s="134"/>
    </row>
    <row r="1678" spans="8:8" x14ac:dyDescent="0.25">
      <c r="H1678" s="134"/>
    </row>
    <row r="1679" spans="8:8" x14ac:dyDescent="0.25">
      <c r="H1679" s="134"/>
    </row>
    <row r="1680" spans="8:8" x14ac:dyDescent="0.25">
      <c r="H1680" s="134"/>
    </row>
    <row r="1681" spans="8:8" x14ac:dyDescent="0.25">
      <c r="H1681" s="134"/>
    </row>
    <row r="1682" spans="8:8" x14ac:dyDescent="0.25">
      <c r="H1682" s="134"/>
    </row>
    <row r="1683" spans="8:8" x14ac:dyDescent="0.25">
      <c r="H1683" s="134"/>
    </row>
    <row r="1684" spans="8:8" x14ac:dyDescent="0.25">
      <c r="H1684" s="134"/>
    </row>
    <row r="1685" spans="8:8" x14ac:dyDescent="0.25">
      <c r="H1685" s="134"/>
    </row>
    <row r="1686" spans="8:8" x14ac:dyDescent="0.25">
      <c r="H1686" s="134"/>
    </row>
    <row r="1687" spans="8:8" x14ac:dyDescent="0.25">
      <c r="H1687" s="134"/>
    </row>
    <row r="1688" spans="8:8" x14ac:dyDescent="0.25">
      <c r="H1688" s="134"/>
    </row>
    <row r="1689" spans="8:8" x14ac:dyDescent="0.25">
      <c r="H1689" s="134"/>
    </row>
    <row r="1690" spans="8:8" x14ac:dyDescent="0.25">
      <c r="H1690" s="134"/>
    </row>
    <row r="1691" spans="8:8" x14ac:dyDescent="0.25">
      <c r="H1691" s="134"/>
    </row>
    <row r="1692" spans="8:8" x14ac:dyDescent="0.25">
      <c r="H1692" s="134"/>
    </row>
    <row r="1693" spans="8:8" x14ac:dyDescent="0.25">
      <c r="H1693" s="134"/>
    </row>
    <row r="1694" spans="8:8" x14ac:dyDescent="0.25">
      <c r="H1694" s="134"/>
    </row>
    <row r="1695" spans="8:8" x14ac:dyDescent="0.25">
      <c r="H1695" s="134"/>
    </row>
    <row r="1696" spans="8:8" x14ac:dyDescent="0.25">
      <c r="H1696" s="134"/>
    </row>
    <row r="1697" spans="8:8" x14ac:dyDescent="0.25">
      <c r="H1697" s="134"/>
    </row>
    <row r="1698" spans="8:8" x14ac:dyDescent="0.25">
      <c r="H1698" s="134"/>
    </row>
    <row r="1699" spans="8:8" x14ac:dyDescent="0.25">
      <c r="H1699" s="134"/>
    </row>
    <row r="1700" spans="8:8" x14ac:dyDescent="0.25">
      <c r="H1700" s="134"/>
    </row>
    <row r="1701" spans="8:8" x14ac:dyDescent="0.25">
      <c r="H1701" s="134"/>
    </row>
    <row r="1702" spans="8:8" x14ac:dyDescent="0.25">
      <c r="H1702" s="134"/>
    </row>
    <row r="1703" spans="8:8" x14ac:dyDescent="0.25">
      <c r="H1703" s="134"/>
    </row>
    <row r="1704" spans="8:8" x14ac:dyDescent="0.25">
      <c r="H1704" s="134"/>
    </row>
    <row r="1705" spans="8:8" x14ac:dyDescent="0.25">
      <c r="H1705" s="134"/>
    </row>
    <row r="1706" spans="8:8" x14ac:dyDescent="0.25">
      <c r="H1706" s="134"/>
    </row>
    <row r="1707" spans="8:8" x14ac:dyDescent="0.25">
      <c r="H1707" s="134"/>
    </row>
    <row r="1708" spans="8:8" x14ac:dyDescent="0.25">
      <c r="H1708" s="134"/>
    </row>
    <row r="1709" spans="8:8" x14ac:dyDescent="0.25">
      <c r="H1709" s="134"/>
    </row>
    <row r="1710" spans="8:8" x14ac:dyDescent="0.25">
      <c r="H1710" s="134"/>
    </row>
    <row r="1711" spans="8:8" x14ac:dyDescent="0.25">
      <c r="H1711" s="134"/>
    </row>
    <row r="1712" spans="8:8" x14ac:dyDescent="0.25">
      <c r="H1712" s="134"/>
    </row>
    <row r="1713" spans="8:8" x14ac:dyDescent="0.25">
      <c r="H1713" s="134"/>
    </row>
    <row r="1714" spans="8:8" x14ac:dyDescent="0.25">
      <c r="H1714" s="134"/>
    </row>
    <row r="1715" spans="8:8" x14ac:dyDescent="0.25">
      <c r="H1715" s="134"/>
    </row>
    <row r="1716" spans="8:8" x14ac:dyDescent="0.25">
      <c r="H1716" s="134"/>
    </row>
    <row r="1717" spans="8:8" x14ac:dyDescent="0.25">
      <c r="H1717" s="134"/>
    </row>
    <row r="1718" spans="8:8" x14ac:dyDescent="0.25">
      <c r="H1718" s="134"/>
    </row>
    <row r="1719" spans="8:8" x14ac:dyDescent="0.25">
      <c r="H1719" s="134"/>
    </row>
    <row r="1720" spans="8:8" x14ac:dyDescent="0.25">
      <c r="H1720" s="134"/>
    </row>
    <row r="1721" spans="8:8" x14ac:dyDescent="0.25">
      <c r="H1721" s="134"/>
    </row>
    <row r="1722" spans="8:8" x14ac:dyDescent="0.25">
      <c r="H1722" s="134"/>
    </row>
    <row r="1723" spans="8:8" x14ac:dyDescent="0.25">
      <c r="H1723" s="134"/>
    </row>
    <row r="1724" spans="8:8" x14ac:dyDescent="0.25">
      <c r="H1724" s="134"/>
    </row>
    <row r="1725" spans="8:8" x14ac:dyDescent="0.25">
      <c r="H1725" s="134"/>
    </row>
    <row r="1726" spans="8:8" x14ac:dyDescent="0.25">
      <c r="H1726" s="134"/>
    </row>
    <row r="1727" spans="8:8" x14ac:dyDescent="0.25">
      <c r="H1727" s="134"/>
    </row>
    <row r="1728" spans="8:8" x14ac:dyDescent="0.25">
      <c r="H1728" s="134"/>
    </row>
    <row r="1729" spans="8:8" x14ac:dyDescent="0.25">
      <c r="H1729" s="134"/>
    </row>
    <row r="1730" spans="8:8" x14ac:dyDescent="0.25">
      <c r="H1730" s="134"/>
    </row>
    <row r="1731" spans="8:8" x14ac:dyDescent="0.25">
      <c r="H1731" s="134"/>
    </row>
    <row r="1732" spans="8:8" x14ac:dyDescent="0.25">
      <c r="H1732" s="134"/>
    </row>
    <row r="1733" spans="8:8" x14ac:dyDescent="0.25">
      <c r="H1733" s="134"/>
    </row>
    <row r="1734" spans="8:8" x14ac:dyDescent="0.25">
      <c r="H1734" s="134"/>
    </row>
    <row r="1735" spans="8:8" x14ac:dyDescent="0.25">
      <c r="H1735" s="134"/>
    </row>
    <row r="1736" spans="8:8" x14ac:dyDescent="0.25">
      <c r="H1736" s="134"/>
    </row>
    <row r="1737" spans="8:8" x14ac:dyDescent="0.25">
      <c r="H1737" s="134"/>
    </row>
    <row r="1738" spans="8:8" x14ac:dyDescent="0.25">
      <c r="H1738" s="134"/>
    </row>
    <row r="1739" spans="8:8" x14ac:dyDescent="0.25">
      <c r="H1739" s="134"/>
    </row>
    <row r="1740" spans="8:8" x14ac:dyDescent="0.25">
      <c r="H1740" s="134"/>
    </row>
    <row r="1741" spans="8:8" x14ac:dyDescent="0.25">
      <c r="H1741" s="134"/>
    </row>
    <row r="1742" spans="8:8" x14ac:dyDescent="0.25">
      <c r="H1742" s="134"/>
    </row>
    <row r="1743" spans="8:8" x14ac:dyDescent="0.25">
      <c r="H1743" s="134"/>
    </row>
    <row r="1744" spans="8:8" x14ac:dyDescent="0.25">
      <c r="H1744" s="134"/>
    </row>
    <row r="1745" spans="8:8" x14ac:dyDescent="0.25">
      <c r="H1745" s="134"/>
    </row>
    <row r="1746" spans="8:8" x14ac:dyDescent="0.25">
      <c r="H1746" s="134"/>
    </row>
    <row r="1747" spans="8:8" x14ac:dyDescent="0.25">
      <c r="H1747" s="134"/>
    </row>
    <row r="1748" spans="8:8" x14ac:dyDescent="0.25">
      <c r="H1748" s="134"/>
    </row>
    <row r="1749" spans="8:8" x14ac:dyDescent="0.25">
      <c r="H1749" s="134"/>
    </row>
    <row r="1750" spans="8:8" x14ac:dyDescent="0.25">
      <c r="H1750" s="134"/>
    </row>
    <row r="1751" spans="8:8" x14ac:dyDescent="0.25">
      <c r="H1751" s="134"/>
    </row>
    <row r="1752" spans="8:8" x14ac:dyDescent="0.25">
      <c r="H1752" s="134"/>
    </row>
    <row r="1753" spans="8:8" x14ac:dyDescent="0.25">
      <c r="H1753" s="134"/>
    </row>
    <row r="1754" spans="8:8" x14ac:dyDescent="0.25">
      <c r="H1754" s="134"/>
    </row>
    <row r="1755" spans="8:8" x14ac:dyDescent="0.25">
      <c r="H1755" s="134"/>
    </row>
    <row r="1756" spans="8:8" x14ac:dyDescent="0.25">
      <c r="H1756" s="134"/>
    </row>
    <row r="1757" spans="8:8" x14ac:dyDescent="0.25">
      <c r="H1757" s="134"/>
    </row>
    <row r="1758" spans="8:8" x14ac:dyDescent="0.25">
      <c r="H1758" s="134"/>
    </row>
    <row r="1759" spans="8:8" x14ac:dyDescent="0.25">
      <c r="H1759" s="134"/>
    </row>
    <row r="1760" spans="8:8" x14ac:dyDescent="0.25">
      <c r="H1760" s="134"/>
    </row>
    <row r="1761" spans="8:8" x14ac:dyDescent="0.25">
      <c r="H1761" s="134"/>
    </row>
    <row r="1762" spans="8:8" x14ac:dyDescent="0.25">
      <c r="H1762" s="134"/>
    </row>
    <row r="1763" spans="8:8" x14ac:dyDescent="0.25">
      <c r="H1763" s="134"/>
    </row>
    <row r="1764" spans="8:8" x14ac:dyDescent="0.25">
      <c r="H1764" s="134"/>
    </row>
    <row r="1765" spans="8:8" x14ac:dyDescent="0.25">
      <c r="H1765" s="134"/>
    </row>
    <row r="1766" spans="8:8" x14ac:dyDescent="0.25">
      <c r="H1766" s="134"/>
    </row>
    <row r="1767" spans="8:8" x14ac:dyDescent="0.25">
      <c r="H1767" s="134"/>
    </row>
    <row r="1768" spans="8:8" x14ac:dyDescent="0.25">
      <c r="H1768" s="134"/>
    </row>
    <row r="1769" spans="8:8" x14ac:dyDescent="0.25">
      <c r="H1769" s="134"/>
    </row>
    <row r="1770" spans="8:8" x14ac:dyDescent="0.25">
      <c r="H1770" s="134"/>
    </row>
    <row r="1771" spans="8:8" x14ac:dyDescent="0.25">
      <c r="H1771" s="134"/>
    </row>
    <row r="1772" spans="8:8" x14ac:dyDescent="0.25">
      <c r="H1772" s="134"/>
    </row>
    <row r="1773" spans="8:8" x14ac:dyDescent="0.25">
      <c r="H1773" s="134"/>
    </row>
    <row r="1774" spans="8:8" x14ac:dyDescent="0.25">
      <c r="H1774" s="134"/>
    </row>
    <row r="1775" spans="8:8" x14ac:dyDescent="0.25">
      <c r="H1775" s="134"/>
    </row>
    <row r="1776" spans="8:8" x14ac:dyDescent="0.25">
      <c r="H1776" s="134"/>
    </row>
    <row r="1777" spans="8:8" x14ac:dyDescent="0.25">
      <c r="H1777" s="134"/>
    </row>
    <row r="1778" spans="8:8" x14ac:dyDescent="0.25">
      <c r="H1778" s="134"/>
    </row>
    <row r="1779" spans="8:8" x14ac:dyDescent="0.25">
      <c r="H1779" s="134"/>
    </row>
    <row r="1780" spans="8:8" x14ac:dyDescent="0.25">
      <c r="H1780" s="134"/>
    </row>
    <row r="1781" spans="8:8" x14ac:dyDescent="0.25">
      <c r="H1781" s="134"/>
    </row>
    <row r="1782" spans="8:8" x14ac:dyDescent="0.25">
      <c r="H1782" s="134"/>
    </row>
    <row r="1783" spans="8:8" x14ac:dyDescent="0.25">
      <c r="H1783" s="134"/>
    </row>
    <row r="1784" spans="8:8" x14ac:dyDescent="0.25">
      <c r="H1784" s="134"/>
    </row>
    <row r="1785" spans="8:8" x14ac:dyDescent="0.25">
      <c r="H1785" s="134"/>
    </row>
    <row r="1786" spans="8:8" x14ac:dyDescent="0.25">
      <c r="H1786" s="134"/>
    </row>
    <row r="1787" spans="8:8" x14ac:dyDescent="0.25">
      <c r="H1787" s="134"/>
    </row>
    <row r="1788" spans="8:8" x14ac:dyDescent="0.25">
      <c r="H1788" s="134"/>
    </row>
    <row r="1789" spans="8:8" x14ac:dyDescent="0.25">
      <c r="H1789" s="134"/>
    </row>
    <row r="1790" spans="8:8" x14ac:dyDescent="0.25">
      <c r="H1790" s="134"/>
    </row>
    <row r="1791" spans="8:8" x14ac:dyDescent="0.25">
      <c r="H1791" s="134"/>
    </row>
    <row r="1792" spans="8:8" x14ac:dyDescent="0.25">
      <c r="H1792" s="134"/>
    </row>
    <row r="1793" spans="8:8" x14ac:dyDescent="0.25">
      <c r="H1793" s="134"/>
    </row>
    <row r="1794" spans="8:8" x14ac:dyDescent="0.25">
      <c r="H1794" s="134"/>
    </row>
    <row r="1795" spans="8:8" x14ac:dyDescent="0.25">
      <c r="H1795" s="134"/>
    </row>
    <row r="1796" spans="8:8" x14ac:dyDescent="0.25">
      <c r="H1796" s="134"/>
    </row>
    <row r="1797" spans="8:8" x14ac:dyDescent="0.25">
      <c r="H1797" s="134"/>
    </row>
    <row r="1798" spans="8:8" x14ac:dyDescent="0.25">
      <c r="H1798" s="134"/>
    </row>
    <row r="1799" spans="8:8" x14ac:dyDescent="0.25">
      <c r="H1799" s="134"/>
    </row>
    <row r="1800" spans="8:8" x14ac:dyDescent="0.25">
      <c r="H1800" s="134"/>
    </row>
    <row r="1801" spans="8:8" x14ac:dyDescent="0.25">
      <c r="H1801" s="134"/>
    </row>
    <row r="1802" spans="8:8" x14ac:dyDescent="0.25">
      <c r="H1802" s="134"/>
    </row>
    <row r="1803" spans="8:8" x14ac:dyDescent="0.25">
      <c r="H1803" s="134"/>
    </row>
    <row r="1804" spans="8:8" x14ac:dyDescent="0.25">
      <c r="H1804" s="134"/>
    </row>
    <row r="1805" spans="8:8" x14ac:dyDescent="0.25">
      <c r="H1805" s="134"/>
    </row>
    <row r="1806" spans="8:8" x14ac:dyDescent="0.25">
      <c r="H1806" s="134"/>
    </row>
    <row r="1807" spans="8:8" x14ac:dyDescent="0.25">
      <c r="H1807" s="134"/>
    </row>
    <row r="1808" spans="8:8" x14ac:dyDescent="0.25">
      <c r="H1808" s="134"/>
    </row>
    <row r="1809" spans="8:8" x14ac:dyDescent="0.25">
      <c r="H1809" s="134"/>
    </row>
    <row r="1810" spans="8:8" x14ac:dyDescent="0.25">
      <c r="H1810" s="134"/>
    </row>
    <row r="1811" spans="8:8" x14ac:dyDescent="0.25">
      <c r="H1811" s="134"/>
    </row>
    <row r="1812" spans="8:8" x14ac:dyDescent="0.25">
      <c r="H1812" s="134"/>
    </row>
    <row r="1813" spans="8:8" x14ac:dyDescent="0.25">
      <c r="H1813" s="134"/>
    </row>
    <row r="1814" spans="8:8" x14ac:dyDescent="0.25">
      <c r="H1814" s="134"/>
    </row>
    <row r="1815" spans="8:8" x14ac:dyDescent="0.25">
      <c r="H1815" s="134"/>
    </row>
    <row r="1816" spans="8:8" x14ac:dyDescent="0.25">
      <c r="H1816" s="134"/>
    </row>
    <row r="1817" spans="8:8" x14ac:dyDescent="0.25">
      <c r="H1817" s="134"/>
    </row>
    <row r="1818" spans="8:8" x14ac:dyDescent="0.25">
      <c r="H1818" s="134"/>
    </row>
    <row r="1819" spans="8:8" x14ac:dyDescent="0.25">
      <c r="H1819" s="134"/>
    </row>
    <row r="1820" spans="8:8" x14ac:dyDescent="0.25">
      <c r="H1820" s="134"/>
    </row>
    <row r="1821" spans="8:8" x14ac:dyDescent="0.25">
      <c r="H1821" s="134"/>
    </row>
    <row r="1822" spans="8:8" x14ac:dyDescent="0.25">
      <c r="H1822" s="134"/>
    </row>
    <row r="1823" spans="8:8" x14ac:dyDescent="0.25">
      <c r="H1823" s="134"/>
    </row>
    <row r="1824" spans="8:8" x14ac:dyDescent="0.25">
      <c r="H1824" s="134"/>
    </row>
    <row r="1825" spans="8:8" x14ac:dyDescent="0.25">
      <c r="H1825" s="134"/>
    </row>
    <row r="1826" spans="8:8" x14ac:dyDescent="0.25">
      <c r="H1826" s="134"/>
    </row>
    <row r="1827" spans="8:8" x14ac:dyDescent="0.25">
      <c r="H1827" s="134"/>
    </row>
    <row r="1828" spans="8:8" x14ac:dyDescent="0.25">
      <c r="H1828" s="134"/>
    </row>
    <row r="1829" spans="8:8" x14ac:dyDescent="0.25">
      <c r="H1829" s="134"/>
    </row>
    <row r="1830" spans="8:8" x14ac:dyDescent="0.25">
      <c r="H1830" s="134"/>
    </row>
    <row r="1831" spans="8:8" x14ac:dyDescent="0.25">
      <c r="H1831" s="134"/>
    </row>
    <row r="1832" spans="8:8" x14ac:dyDescent="0.25">
      <c r="H1832" s="134"/>
    </row>
    <row r="1833" spans="8:8" x14ac:dyDescent="0.25">
      <c r="H1833" s="134"/>
    </row>
    <row r="1834" spans="8:8" x14ac:dyDescent="0.25">
      <c r="H1834" s="134"/>
    </row>
    <row r="1835" spans="8:8" x14ac:dyDescent="0.25">
      <c r="H1835" s="134"/>
    </row>
    <row r="1836" spans="8:8" x14ac:dyDescent="0.25">
      <c r="H1836" s="134"/>
    </row>
    <row r="1837" spans="8:8" x14ac:dyDescent="0.25">
      <c r="H1837" s="134"/>
    </row>
    <row r="1838" spans="8:8" x14ac:dyDescent="0.25">
      <c r="H1838" s="134"/>
    </row>
    <row r="1839" spans="8:8" x14ac:dyDescent="0.25">
      <c r="H1839" s="134"/>
    </row>
    <row r="1840" spans="8:8" x14ac:dyDescent="0.25">
      <c r="H1840" s="134"/>
    </row>
    <row r="1841" spans="8:8" x14ac:dyDescent="0.25">
      <c r="H1841" s="134"/>
    </row>
    <row r="1842" spans="8:8" x14ac:dyDescent="0.25">
      <c r="H1842" s="134"/>
    </row>
    <row r="1843" spans="8:8" x14ac:dyDescent="0.25">
      <c r="H1843" s="134"/>
    </row>
    <row r="1844" spans="8:8" x14ac:dyDescent="0.25">
      <c r="H1844" s="134"/>
    </row>
    <row r="1845" spans="8:8" x14ac:dyDescent="0.25">
      <c r="H1845" s="134"/>
    </row>
    <row r="1846" spans="8:8" x14ac:dyDescent="0.25">
      <c r="H1846" s="134"/>
    </row>
    <row r="1847" spans="8:8" x14ac:dyDescent="0.25">
      <c r="H1847" s="134"/>
    </row>
    <row r="1848" spans="8:8" x14ac:dyDescent="0.25">
      <c r="H1848" s="134"/>
    </row>
    <row r="1849" spans="8:8" x14ac:dyDescent="0.25">
      <c r="H1849" s="134"/>
    </row>
    <row r="1850" spans="8:8" x14ac:dyDescent="0.25">
      <c r="H1850" s="134"/>
    </row>
    <row r="1851" spans="8:8" x14ac:dyDescent="0.25">
      <c r="H1851" s="134"/>
    </row>
    <row r="1852" spans="8:8" x14ac:dyDescent="0.25">
      <c r="H1852" s="134"/>
    </row>
    <row r="1853" spans="8:8" x14ac:dyDescent="0.25">
      <c r="H1853" s="134"/>
    </row>
    <row r="1854" spans="8:8" x14ac:dyDescent="0.25">
      <c r="H1854" s="134"/>
    </row>
    <row r="1855" spans="8:8" x14ac:dyDescent="0.25">
      <c r="H1855" s="134"/>
    </row>
    <row r="1856" spans="8:8" x14ac:dyDescent="0.25">
      <c r="H1856" s="134"/>
    </row>
    <row r="1857" spans="8:8" x14ac:dyDescent="0.25">
      <c r="H1857" s="134"/>
    </row>
    <row r="1858" spans="8:8" x14ac:dyDescent="0.25">
      <c r="H1858" s="134"/>
    </row>
    <row r="1859" spans="8:8" x14ac:dyDescent="0.25">
      <c r="H1859" s="134"/>
    </row>
    <row r="1860" spans="8:8" x14ac:dyDescent="0.25">
      <c r="H1860" s="134"/>
    </row>
    <row r="1861" spans="8:8" x14ac:dyDescent="0.25">
      <c r="H1861" s="134"/>
    </row>
    <row r="1862" spans="8:8" x14ac:dyDescent="0.25">
      <c r="H1862" s="134"/>
    </row>
    <row r="1863" spans="8:8" x14ac:dyDescent="0.25">
      <c r="H1863" s="134"/>
    </row>
    <row r="1864" spans="8:8" x14ac:dyDescent="0.25">
      <c r="H1864" s="134"/>
    </row>
    <row r="1865" spans="8:8" x14ac:dyDescent="0.25">
      <c r="H1865" s="134"/>
    </row>
    <row r="1866" spans="8:8" x14ac:dyDescent="0.25">
      <c r="H1866" s="134"/>
    </row>
    <row r="1867" spans="8:8" x14ac:dyDescent="0.25">
      <c r="H1867" s="134"/>
    </row>
    <row r="1868" spans="8:8" x14ac:dyDescent="0.25">
      <c r="H1868" s="134"/>
    </row>
    <row r="1869" spans="8:8" x14ac:dyDescent="0.25">
      <c r="H1869" s="134"/>
    </row>
    <row r="1870" spans="8:8" x14ac:dyDescent="0.25">
      <c r="H1870" s="134"/>
    </row>
    <row r="1871" spans="8:8" x14ac:dyDescent="0.25">
      <c r="H1871" s="134"/>
    </row>
    <row r="1872" spans="8:8" x14ac:dyDescent="0.25">
      <c r="H1872" s="134"/>
    </row>
    <row r="1873" spans="8:8" x14ac:dyDescent="0.25">
      <c r="H1873" s="134"/>
    </row>
    <row r="1874" spans="8:8" x14ac:dyDescent="0.25">
      <c r="H1874" s="134"/>
    </row>
    <row r="1875" spans="8:8" x14ac:dyDescent="0.25">
      <c r="H1875" s="134"/>
    </row>
    <row r="1876" spans="8:8" x14ac:dyDescent="0.25">
      <c r="H1876" s="134"/>
    </row>
    <row r="1877" spans="8:8" x14ac:dyDescent="0.25">
      <c r="H1877" s="134"/>
    </row>
    <row r="1878" spans="8:8" x14ac:dyDescent="0.25">
      <c r="H1878" s="134"/>
    </row>
    <row r="1879" spans="8:8" x14ac:dyDescent="0.25">
      <c r="H1879" s="134"/>
    </row>
    <row r="1880" spans="8:8" x14ac:dyDescent="0.25">
      <c r="H1880" s="134"/>
    </row>
    <row r="1881" spans="8:8" x14ac:dyDescent="0.25">
      <c r="H1881" s="134"/>
    </row>
    <row r="1882" spans="8:8" x14ac:dyDescent="0.25">
      <c r="H1882" s="134"/>
    </row>
    <row r="1883" spans="8:8" x14ac:dyDescent="0.25">
      <c r="H1883" s="134"/>
    </row>
    <row r="1884" spans="8:8" x14ac:dyDescent="0.25">
      <c r="H1884" s="134"/>
    </row>
    <row r="1885" spans="8:8" x14ac:dyDescent="0.25">
      <c r="H1885" s="134"/>
    </row>
    <row r="1886" spans="8:8" x14ac:dyDescent="0.25">
      <c r="H1886" s="134"/>
    </row>
    <row r="1887" spans="8:8" x14ac:dyDescent="0.25">
      <c r="H1887" s="134"/>
    </row>
    <row r="1888" spans="8:8" x14ac:dyDescent="0.25">
      <c r="H1888" s="134"/>
    </row>
    <row r="1889" spans="8:8" x14ac:dyDescent="0.25">
      <c r="H1889" s="134"/>
    </row>
    <row r="1890" spans="8:8" x14ac:dyDescent="0.25">
      <c r="H1890" s="134"/>
    </row>
    <row r="1891" spans="8:8" x14ac:dyDescent="0.25">
      <c r="H1891" s="134"/>
    </row>
    <row r="1892" spans="8:8" x14ac:dyDescent="0.25">
      <c r="H1892" s="134"/>
    </row>
    <row r="1893" spans="8:8" x14ac:dyDescent="0.25">
      <c r="H1893" s="134"/>
    </row>
    <row r="1894" spans="8:8" x14ac:dyDescent="0.25">
      <c r="H1894" s="134"/>
    </row>
    <row r="1895" spans="8:8" x14ac:dyDescent="0.25">
      <c r="H1895" s="134"/>
    </row>
    <row r="1896" spans="8:8" x14ac:dyDescent="0.25">
      <c r="H1896" s="134"/>
    </row>
    <row r="1897" spans="8:8" x14ac:dyDescent="0.25">
      <c r="H1897" s="134"/>
    </row>
    <row r="1898" spans="8:8" x14ac:dyDescent="0.25">
      <c r="H1898" s="134"/>
    </row>
    <row r="1899" spans="8:8" x14ac:dyDescent="0.25">
      <c r="H1899" s="134"/>
    </row>
    <row r="1900" spans="8:8" x14ac:dyDescent="0.25">
      <c r="H1900" s="134"/>
    </row>
    <row r="1901" spans="8:8" x14ac:dyDescent="0.25">
      <c r="H1901" s="134"/>
    </row>
    <row r="1902" spans="8:8" x14ac:dyDescent="0.25">
      <c r="H1902" s="134"/>
    </row>
    <row r="1903" spans="8:8" x14ac:dyDescent="0.25">
      <c r="H1903" s="134"/>
    </row>
    <row r="1904" spans="8:8" x14ac:dyDescent="0.25">
      <c r="H1904" s="134"/>
    </row>
    <row r="1905" spans="8:8" x14ac:dyDescent="0.25">
      <c r="H1905" s="134"/>
    </row>
    <row r="1906" spans="8:8" x14ac:dyDescent="0.25">
      <c r="H1906" s="134"/>
    </row>
    <row r="1907" spans="8:8" x14ac:dyDescent="0.25">
      <c r="H1907" s="134"/>
    </row>
    <row r="1908" spans="8:8" x14ac:dyDescent="0.25">
      <c r="H1908" s="134"/>
    </row>
    <row r="1909" spans="8:8" x14ac:dyDescent="0.25">
      <c r="H1909" s="134"/>
    </row>
    <row r="1910" spans="8:8" x14ac:dyDescent="0.25">
      <c r="H1910" s="134"/>
    </row>
    <row r="1911" spans="8:8" x14ac:dyDescent="0.25">
      <c r="H1911" s="134"/>
    </row>
    <row r="1912" spans="8:8" x14ac:dyDescent="0.25">
      <c r="H1912" s="134"/>
    </row>
    <row r="1913" spans="8:8" x14ac:dyDescent="0.25">
      <c r="H1913" s="134"/>
    </row>
    <row r="1914" spans="8:8" x14ac:dyDescent="0.25">
      <c r="H1914" s="134"/>
    </row>
    <row r="1915" spans="8:8" x14ac:dyDescent="0.25">
      <c r="H1915" s="134"/>
    </row>
    <row r="1916" spans="8:8" x14ac:dyDescent="0.25">
      <c r="H1916" s="134"/>
    </row>
    <row r="1917" spans="8:8" x14ac:dyDescent="0.25">
      <c r="H1917" s="134"/>
    </row>
    <row r="1918" spans="8:8" x14ac:dyDescent="0.25">
      <c r="H1918" s="134"/>
    </row>
    <row r="1919" spans="8:8" x14ac:dyDescent="0.25">
      <c r="H1919" s="134"/>
    </row>
    <row r="1920" spans="8:8" x14ac:dyDescent="0.25">
      <c r="H1920" s="134"/>
    </row>
    <row r="1921" spans="8:8" x14ac:dyDescent="0.25">
      <c r="H1921" s="134"/>
    </row>
    <row r="1922" spans="8:8" x14ac:dyDescent="0.25">
      <c r="H1922" s="134"/>
    </row>
    <row r="1923" spans="8:8" x14ac:dyDescent="0.25">
      <c r="H1923" s="134"/>
    </row>
    <row r="1924" spans="8:8" x14ac:dyDescent="0.25">
      <c r="H1924" s="134"/>
    </row>
    <row r="1925" spans="8:8" x14ac:dyDescent="0.25">
      <c r="H1925" s="134"/>
    </row>
    <row r="1926" spans="8:8" x14ac:dyDescent="0.25">
      <c r="H1926" s="134"/>
    </row>
    <row r="1927" spans="8:8" x14ac:dyDescent="0.25">
      <c r="H1927" s="134"/>
    </row>
    <row r="1928" spans="8:8" x14ac:dyDescent="0.25">
      <c r="H1928" s="134"/>
    </row>
    <row r="1929" spans="8:8" x14ac:dyDescent="0.25">
      <c r="H1929" s="134"/>
    </row>
    <row r="1930" spans="8:8" x14ac:dyDescent="0.25">
      <c r="H1930" s="134"/>
    </row>
    <row r="1931" spans="8:8" x14ac:dyDescent="0.25">
      <c r="H1931" s="134"/>
    </row>
    <row r="1932" spans="8:8" x14ac:dyDescent="0.25">
      <c r="H1932" s="134"/>
    </row>
    <row r="1933" spans="8:8" x14ac:dyDescent="0.25">
      <c r="H1933" s="134"/>
    </row>
    <row r="1934" spans="8:8" x14ac:dyDescent="0.25">
      <c r="H1934" s="134"/>
    </row>
    <row r="1935" spans="8:8" x14ac:dyDescent="0.25">
      <c r="H1935" s="134"/>
    </row>
    <row r="1936" spans="8:8" x14ac:dyDescent="0.25">
      <c r="H1936" s="134"/>
    </row>
    <row r="1937" spans="8:8" x14ac:dyDescent="0.25">
      <c r="H1937" s="134"/>
    </row>
    <row r="1938" spans="8:8" x14ac:dyDescent="0.25">
      <c r="H1938" s="134"/>
    </row>
    <row r="1939" spans="8:8" x14ac:dyDescent="0.25">
      <c r="H1939" s="134"/>
    </row>
    <row r="1940" spans="8:8" x14ac:dyDescent="0.25">
      <c r="H1940" s="134"/>
    </row>
    <row r="1941" spans="8:8" x14ac:dyDescent="0.25">
      <c r="H1941" s="134"/>
    </row>
    <row r="1942" spans="8:8" x14ac:dyDescent="0.25">
      <c r="H1942" s="134"/>
    </row>
    <row r="1943" spans="8:8" x14ac:dyDescent="0.25">
      <c r="H1943" s="134"/>
    </row>
    <row r="1944" spans="8:8" x14ac:dyDescent="0.25">
      <c r="H1944" s="134"/>
    </row>
    <row r="1945" spans="8:8" x14ac:dyDescent="0.25">
      <c r="H1945" s="134"/>
    </row>
    <row r="1946" spans="8:8" x14ac:dyDescent="0.25">
      <c r="H1946" s="134"/>
    </row>
    <row r="1947" spans="8:8" x14ac:dyDescent="0.25">
      <c r="H1947" s="134"/>
    </row>
    <row r="1948" spans="8:8" x14ac:dyDescent="0.25">
      <c r="H1948" s="134"/>
    </row>
    <row r="1949" spans="8:8" x14ac:dyDescent="0.25">
      <c r="H1949" s="134"/>
    </row>
    <row r="1950" spans="8:8" x14ac:dyDescent="0.25">
      <c r="H1950" s="134"/>
    </row>
    <row r="1951" spans="8:8" x14ac:dyDescent="0.25">
      <c r="H1951" s="134"/>
    </row>
    <row r="1952" spans="8:8" x14ac:dyDescent="0.25">
      <c r="H1952" s="134"/>
    </row>
    <row r="1953" spans="8:8" x14ac:dyDescent="0.25">
      <c r="H1953" s="134"/>
    </row>
    <row r="1954" spans="8:8" x14ac:dyDescent="0.25">
      <c r="H1954" s="134"/>
    </row>
    <row r="1955" spans="8:8" x14ac:dyDescent="0.25">
      <c r="H1955" s="134"/>
    </row>
    <row r="1956" spans="8:8" x14ac:dyDescent="0.25">
      <c r="H1956" s="134"/>
    </row>
    <row r="1957" spans="8:8" x14ac:dyDescent="0.25">
      <c r="H1957" s="134"/>
    </row>
    <row r="1958" spans="8:8" x14ac:dyDescent="0.25">
      <c r="H1958" s="134"/>
    </row>
    <row r="1959" spans="8:8" x14ac:dyDescent="0.25">
      <c r="H1959" s="134"/>
    </row>
    <row r="1960" spans="8:8" x14ac:dyDescent="0.25">
      <c r="H1960" s="134"/>
    </row>
    <row r="1961" spans="8:8" x14ac:dyDescent="0.25">
      <c r="H1961" s="134"/>
    </row>
    <row r="1962" spans="8:8" x14ac:dyDescent="0.25">
      <c r="H1962" s="134"/>
    </row>
    <row r="1963" spans="8:8" x14ac:dyDescent="0.25">
      <c r="H1963" s="134"/>
    </row>
    <row r="1964" spans="8:8" x14ac:dyDescent="0.25">
      <c r="H1964" s="134"/>
    </row>
    <row r="1965" spans="8:8" x14ac:dyDescent="0.25">
      <c r="H1965" s="134"/>
    </row>
    <row r="1966" spans="8:8" x14ac:dyDescent="0.25">
      <c r="H1966" s="134"/>
    </row>
    <row r="1967" spans="8:8" x14ac:dyDescent="0.25">
      <c r="H1967" s="134"/>
    </row>
    <row r="1968" spans="8:8" x14ac:dyDescent="0.25">
      <c r="H1968" s="134"/>
    </row>
    <row r="1969" spans="8:8" x14ac:dyDescent="0.25">
      <c r="H1969" s="134"/>
    </row>
    <row r="1970" spans="8:8" x14ac:dyDescent="0.25">
      <c r="H1970" s="134"/>
    </row>
    <row r="1971" spans="8:8" x14ac:dyDescent="0.25">
      <c r="H1971" s="134"/>
    </row>
    <row r="1972" spans="8:8" x14ac:dyDescent="0.25">
      <c r="H1972" s="134"/>
    </row>
    <row r="1973" spans="8:8" x14ac:dyDescent="0.25">
      <c r="H1973" s="134"/>
    </row>
    <row r="1974" spans="8:8" x14ac:dyDescent="0.25">
      <c r="H1974" s="134"/>
    </row>
    <row r="1975" spans="8:8" x14ac:dyDescent="0.25">
      <c r="H1975" s="134"/>
    </row>
    <row r="1976" spans="8:8" x14ac:dyDescent="0.25">
      <c r="H1976" s="134"/>
    </row>
    <row r="1977" spans="8:8" x14ac:dyDescent="0.25">
      <c r="H1977" s="134"/>
    </row>
    <row r="1978" spans="8:8" x14ac:dyDescent="0.25">
      <c r="H1978" s="134"/>
    </row>
    <row r="1979" spans="8:8" x14ac:dyDescent="0.25">
      <c r="H1979" s="134"/>
    </row>
    <row r="1980" spans="8:8" x14ac:dyDescent="0.25">
      <c r="H1980" s="134"/>
    </row>
    <row r="1981" spans="8:8" x14ac:dyDescent="0.25">
      <c r="H1981" s="134"/>
    </row>
    <row r="1982" spans="8:8" x14ac:dyDescent="0.25">
      <c r="H1982" s="134"/>
    </row>
    <row r="1983" spans="8:8" x14ac:dyDescent="0.25">
      <c r="H1983" s="134"/>
    </row>
    <row r="1984" spans="8:8" x14ac:dyDescent="0.25">
      <c r="H1984" s="134"/>
    </row>
    <row r="1985" spans="8:8" x14ac:dyDescent="0.25">
      <c r="H1985" s="134"/>
    </row>
    <row r="1986" spans="8:8" x14ac:dyDescent="0.25">
      <c r="H1986" s="134"/>
    </row>
    <row r="1987" spans="8:8" x14ac:dyDescent="0.25">
      <c r="H1987" s="134"/>
    </row>
    <row r="1988" spans="8:8" x14ac:dyDescent="0.25">
      <c r="H1988" s="134"/>
    </row>
    <row r="1989" spans="8:8" x14ac:dyDescent="0.25">
      <c r="H1989" s="134"/>
    </row>
    <row r="1990" spans="8:8" x14ac:dyDescent="0.25">
      <c r="H1990" s="134"/>
    </row>
    <row r="1991" spans="8:8" x14ac:dyDescent="0.25">
      <c r="H1991" s="134"/>
    </row>
    <row r="1992" spans="8:8" x14ac:dyDescent="0.25">
      <c r="H1992" s="134"/>
    </row>
    <row r="1993" spans="8:8" x14ac:dyDescent="0.25">
      <c r="H1993" s="134"/>
    </row>
    <row r="1994" spans="8:8" x14ac:dyDescent="0.25">
      <c r="H1994" s="134"/>
    </row>
    <row r="1995" spans="8:8" x14ac:dyDescent="0.25">
      <c r="H1995" s="134"/>
    </row>
    <row r="1996" spans="8:8" x14ac:dyDescent="0.25">
      <c r="H1996" s="134"/>
    </row>
    <row r="1997" spans="8:8" x14ac:dyDescent="0.25">
      <c r="H1997" s="134"/>
    </row>
    <row r="1998" spans="8:8" x14ac:dyDescent="0.25">
      <c r="H1998" s="134"/>
    </row>
    <row r="1999" spans="8:8" x14ac:dyDescent="0.25">
      <c r="H1999" s="134"/>
    </row>
    <row r="2000" spans="8:8" x14ac:dyDescent="0.25">
      <c r="H2000" s="134"/>
    </row>
    <row r="2001" spans="8:8" x14ac:dyDescent="0.25">
      <c r="H2001" s="134"/>
    </row>
    <row r="2002" spans="8:8" x14ac:dyDescent="0.25">
      <c r="H2002" s="134"/>
    </row>
    <row r="2003" spans="8:8" x14ac:dyDescent="0.25">
      <c r="H2003" s="134"/>
    </row>
    <row r="2004" spans="8:8" x14ac:dyDescent="0.25">
      <c r="H2004" s="134"/>
    </row>
    <row r="2005" spans="8:8" x14ac:dyDescent="0.25">
      <c r="H2005" s="134"/>
    </row>
    <row r="2006" spans="8:8" x14ac:dyDescent="0.25">
      <c r="H2006" s="134"/>
    </row>
    <row r="2007" spans="8:8" x14ac:dyDescent="0.25">
      <c r="H2007" s="134"/>
    </row>
    <row r="2008" spans="8:8" x14ac:dyDescent="0.25">
      <c r="H2008" s="134"/>
    </row>
    <row r="2009" spans="8:8" x14ac:dyDescent="0.25">
      <c r="H2009" s="134"/>
    </row>
    <row r="2010" spans="8:8" x14ac:dyDescent="0.25">
      <c r="H2010" s="134"/>
    </row>
    <row r="2011" spans="8:8" x14ac:dyDescent="0.25">
      <c r="H2011" s="134"/>
    </row>
    <row r="2012" spans="8:8" x14ac:dyDescent="0.25">
      <c r="H2012" s="134"/>
    </row>
    <row r="2013" spans="8:8" x14ac:dyDescent="0.25">
      <c r="H2013" s="134"/>
    </row>
    <row r="2014" spans="8:8" x14ac:dyDescent="0.25">
      <c r="H2014" s="134"/>
    </row>
    <row r="2015" spans="8:8" x14ac:dyDescent="0.25">
      <c r="H2015" s="134"/>
    </row>
    <row r="2016" spans="8:8" x14ac:dyDescent="0.25">
      <c r="H2016" s="134"/>
    </row>
    <row r="2017" spans="8:8" x14ac:dyDescent="0.25">
      <c r="H2017" s="134"/>
    </row>
    <row r="2018" spans="8:8" x14ac:dyDescent="0.25">
      <c r="H2018" s="134"/>
    </row>
    <row r="2019" spans="8:8" x14ac:dyDescent="0.25">
      <c r="H2019" s="134"/>
    </row>
    <row r="2020" spans="8:8" x14ac:dyDescent="0.25">
      <c r="H2020" s="134"/>
    </row>
    <row r="2021" spans="8:8" x14ac:dyDescent="0.25">
      <c r="H2021" s="134"/>
    </row>
    <row r="2022" spans="8:8" x14ac:dyDescent="0.25">
      <c r="H2022" s="134"/>
    </row>
    <row r="2023" spans="8:8" x14ac:dyDescent="0.25">
      <c r="H2023" s="134"/>
    </row>
    <row r="2024" spans="8:8" x14ac:dyDescent="0.25">
      <c r="H2024" s="134"/>
    </row>
    <row r="2025" spans="8:8" x14ac:dyDescent="0.25">
      <c r="H2025" s="134"/>
    </row>
    <row r="2026" spans="8:8" x14ac:dyDescent="0.25">
      <c r="H2026" s="134"/>
    </row>
    <row r="2027" spans="8:8" x14ac:dyDescent="0.25">
      <c r="H2027" s="134"/>
    </row>
    <row r="2028" spans="8:8" x14ac:dyDescent="0.25">
      <c r="H2028" s="134"/>
    </row>
    <row r="2029" spans="8:8" x14ac:dyDescent="0.25">
      <c r="H2029" s="134"/>
    </row>
    <row r="2030" spans="8:8" x14ac:dyDescent="0.25">
      <c r="H2030" s="134"/>
    </row>
    <row r="2031" spans="8:8" x14ac:dyDescent="0.25">
      <c r="H2031" s="134"/>
    </row>
    <row r="2032" spans="8:8" x14ac:dyDescent="0.25">
      <c r="H2032" s="134"/>
    </row>
    <row r="2033" spans="8:8" x14ac:dyDescent="0.25">
      <c r="H2033" s="134"/>
    </row>
    <row r="2034" spans="8:8" x14ac:dyDescent="0.25">
      <c r="H2034" s="134"/>
    </row>
    <row r="2035" spans="8:8" x14ac:dyDescent="0.25">
      <c r="H2035" s="134"/>
    </row>
    <row r="2036" spans="8:8" x14ac:dyDescent="0.25">
      <c r="H2036" s="134"/>
    </row>
    <row r="2037" spans="8:8" x14ac:dyDescent="0.25">
      <c r="H2037" s="134"/>
    </row>
    <row r="2038" spans="8:8" x14ac:dyDescent="0.25">
      <c r="H2038" s="134"/>
    </row>
    <row r="2039" spans="8:8" x14ac:dyDescent="0.25">
      <c r="H2039" s="134"/>
    </row>
    <row r="2040" spans="8:8" x14ac:dyDescent="0.25">
      <c r="H2040" s="134"/>
    </row>
    <row r="2041" spans="8:8" x14ac:dyDescent="0.25">
      <c r="H2041" s="134"/>
    </row>
    <row r="2042" spans="8:8" x14ac:dyDescent="0.25">
      <c r="H2042" s="134"/>
    </row>
    <row r="2043" spans="8:8" x14ac:dyDescent="0.25">
      <c r="H2043" s="134"/>
    </row>
    <row r="2044" spans="8:8" x14ac:dyDescent="0.25">
      <c r="H2044" s="134"/>
    </row>
    <row r="2045" spans="8:8" x14ac:dyDescent="0.25">
      <c r="H2045" s="134"/>
    </row>
    <row r="2046" spans="8:8" x14ac:dyDescent="0.25">
      <c r="H2046" s="134"/>
    </row>
    <row r="2047" spans="8:8" x14ac:dyDescent="0.25">
      <c r="H2047" s="134"/>
    </row>
    <row r="2048" spans="8:8" x14ac:dyDescent="0.25">
      <c r="H2048" s="134"/>
    </row>
    <row r="2049" spans="8:8" x14ac:dyDescent="0.25">
      <c r="H2049" s="134"/>
    </row>
    <row r="2050" spans="8:8" x14ac:dyDescent="0.25">
      <c r="H2050" s="134"/>
    </row>
    <row r="2051" spans="8:8" x14ac:dyDescent="0.25">
      <c r="H2051" s="134"/>
    </row>
    <row r="2052" spans="8:8" x14ac:dyDescent="0.25">
      <c r="H2052" s="134"/>
    </row>
    <row r="2053" spans="8:8" x14ac:dyDescent="0.25">
      <c r="H2053" s="134"/>
    </row>
    <row r="2054" spans="8:8" x14ac:dyDescent="0.25">
      <c r="H2054" s="134"/>
    </row>
    <row r="2055" spans="8:8" x14ac:dyDescent="0.25">
      <c r="H2055" s="134"/>
    </row>
    <row r="2056" spans="8:8" x14ac:dyDescent="0.25">
      <c r="H2056" s="134"/>
    </row>
    <row r="2057" spans="8:8" x14ac:dyDescent="0.25">
      <c r="H2057" s="134"/>
    </row>
    <row r="2058" spans="8:8" x14ac:dyDescent="0.25">
      <c r="H2058" s="134"/>
    </row>
    <row r="2059" spans="8:8" x14ac:dyDescent="0.25">
      <c r="H2059" s="134"/>
    </row>
    <row r="2060" spans="8:8" x14ac:dyDescent="0.25">
      <c r="H2060" s="134"/>
    </row>
    <row r="2061" spans="8:8" x14ac:dyDescent="0.25">
      <c r="H2061" s="134"/>
    </row>
    <row r="2062" spans="8:8" x14ac:dyDescent="0.25">
      <c r="H2062" s="134"/>
    </row>
    <row r="2063" spans="8:8" x14ac:dyDescent="0.25">
      <c r="H2063" s="134"/>
    </row>
    <row r="2064" spans="8:8" x14ac:dyDescent="0.25">
      <c r="H2064" s="134"/>
    </row>
    <row r="2065" spans="8:8" x14ac:dyDescent="0.25">
      <c r="H2065" s="134"/>
    </row>
    <row r="2066" spans="8:8" x14ac:dyDescent="0.25">
      <c r="H2066" s="134"/>
    </row>
    <row r="2067" spans="8:8" x14ac:dyDescent="0.25">
      <c r="H2067" s="134"/>
    </row>
    <row r="2068" spans="8:8" x14ac:dyDescent="0.25">
      <c r="H2068" s="134"/>
    </row>
    <row r="2069" spans="8:8" x14ac:dyDescent="0.25">
      <c r="H2069" s="134"/>
    </row>
    <row r="2070" spans="8:8" x14ac:dyDescent="0.25">
      <c r="H2070" s="134"/>
    </row>
    <row r="2071" spans="8:8" x14ac:dyDescent="0.25">
      <c r="H2071" s="134"/>
    </row>
    <row r="2072" spans="8:8" x14ac:dyDescent="0.25">
      <c r="H2072" s="134"/>
    </row>
    <row r="2073" spans="8:8" x14ac:dyDescent="0.25">
      <c r="H2073" s="134"/>
    </row>
    <row r="2074" spans="8:8" x14ac:dyDescent="0.25">
      <c r="H2074" s="134"/>
    </row>
    <row r="2075" spans="8:8" x14ac:dyDescent="0.25">
      <c r="H2075" s="134"/>
    </row>
    <row r="2076" spans="8:8" x14ac:dyDescent="0.25">
      <c r="H2076" s="134"/>
    </row>
    <row r="2077" spans="8:8" x14ac:dyDescent="0.25">
      <c r="H2077" s="134"/>
    </row>
    <row r="2078" spans="8:8" x14ac:dyDescent="0.25">
      <c r="H2078" s="134"/>
    </row>
    <row r="2079" spans="8:8" x14ac:dyDescent="0.25">
      <c r="H2079" s="134"/>
    </row>
    <row r="2080" spans="8:8" x14ac:dyDescent="0.25">
      <c r="H2080" s="134"/>
    </row>
    <row r="2081" spans="8:8" x14ac:dyDescent="0.25">
      <c r="H2081" s="134"/>
    </row>
    <row r="2082" spans="8:8" x14ac:dyDescent="0.25">
      <c r="H2082" s="134"/>
    </row>
    <row r="2083" spans="8:8" x14ac:dyDescent="0.25">
      <c r="H2083" s="134"/>
    </row>
    <row r="2084" spans="8:8" x14ac:dyDescent="0.25">
      <c r="H2084" s="134"/>
    </row>
    <row r="2085" spans="8:8" x14ac:dyDescent="0.25">
      <c r="H2085" s="134"/>
    </row>
    <row r="2086" spans="8:8" x14ac:dyDescent="0.25">
      <c r="H2086" s="134"/>
    </row>
    <row r="2087" spans="8:8" x14ac:dyDescent="0.25">
      <c r="H2087" s="134"/>
    </row>
    <row r="2088" spans="8:8" x14ac:dyDescent="0.25">
      <c r="H2088" s="134"/>
    </row>
    <row r="2089" spans="8:8" x14ac:dyDescent="0.25">
      <c r="H2089" s="134"/>
    </row>
    <row r="2090" spans="8:8" x14ac:dyDescent="0.25">
      <c r="H2090" s="134"/>
    </row>
    <row r="2091" spans="8:8" x14ac:dyDescent="0.25">
      <c r="H2091" s="134"/>
    </row>
    <row r="2092" spans="8:8" x14ac:dyDescent="0.25">
      <c r="H2092" s="134"/>
    </row>
    <row r="2093" spans="8:8" x14ac:dyDescent="0.25">
      <c r="H2093" s="134"/>
    </row>
    <row r="2094" spans="8:8" x14ac:dyDescent="0.25">
      <c r="H2094" s="134"/>
    </row>
    <row r="2095" spans="8:8" x14ac:dyDescent="0.25">
      <c r="H2095" s="134"/>
    </row>
    <row r="2096" spans="8:8" x14ac:dyDescent="0.25">
      <c r="H2096" s="134"/>
    </row>
    <row r="2097" spans="8:8" x14ac:dyDescent="0.25">
      <c r="H2097" s="134"/>
    </row>
    <row r="2098" spans="8:8" x14ac:dyDescent="0.25">
      <c r="H2098" s="134"/>
    </row>
    <row r="2099" spans="8:8" x14ac:dyDescent="0.25">
      <c r="H2099" s="134"/>
    </row>
    <row r="2100" spans="8:8" x14ac:dyDescent="0.25">
      <c r="H2100" s="134"/>
    </row>
    <row r="2101" spans="8:8" x14ac:dyDescent="0.25">
      <c r="H2101" s="134"/>
    </row>
    <row r="2102" spans="8:8" x14ac:dyDescent="0.25">
      <c r="H2102" s="134"/>
    </row>
    <row r="2103" spans="8:8" x14ac:dyDescent="0.25">
      <c r="H2103" s="134"/>
    </row>
    <row r="2104" spans="8:8" x14ac:dyDescent="0.25">
      <c r="H2104" s="134"/>
    </row>
    <row r="2105" spans="8:8" x14ac:dyDescent="0.25">
      <c r="H2105" s="134"/>
    </row>
    <row r="2106" spans="8:8" x14ac:dyDescent="0.25">
      <c r="H2106" s="134"/>
    </row>
    <row r="2107" spans="8:8" x14ac:dyDescent="0.25">
      <c r="H2107" s="134"/>
    </row>
    <row r="2108" spans="8:8" x14ac:dyDescent="0.25">
      <c r="H2108" s="134"/>
    </row>
    <row r="2109" spans="8:8" x14ac:dyDescent="0.25">
      <c r="H2109" s="134"/>
    </row>
    <row r="2110" spans="8:8" x14ac:dyDescent="0.25">
      <c r="H2110" s="134"/>
    </row>
    <row r="2111" spans="8:8" x14ac:dyDescent="0.25">
      <c r="H2111" s="134"/>
    </row>
    <row r="2112" spans="8:8" x14ac:dyDescent="0.25">
      <c r="H2112" s="134"/>
    </row>
    <row r="2113" spans="8:8" x14ac:dyDescent="0.25">
      <c r="H2113" s="134"/>
    </row>
    <row r="2114" spans="8:8" x14ac:dyDescent="0.25">
      <c r="H2114" s="134"/>
    </row>
    <row r="2115" spans="8:8" x14ac:dyDescent="0.25">
      <c r="H2115" s="134"/>
    </row>
    <row r="2116" spans="8:8" x14ac:dyDescent="0.25">
      <c r="H2116" s="134"/>
    </row>
    <row r="2117" spans="8:8" x14ac:dyDescent="0.25">
      <c r="H2117" s="134"/>
    </row>
    <row r="2118" spans="8:8" x14ac:dyDescent="0.25">
      <c r="H2118" s="134"/>
    </row>
    <row r="2119" spans="8:8" x14ac:dyDescent="0.25">
      <c r="H2119" s="134"/>
    </row>
    <row r="2120" spans="8:8" x14ac:dyDescent="0.25">
      <c r="H2120" s="134"/>
    </row>
    <row r="2121" spans="8:8" x14ac:dyDescent="0.25">
      <c r="H2121" s="134"/>
    </row>
    <row r="2122" spans="8:8" x14ac:dyDescent="0.25">
      <c r="H2122" s="134"/>
    </row>
    <row r="2123" spans="8:8" x14ac:dyDescent="0.25">
      <c r="H2123" s="134"/>
    </row>
    <row r="2124" spans="8:8" x14ac:dyDescent="0.25">
      <c r="H2124" s="134"/>
    </row>
    <row r="2125" spans="8:8" x14ac:dyDescent="0.25">
      <c r="H2125" s="134"/>
    </row>
    <row r="2126" spans="8:8" x14ac:dyDescent="0.25">
      <c r="H2126" s="134"/>
    </row>
    <row r="2127" spans="8:8" x14ac:dyDescent="0.25">
      <c r="H2127" s="134"/>
    </row>
    <row r="2128" spans="8:8" x14ac:dyDescent="0.25">
      <c r="H2128" s="134"/>
    </row>
    <row r="2129" spans="8:8" x14ac:dyDescent="0.25">
      <c r="H2129" s="134"/>
    </row>
    <row r="2130" spans="8:8" x14ac:dyDescent="0.25">
      <c r="H2130" s="134"/>
    </row>
    <row r="2131" spans="8:8" x14ac:dyDescent="0.25">
      <c r="H2131" s="134"/>
    </row>
    <row r="2132" spans="8:8" x14ac:dyDescent="0.25">
      <c r="H2132" s="134"/>
    </row>
    <row r="2133" spans="8:8" x14ac:dyDescent="0.25">
      <c r="H2133" s="134"/>
    </row>
    <row r="2134" spans="8:8" x14ac:dyDescent="0.25">
      <c r="H2134" s="134"/>
    </row>
    <row r="2135" spans="8:8" x14ac:dyDescent="0.25">
      <c r="H2135" s="134"/>
    </row>
    <row r="2136" spans="8:8" x14ac:dyDescent="0.25">
      <c r="H2136" s="134"/>
    </row>
    <row r="2137" spans="8:8" x14ac:dyDescent="0.25">
      <c r="H2137" s="134"/>
    </row>
    <row r="2138" spans="8:8" x14ac:dyDescent="0.25">
      <c r="H2138" s="134"/>
    </row>
    <row r="2139" spans="8:8" x14ac:dyDescent="0.25">
      <c r="H2139" s="134"/>
    </row>
    <row r="2140" spans="8:8" x14ac:dyDescent="0.25">
      <c r="H2140" s="134"/>
    </row>
    <row r="2141" spans="8:8" x14ac:dyDescent="0.25">
      <c r="H2141" s="134"/>
    </row>
    <row r="2142" spans="8:8" x14ac:dyDescent="0.25">
      <c r="H2142" s="134"/>
    </row>
    <row r="2143" spans="8:8" x14ac:dyDescent="0.25">
      <c r="H2143" s="134"/>
    </row>
    <row r="2144" spans="8:8" x14ac:dyDescent="0.25">
      <c r="H2144" s="134"/>
    </row>
    <row r="2145" spans="8:8" x14ac:dyDescent="0.25">
      <c r="H2145" s="134"/>
    </row>
    <row r="2146" spans="8:8" x14ac:dyDescent="0.25">
      <c r="H2146" s="134"/>
    </row>
    <row r="2147" spans="8:8" x14ac:dyDescent="0.25">
      <c r="H2147" s="134"/>
    </row>
    <row r="2148" spans="8:8" x14ac:dyDescent="0.25">
      <c r="H2148" s="134"/>
    </row>
    <row r="2149" spans="8:8" x14ac:dyDescent="0.25">
      <c r="H2149" s="134"/>
    </row>
    <row r="2150" spans="8:8" x14ac:dyDescent="0.25">
      <c r="H2150" s="134"/>
    </row>
    <row r="2151" spans="8:8" x14ac:dyDescent="0.25">
      <c r="H2151" s="134"/>
    </row>
    <row r="2152" spans="8:8" x14ac:dyDescent="0.25">
      <c r="H2152" s="134"/>
    </row>
    <row r="2153" spans="8:8" x14ac:dyDescent="0.25">
      <c r="H2153" s="134"/>
    </row>
    <row r="2154" spans="8:8" x14ac:dyDescent="0.25">
      <c r="H2154" s="134"/>
    </row>
    <row r="2155" spans="8:8" x14ac:dyDescent="0.25">
      <c r="H2155" s="134"/>
    </row>
    <row r="2156" spans="8:8" x14ac:dyDescent="0.25">
      <c r="H2156" s="134"/>
    </row>
    <row r="2157" spans="8:8" x14ac:dyDescent="0.25">
      <c r="H2157" s="134"/>
    </row>
    <row r="2158" spans="8:8" x14ac:dyDescent="0.25">
      <c r="H2158" s="134"/>
    </row>
    <row r="2159" spans="8:8" x14ac:dyDescent="0.25">
      <c r="H2159" s="134"/>
    </row>
    <row r="2160" spans="8:8" x14ac:dyDescent="0.25">
      <c r="H2160" s="134"/>
    </row>
    <row r="2161" spans="8:8" x14ac:dyDescent="0.25">
      <c r="H2161" s="134"/>
    </row>
    <row r="2162" spans="8:8" x14ac:dyDescent="0.25">
      <c r="H2162" s="134"/>
    </row>
    <row r="2163" spans="8:8" x14ac:dyDescent="0.25">
      <c r="H2163" s="134"/>
    </row>
    <row r="2164" spans="8:8" x14ac:dyDescent="0.25">
      <c r="H2164" s="134"/>
    </row>
    <row r="2165" spans="8:8" x14ac:dyDescent="0.25">
      <c r="H2165" s="134"/>
    </row>
    <row r="2166" spans="8:8" x14ac:dyDescent="0.25">
      <c r="H2166" s="134"/>
    </row>
    <row r="2167" spans="8:8" x14ac:dyDescent="0.25">
      <c r="H2167" s="134"/>
    </row>
    <row r="2168" spans="8:8" x14ac:dyDescent="0.25">
      <c r="H2168" s="134"/>
    </row>
    <row r="2169" spans="8:8" x14ac:dyDescent="0.25">
      <c r="H2169" s="134"/>
    </row>
    <row r="2170" spans="8:8" x14ac:dyDescent="0.25">
      <c r="H2170" s="134"/>
    </row>
    <row r="2171" spans="8:8" x14ac:dyDescent="0.25">
      <c r="H2171" s="134"/>
    </row>
    <row r="2172" spans="8:8" x14ac:dyDescent="0.25">
      <c r="H2172" s="134"/>
    </row>
    <row r="2173" spans="8:8" x14ac:dyDescent="0.25">
      <c r="H2173" s="134"/>
    </row>
    <row r="2174" spans="8:8" x14ac:dyDescent="0.25">
      <c r="H2174" s="134"/>
    </row>
    <row r="2175" spans="8:8" x14ac:dyDescent="0.25">
      <c r="H2175" s="134"/>
    </row>
    <row r="2176" spans="8:8" x14ac:dyDescent="0.25">
      <c r="H2176" s="134"/>
    </row>
    <row r="2177" spans="8:8" x14ac:dyDescent="0.25">
      <c r="H2177" s="134"/>
    </row>
    <row r="2178" spans="8:8" x14ac:dyDescent="0.25">
      <c r="H2178" s="134"/>
    </row>
    <row r="2179" spans="8:8" x14ac:dyDescent="0.25">
      <c r="H2179" s="134"/>
    </row>
    <row r="2180" spans="8:8" x14ac:dyDescent="0.25">
      <c r="H2180" s="134"/>
    </row>
    <row r="2181" spans="8:8" x14ac:dyDescent="0.25">
      <c r="H2181" s="134"/>
    </row>
    <row r="2182" spans="8:8" x14ac:dyDescent="0.25">
      <c r="H2182" s="134"/>
    </row>
    <row r="2183" spans="8:8" x14ac:dyDescent="0.25">
      <c r="H2183" s="134"/>
    </row>
    <row r="2184" spans="8:8" x14ac:dyDescent="0.25">
      <c r="H2184" s="134"/>
    </row>
    <row r="2185" spans="8:8" x14ac:dyDescent="0.25">
      <c r="H2185" s="134"/>
    </row>
    <row r="2186" spans="8:8" x14ac:dyDescent="0.25">
      <c r="H2186" s="134"/>
    </row>
    <row r="2187" spans="8:8" x14ac:dyDescent="0.25">
      <c r="H2187" s="134"/>
    </row>
    <row r="2188" spans="8:8" x14ac:dyDescent="0.25">
      <c r="H2188" s="134"/>
    </row>
    <row r="2189" spans="8:8" x14ac:dyDescent="0.25">
      <c r="H2189" s="134"/>
    </row>
    <row r="2190" spans="8:8" x14ac:dyDescent="0.25">
      <c r="H2190" s="134"/>
    </row>
    <row r="2191" spans="8:8" x14ac:dyDescent="0.25">
      <c r="H2191" s="134"/>
    </row>
    <row r="2192" spans="8:8" x14ac:dyDescent="0.25">
      <c r="H2192" s="134"/>
    </row>
    <row r="2193" spans="8:8" x14ac:dyDescent="0.25">
      <c r="H2193" s="134"/>
    </row>
    <row r="2194" spans="8:8" x14ac:dyDescent="0.25">
      <c r="H2194" s="134"/>
    </row>
    <row r="2195" spans="8:8" x14ac:dyDescent="0.25">
      <c r="H2195" s="134"/>
    </row>
    <row r="2196" spans="8:8" x14ac:dyDescent="0.25">
      <c r="H2196" s="134"/>
    </row>
    <row r="2197" spans="8:8" x14ac:dyDescent="0.25">
      <c r="H2197" s="134"/>
    </row>
    <row r="2198" spans="8:8" x14ac:dyDescent="0.25">
      <c r="H2198" s="134"/>
    </row>
    <row r="2199" spans="8:8" x14ac:dyDescent="0.25">
      <c r="H2199" s="134"/>
    </row>
    <row r="2200" spans="8:8" x14ac:dyDescent="0.25">
      <c r="H2200" s="134"/>
    </row>
    <row r="2201" spans="8:8" x14ac:dyDescent="0.25">
      <c r="H2201" s="134"/>
    </row>
    <row r="2202" spans="8:8" x14ac:dyDescent="0.25">
      <c r="H2202" s="134"/>
    </row>
    <row r="2203" spans="8:8" x14ac:dyDescent="0.25">
      <c r="H2203" s="134"/>
    </row>
    <row r="2204" spans="8:8" x14ac:dyDescent="0.25">
      <c r="H2204" s="134"/>
    </row>
    <row r="2205" spans="8:8" x14ac:dyDescent="0.25">
      <c r="H2205" s="134"/>
    </row>
    <row r="2206" spans="8:8" x14ac:dyDescent="0.25">
      <c r="H2206" s="134"/>
    </row>
    <row r="2207" spans="8:8" x14ac:dyDescent="0.25">
      <c r="H2207" s="134"/>
    </row>
    <row r="2208" spans="8:8" x14ac:dyDescent="0.25">
      <c r="H2208" s="134"/>
    </row>
    <row r="2209" spans="8:8" x14ac:dyDescent="0.25">
      <c r="H2209" s="134"/>
    </row>
    <row r="2210" spans="8:8" x14ac:dyDescent="0.25">
      <c r="H2210" s="134"/>
    </row>
    <row r="2211" spans="8:8" x14ac:dyDescent="0.25">
      <c r="H2211" s="134"/>
    </row>
    <row r="2212" spans="8:8" x14ac:dyDescent="0.25">
      <c r="H2212" s="134"/>
    </row>
    <row r="2213" spans="8:8" x14ac:dyDescent="0.25">
      <c r="H2213" s="134"/>
    </row>
    <row r="2214" spans="8:8" x14ac:dyDescent="0.25">
      <c r="H2214" s="134"/>
    </row>
    <row r="2215" spans="8:8" x14ac:dyDescent="0.25">
      <c r="H2215" s="134"/>
    </row>
    <row r="2216" spans="8:8" x14ac:dyDescent="0.25">
      <c r="H2216" s="134"/>
    </row>
    <row r="2217" spans="8:8" x14ac:dyDescent="0.25">
      <c r="H2217" s="134"/>
    </row>
    <row r="2218" spans="8:8" x14ac:dyDescent="0.25">
      <c r="H2218" s="134"/>
    </row>
    <row r="2219" spans="8:8" x14ac:dyDescent="0.25">
      <c r="H2219" s="134"/>
    </row>
    <row r="2220" spans="8:8" x14ac:dyDescent="0.25">
      <c r="H2220" s="134"/>
    </row>
    <row r="2221" spans="8:8" x14ac:dyDescent="0.25">
      <c r="H2221" s="134"/>
    </row>
    <row r="2222" spans="8:8" x14ac:dyDescent="0.25">
      <c r="H2222" s="134"/>
    </row>
    <row r="2223" spans="8:8" x14ac:dyDescent="0.25">
      <c r="H2223" s="134"/>
    </row>
    <row r="2224" spans="8:8" x14ac:dyDescent="0.25">
      <c r="H2224" s="134"/>
    </row>
    <row r="2225" spans="8:8" x14ac:dyDescent="0.25">
      <c r="H2225" s="134"/>
    </row>
    <row r="2226" spans="8:8" x14ac:dyDescent="0.25">
      <c r="H2226" s="134"/>
    </row>
    <row r="2227" spans="8:8" x14ac:dyDescent="0.25">
      <c r="H2227" s="134"/>
    </row>
    <row r="2228" spans="8:8" x14ac:dyDescent="0.25">
      <c r="H2228" s="134"/>
    </row>
    <row r="2229" spans="8:8" x14ac:dyDescent="0.25">
      <c r="H2229" s="134"/>
    </row>
    <row r="2230" spans="8:8" x14ac:dyDescent="0.25">
      <c r="H2230" s="134"/>
    </row>
    <row r="2231" spans="8:8" x14ac:dyDescent="0.25">
      <c r="H2231" s="134"/>
    </row>
    <row r="2232" spans="8:8" x14ac:dyDescent="0.25">
      <c r="H2232" s="134"/>
    </row>
    <row r="2233" spans="8:8" x14ac:dyDescent="0.25">
      <c r="H2233" s="134"/>
    </row>
    <row r="2234" spans="8:8" x14ac:dyDescent="0.25">
      <c r="H2234" s="134"/>
    </row>
    <row r="2235" spans="8:8" x14ac:dyDescent="0.25">
      <c r="H2235" s="134"/>
    </row>
    <row r="2236" spans="8:8" x14ac:dyDescent="0.25">
      <c r="H2236" s="134"/>
    </row>
    <row r="2237" spans="8:8" x14ac:dyDescent="0.25">
      <c r="H2237" s="134"/>
    </row>
    <row r="2238" spans="8:8" x14ac:dyDescent="0.25">
      <c r="H2238" s="134"/>
    </row>
    <row r="2239" spans="8:8" x14ac:dyDescent="0.25">
      <c r="H2239" s="134"/>
    </row>
    <row r="2240" spans="8:8" x14ac:dyDescent="0.25">
      <c r="H2240" s="134"/>
    </row>
    <row r="2241" spans="8:8" x14ac:dyDescent="0.25">
      <c r="H2241" s="134"/>
    </row>
    <row r="2242" spans="8:8" x14ac:dyDescent="0.25">
      <c r="H2242" s="134"/>
    </row>
    <row r="2243" spans="8:8" x14ac:dyDescent="0.25">
      <c r="H2243" s="134"/>
    </row>
    <row r="2244" spans="8:8" x14ac:dyDescent="0.25">
      <c r="H2244" s="134"/>
    </row>
    <row r="2245" spans="8:8" x14ac:dyDescent="0.25">
      <c r="H2245" s="134"/>
    </row>
    <row r="2246" spans="8:8" x14ac:dyDescent="0.25">
      <c r="H2246" s="134"/>
    </row>
    <row r="2247" spans="8:8" x14ac:dyDescent="0.25">
      <c r="H2247" s="134"/>
    </row>
    <row r="2248" spans="8:8" x14ac:dyDescent="0.25">
      <c r="H2248" s="134"/>
    </row>
    <row r="2249" spans="8:8" x14ac:dyDescent="0.25">
      <c r="H2249" s="134"/>
    </row>
    <row r="2250" spans="8:8" x14ac:dyDescent="0.25">
      <c r="H2250" s="134"/>
    </row>
    <row r="2251" spans="8:8" x14ac:dyDescent="0.25">
      <c r="H2251" s="134"/>
    </row>
    <row r="2252" spans="8:8" x14ac:dyDescent="0.25">
      <c r="H2252" s="134"/>
    </row>
    <row r="2253" spans="8:8" x14ac:dyDescent="0.25">
      <c r="H2253" s="134"/>
    </row>
    <row r="2254" spans="8:8" x14ac:dyDescent="0.25">
      <c r="H2254" s="134"/>
    </row>
    <row r="2255" spans="8:8" x14ac:dyDescent="0.25">
      <c r="H2255" s="134"/>
    </row>
    <row r="2256" spans="8:8" x14ac:dyDescent="0.25">
      <c r="H2256" s="134"/>
    </row>
    <row r="2257" spans="8:8" x14ac:dyDescent="0.25">
      <c r="H2257" s="134"/>
    </row>
    <row r="2258" spans="8:8" x14ac:dyDescent="0.25">
      <c r="H2258" s="134"/>
    </row>
    <row r="2259" spans="8:8" x14ac:dyDescent="0.25">
      <c r="H2259" s="134"/>
    </row>
    <row r="2260" spans="8:8" x14ac:dyDescent="0.25">
      <c r="H2260" s="134"/>
    </row>
    <row r="2261" spans="8:8" x14ac:dyDescent="0.25">
      <c r="H2261" s="134"/>
    </row>
    <row r="2262" spans="8:8" x14ac:dyDescent="0.25">
      <c r="H2262" s="134"/>
    </row>
    <row r="2263" spans="8:8" x14ac:dyDescent="0.25">
      <c r="H2263" s="134"/>
    </row>
    <row r="2264" spans="8:8" x14ac:dyDescent="0.25">
      <c r="H2264" s="134"/>
    </row>
    <row r="2265" spans="8:8" x14ac:dyDescent="0.25">
      <c r="H2265" s="134"/>
    </row>
    <row r="2266" spans="8:8" x14ac:dyDescent="0.25">
      <c r="H2266" s="134"/>
    </row>
    <row r="2267" spans="8:8" x14ac:dyDescent="0.25">
      <c r="H2267" s="134"/>
    </row>
    <row r="2268" spans="8:8" x14ac:dyDescent="0.25">
      <c r="H2268" s="134"/>
    </row>
    <row r="2269" spans="8:8" x14ac:dyDescent="0.25">
      <c r="H2269" s="134"/>
    </row>
    <row r="2270" spans="8:8" x14ac:dyDescent="0.25">
      <c r="H2270" s="134"/>
    </row>
    <row r="2271" spans="8:8" x14ac:dyDescent="0.25">
      <c r="H2271" s="134"/>
    </row>
    <row r="2272" spans="8:8" x14ac:dyDescent="0.25">
      <c r="H2272" s="134"/>
    </row>
    <row r="2273" spans="8:8" x14ac:dyDescent="0.25">
      <c r="H2273" s="134"/>
    </row>
    <row r="2274" spans="8:8" x14ac:dyDescent="0.25">
      <c r="H2274" s="134"/>
    </row>
    <row r="2275" spans="8:8" x14ac:dyDescent="0.25">
      <c r="H2275" s="134"/>
    </row>
    <row r="2276" spans="8:8" x14ac:dyDescent="0.25">
      <c r="H2276" s="134"/>
    </row>
    <row r="2277" spans="8:8" x14ac:dyDescent="0.25">
      <c r="H2277" s="134"/>
    </row>
    <row r="2278" spans="8:8" x14ac:dyDescent="0.25">
      <c r="H2278" s="134"/>
    </row>
    <row r="2279" spans="8:8" x14ac:dyDescent="0.25">
      <c r="H2279" s="134"/>
    </row>
    <row r="2280" spans="8:8" x14ac:dyDescent="0.25">
      <c r="H2280" s="134"/>
    </row>
    <row r="2281" spans="8:8" x14ac:dyDescent="0.25">
      <c r="H2281" s="134"/>
    </row>
    <row r="2282" spans="8:8" x14ac:dyDescent="0.25">
      <c r="H2282" s="134"/>
    </row>
    <row r="2283" spans="8:8" x14ac:dyDescent="0.25">
      <c r="H2283" s="134"/>
    </row>
    <row r="2284" spans="8:8" x14ac:dyDescent="0.25">
      <c r="H2284" s="134"/>
    </row>
    <row r="2285" spans="8:8" x14ac:dyDescent="0.25">
      <c r="H2285" s="134"/>
    </row>
    <row r="2286" spans="8:8" x14ac:dyDescent="0.25">
      <c r="H2286" s="134"/>
    </row>
    <row r="2287" spans="8:8" x14ac:dyDescent="0.25">
      <c r="H2287" s="134"/>
    </row>
    <row r="2288" spans="8:8" x14ac:dyDescent="0.25">
      <c r="H2288" s="134"/>
    </row>
    <row r="2289" spans="8:8" x14ac:dyDescent="0.25">
      <c r="H2289" s="134"/>
    </row>
    <row r="2290" spans="8:8" x14ac:dyDescent="0.25">
      <c r="H2290" s="134"/>
    </row>
    <row r="2291" spans="8:8" x14ac:dyDescent="0.25">
      <c r="H2291" s="134"/>
    </row>
    <row r="2292" spans="8:8" x14ac:dyDescent="0.25">
      <c r="H2292" s="134"/>
    </row>
    <row r="2293" spans="8:8" x14ac:dyDescent="0.25">
      <c r="H2293" s="134"/>
    </row>
    <row r="2294" spans="8:8" x14ac:dyDescent="0.25">
      <c r="H2294" s="134"/>
    </row>
    <row r="2295" spans="8:8" x14ac:dyDescent="0.25">
      <c r="H2295" s="134"/>
    </row>
    <row r="2296" spans="8:8" x14ac:dyDescent="0.25">
      <c r="H2296" s="134"/>
    </row>
    <row r="2297" spans="8:8" x14ac:dyDescent="0.25">
      <c r="H2297" s="134"/>
    </row>
    <row r="2298" spans="8:8" x14ac:dyDescent="0.25">
      <c r="H2298" s="134"/>
    </row>
    <row r="2299" spans="8:8" x14ac:dyDescent="0.25">
      <c r="H2299" s="134"/>
    </row>
    <row r="2300" spans="8:8" x14ac:dyDescent="0.25">
      <c r="H2300" s="134"/>
    </row>
    <row r="2301" spans="8:8" x14ac:dyDescent="0.25">
      <c r="H2301" s="134"/>
    </row>
    <row r="2302" spans="8:8" x14ac:dyDescent="0.25">
      <c r="H2302" s="134"/>
    </row>
    <row r="2303" spans="8:8" x14ac:dyDescent="0.25">
      <c r="H2303" s="134"/>
    </row>
    <row r="2304" spans="8:8" x14ac:dyDescent="0.25">
      <c r="H2304" s="134"/>
    </row>
    <row r="2305" spans="8:8" x14ac:dyDescent="0.25">
      <c r="H2305" s="134"/>
    </row>
    <row r="2306" spans="8:8" x14ac:dyDescent="0.25">
      <c r="H2306" s="134"/>
    </row>
    <row r="2307" spans="8:8" x14ac:dyDescent="0.25">
      <c r="H2307" s="134"/>
    </row>
    <row r="2308" spans="8:8" x14ac:dyDescent="0.25">
      <c r="H2308" s="134"/>
    </row>
    <row r="2309" spans="8:8" x14ac:dyDescent="0.25">
      <c r="H2309" s="134"/>
    </row>
    <row r="2310" spans="8:8" x14ac:dyDescent="0.25">
      <c r="H2310" s="134"/>
    </row>
    <row r="2311" spans="8:8" x14ac:dyDescent="0.25">
      <c r="H2311" s="134"/>
    </row>
    <row r="2312" spans="8:8" x14ac:dyDescent="0.25">
      <c r="H2312" s="134"/>
    </row>
    <row r="2313" spans="8:8" x14ac:dyDescent="0.25">
      <c r="H2313" s="134"/>
    </row>
    <row r="2314" spans="8:8" x14ac:dyDescent="0.25">
      <c r="H2314" s="134"/>
    </row>
    <row r="2315" spans="8:8" x14ac:dyDescent="0.25">
      <c r="H2315" s="134"/>
    </row>
    <row r="2316" spans="8:8" x14ac:dyDescent="0.25">
      <c r="H2316" s="134"/>
    </row>
    <row r="2317" spans="8:8" x14ac:dyDescent="0.25">
      <c r="H2317" s="134"/>
    </row>
    <row r="2318" spans="8:8" x14ac:dyDescent="0.25">
      <c r="H2318" s="134"/>
    </row>
    <row r="2319" spans="8:8" x14ac:dyDescent="0.25">
      <c r="H2319" s="134"/>
    </row>
    <row r="2320" spans="8:8" x14ac:dyDescent="0.25">
      <c r="H2320" s="134"/>
    </row>
    <row r="2321" spans="8:8" x14ac:dyDescent="0.25">
      <c r="H2321" s="134"/>
    </row>
    <row r="2322" spans="8:8" x14ac:dyDescent="0.25">
      <c r="H2322" s="134"/>
    </row>
    <row r="2323" spans="8:8" x14ac:dyDescent="0.25">
      <c r="H2323" s="134"/>
    </row>
    <row r="2324" spans="8:8" x14ac:dyDescent="0.25">
      <c r="H2324" s="134"/>
    </row>
    <row r="2325" spans="8:8" x14ac:dyDescent="0.25">
      <c r="H2325" s="134"/>
    </row>
    <row r="2326" spans="8:8" x14ac:dyDescent="0.25">
      <c r="H2326" s="134"/>
    </row>
    <row r="2327" spans="8:8" x14ac:dyDescent="0.25">
      <c r="H2327" s="134"/>
    </row>
    <row r="2328" spans="8:8" x14ac:dyDescent="0.25">
      <c r="H2328" s="134"/>
    </row>
    <row r="2329" spans="8:8" x14ac:dyDescent="0.25">
      <c r="H2329" s="134"/>
    </row>
    <row r="2330" spans="8:8" x14ac:dyDescent="0.25">
      <c r="H2330" s="134"/>
    </row>
    <row r="2331" spans="8:8" x14ac:dyDescent="0.25">
      <c r="H2331" s="134"/>
    </row>
    <row r="2332" spans="8:8" x14ac:dyDescent="0.25">
      <c r="H2332" s="134"/>
    </row>
    <row r="2333" spans="8:8" x14ac:dyDescent="0.25">
      <c r="H2333" s="134"/>
    </row>
    <row r="2334" spans="8:8" x14ac:dyDescent="0.25">
      <c r="H2334" s="134"/>
    </row>
    <row r="2335" spans="8:8" x14ac:dyDescent="0.25">
      <c r="H2335" s="134"/>
    </row>
    <row r="2336" spans="8:8" x14ac:dyDescent="0.25">
      <c r="H2336" s="134"/>
    </row>
    <row r="2337" spans="8:8" x14ac:dyDescent="0.25">
      <c r="H2337" s="134"/>
    </row>
    <row r="2338" spans="8:8" x14ac:dyDescent="0.25">
      <c r="H2338" s="134"/>
    </row>
    <row r="2339" spans="8:8" x14ac:dyDescent="0.25">
      <c r="H2339" s="134"/>
    </row>
    <row r="2340" spans="8:8" x14ac:dyDescent="0.25">
      <c r="H2340" s="134"/>
    </row>
    <row r="2341" spans="8:8" x14ac:dyDescent="0.25">
      <c r="H2341" s="134"/>
    </row>
    <row r="2342" spans="8:8" x14ac:dyDescent="0.25">
      <c r="H2342" s="134"/>
    </row>
    <row r="2343" spans="8:8" x14ac:dyDescent="0.25">
      <c r="H2343" s="134"/>
    </row>
    <row r="2344" spans="8:8" x14ac:dyDescent="0.25">
      <c r="H2344" s="134"/>
    </row>
    <row r="2345" spans="8:8" x14ac:dyDescent="0.25">
      <c r="H2345" s="134"/>
    </row>
    <row r="2346" spans="8:8" x14ac:dyDescent="0.25">
      <c r="H2346" s="134"/>
    </row>
    <row r="2347" spans="8:8" x14ac:dyDescent="0.25">
      <c r="H2347" s="134"/>
    </row>
    <row r="2348" spans="8:8" x14ac:dyDescent="0.25">
      <c r="H2348" s="134"/>
    </row>
    <row r="2349" spans="8:8" x14ac:dyDescent="0.25">
      <c r="H2349" s="134"/>
    </row>
    <row r="2350" spans="8:8" x14ac:dyDescent="0.25">
      <c r="H2350" s="134"/>
    </row>
    <row r="2351" spans="8:8" x14ac:dyDescent="0.25">
      <c r="H2351" s="134"/>
    </row>
    <row r="2352" spans="8:8" x14ac:dyDescent="0.25">
      <c r="H2352" s="134"/>
    </row>
    <row r="2353" spans="8:8" x14ac:dyDescent="0.25">
      <c r="H2353" s="134"/>
    </row>
    <row r="2354" spans="8:8" x14ac:dyDescent="0.25">
      <c r="H2354" s="134"/>
    </row>
    <row r="2355" spans="8:8" x14ac:dyDescent="0.25">
      <c r="H2355" s="134"/>
    </row>
    <row r="2356" spans="8:8" x14ac:dyDescent="0.25">
      <c r="H2356" s="134"/>
    </row>
    <row r="2357" spans="8:8" x14ac:dyDescent="0.25">
      <c r="H2357" s="134"/>
    </row>
    <row r="2358" spans="8:8" x14ac:dyDescent="0.25">
      <c r="H2358" s="134"/>
    </row>
    <row r="2359" spans="8:8" x14ac:dyDescent="0.25">
      <c r="H2359" s="134"/>
    </row>
    <row r="2360" spans="8:8" x14ac:dyDescent="0.25">
      <c r="H2360" s="134"/>
    </row>
    <row r="2361" spans="8:8" x14ac:dyDescent="0.25">
      <c r="H2361" s="134"/>
    </row>
    <row r="2362" spans="8:8" x14ac:dyDescent="0.25">
      <c r="H2362" s="134"/>
    </row>
    <row r="2363" spans="8:8" x14ac:dyDescent="0.25">
      <c r="H2363" s="134"/>
    </row>
    <row r="2364" spans="8:8" x14ac:dyDescent="0.25">
      <c r="H2364" s="134"/>
    </row>
    <row r="2365" spans="8:8" x14ac:dyDescent="0.25">
      <c r="H2365" s="134"/>
    </row>
    <row r="2366" spans="8:8" x14ac:dyDescent="0.25">
      <c r="H2366" s="134"/>
    </row>
    <row r="2367" spans="8:8" x14ac:dyDescent="0.25">
      <c r="H2367" s="134"/>
    </row>
    <row r="2368" spans="8:8" x14ac:dyDescent="0.25">
      <c r="H2368" s="134"/>
    </row>
    <row r="2369" spans="8:8" x14ac:dyDescent="0.25">
      <c r="H2369" s="134"/>
    </row>
    <row r="2370" spans="8:8" x14ac:dyDescent="0.25">
      <c r="H2370" s="134"/>
    </row>
    <row r="2371" spans="8:8" x14ac:dyDescent="0.25">
      <c r="H2371" s="134"/>
    </row>
    <row r="2372" spans="8:8" x14ac:dyDescent="0.25">
      <c r="H2372" s="134"/>
    </row>
    <row r="2373" spans="8:8" x14ac:dyDescent="0.25">
      <c r="H2373" s="134"/>
    </row>
    <row r="2374" spans="8:8" x14ac:dyDescent="0.25">
      <c r="H2374" s="134"/>
    </row>
    <row r="2375" spans="8:8" x14ac:dyDescent="0.25">
      <c r="H2375" s="134"/>
    </row>
    <row r="2376" spans="8:8" x14ac:dyDescent="0.25">
      <c r="H2376" s="134"/>
    </row>
    <row r="2377" spans="8:8" x14ac:dyDescent="0.25">
      <c r="H2377" s="134"/>
    </row>
    <row r="2378" spans="8:8" x14ac:dyDescent="0.25">
      <c r="H2378" s="134"/>
    </row>
    <row r="2379" spans="8:8" x14ac:dyDescent="0.25">
      <c r="H2379" s="134"/>
    </row>
    <row r="2380" spans="8:8" x14ac:dyDescent="0.25">
      <c r="H2380" s="134"/>
    </row>
    <row r="2381" spans="8:8" x14ac:dyDescent="0.25">
      <c r="H2381" s="134"/>
    </row>
    <row r="2382" spans="8:8" x14ac:dyDescent="0.25">
      <c r="H2382" s="134"/>
    </row>
    <row r="2383" spans="8:8" x14ac:dyDescent="0.25">
      <c r="H2383" s="134"/>
    </row>
    <row r="2384" spans="8:8" x14ac:dyDescent="0.25">
      <c r="H2384" s="134"/>
    </row>
    <row r="2385" spans="8:8" x14ac:dyDescent="0.25">
      <c r="H2385" s="134"/>
    </row>
    <row r="2386" spans="8:8" x14ac:dyDescent="0.25">
      <c r="H2386" s="134"/>
    </row>
    <row r="2387" spans="8:8" x14ac:dyDescent="0.25">
      <c r="H2387" s="134"/>
    </row>
    <row r="2388" spans="8:8" x14ac:dyDescent="0.25">
      <c r="H2388" s="134"/>
    </row>
    <row r="2389" spans="8:8" x14ac:dyDescent="0.25">
      <c r="H2389" s="134"/>
    </row>
    <row r="2390" spans="8:8" x14ac:dyDescent="0.25">
      <c r="H2390" s="134"/>
    </row>
    <row r="2391" spans="8:8" x14ac:dyDescent="0.25">
      <c r="H2391" s="134"/>
    </row>
    <row r="2392" spans="8:8" x14ac:dyDescent="0.25">
      <c r="H2392" s="134"/>
    </row>
    <row r="2393" spans="8:8" x14ac:dyDescent="0.25">
      <c r="H2393" s="134"/>
    </row>
    <row r="2394" spans="8:8" x14ac:dyDescent="0.25">
      <c r="H2394" s="134"/>
    </row>
    <row r="2395" spans="8:8" x14ac:dyDescent="0.25">
      <c r="H2395" s="134"/>
    </row>
    <row r="2396" spans="8:8" x14ac:dyDescent="0.25">
      <c r="H2396" s="134"/>
    </row>
    <row r="2397" spans="8:8" x14ac:dyDescent="0.25">
      <c r="H2397" s="134"/>
    </row>
    <row r="2398" spans="8:8" x14ac:dyDescent="0.25">
      <c r="H2398" s="134"/>
    </row>
    <row r="2399" spans="8:8" x14ac:dyDescent="0.25">
      <c r="H2399" s="134"/>
    </row>
    <row r="2400" spans="8:8" x14ac:dyDescent="0.25">
      <c r="H2400" s="134"/>
    </row>
    <row r="2401" spans="8:8" x14ac:dyDescent="0.25">
      <c r="H2401" s="134"/>
    </row>
    <row r="2402" spans="8:8" x14ac:dyDescent="0.25">
      <c r="H2402" s="134"/>
    </row>
    <row r="2403" spans="8:8" x14ac:dyDescent="0.25">
      <c r="H2403" s="134"/>
    </row>
    <row r="2404" spans="8:8" x14ac:dyDescent="0.25">
      <c r="H2404" s="134"/>
    </row>
    <row r="2405" spans="8:8" x14ac:dyDescent="0.25">
      <c r="H2405" s="134"/>
    </row>
    <row r="2406" spans="8:8" x14ac:dyDescent="0.25">
      <c r="H2406" s="134"/>
    </row>
    <row r="2407" spans="8:8" x14ac:dyDescent="0.25">
      <c r="H2407" s="134"/>
    </row>
    <row r="2408" spans="8:8" x14ac:dyDescent="0.25">
      <c r="H2408" s="134"/>
    </row>
    <row r="2409" spans="8:8" x14ac:dyDescent="0.25">
      <c r="H2409" s="134"/>
    </row>
    <row r="2410" spans="8:8" x14ac:dyDescent="0.25">
      <c r="H2410" s="134"/>
    </row>
    <row r="2411" spans="8:8" x14ac:dyDescent="0.25">
      <c r="H2411" s="134"/>
    </row>
    <row r="2412" spans="8:8" x14ac:dyDescent="0.25">
      <c r="H2412" s="134"/>
    </row>
    <row r="2413" spans="8:8" x14ac:dyDescent="0.25">
      <c r="H2413" s="134"/>
    </row>
    <row r="2414" spans="8:8" x14ac:dyDescent="0.25">
      <c r="H2414" s="134"/>
    </row>
    <row r="2415" spans="8:8" x14ac:dyDescent="0.25">
      <c r="H2415" s="134"/>
    </row>
    <row r="2416" spans="8:8" x14ac:dyDescent="0.25">
      <c r="H2416" s="134"/>
    </row>
    <row r="2417" spans="8:8" x14ac:dyDescent="0.25">
      <c r="H2417" s="134"/>
    </row>
    <row r="2418" spans="8:8" x14ac:dyDescent="0.25">
      <c r="H2418" s="134"/>
    </row>
    <row r="2419" spans="8:8" x14ac:dyDescent="0.25">
      <c r="H2419" s="134"/>
    </row>
    <row r="2420" spans="8:8" x14ac:dyDescent="0.25">
      <c r="H2420" s="134"/>
    </row>
    <row r="2421" spans="8:8" x14ac:dyDescent="0.25">
      <c r="H2421" s="134"/>
    </row>
    <row r="2422" spans="8:8" x14ac:dyDescent="0.25">
      <c r="H2422" s="134"/>
    </row>
    <row r="2423" spans="8:8" x14ac:dyDescent="0.25">
      <c r="H2423" s="134"/>
    </row>
    <row r="2424" spans="8:8" x14ac:dyDescent="0.25">
      <c r="H2424" s="134"/>
    </row>
    <row r="2425" spans="8:8" x14ac:dyDescent="0.25">
      <c r="H2425" s="134"/>
    </row>
    <row r="2426" spans="8:8" x14ac:dyDescent="0.25">
      <c r="H2426" s="134"/>
    </row>
    <row r="2427" spans="8:8" x14ac:dyDescent="0.25">
      <c r="H2427" s="134"/>
    </row>
    <row r="2428" spans="8:8" x14ac:dyDescent="0.25">
      <c r="H2428" s="134"/>
    </row>
    <row r="2429" spans="8:8" x14ac:dyDescent="0.25">
      <c r="H2429" s="134"/>
    </row>
    <row r="2430" spans="8:8" x14ac:dyDescent="0.25">
      <c r="H2430" s="134"/>
    </row>
    <row r="2431" spans="8:8" x14ac:dyDescent="0.25">
      <c r="H2431" s="134"/>
    </row>
    <row r="2432" spans="8:8" x14ac:dyDescent="0.25">
      <c r="H2432" s="134"/>
    </row>
    <row r="2433" spans="8:8" x14ac:dyDescent="0.25">
      <c r="H2433" s="134"/>
    </row>
    <row r="2434" spans="8:8" x14ac:dyDescent="0.25">
      <c r="H2434" s="134"/>
    </row>
    <row r="2435" spans="8:8" x14ac:dyDescent="0.25">
      <c r="H2435" s="134"/>
    </row>
    <row r="2436" spans="8:8" x14ac:dyDescent="0.25">
      <c r="H2436" s="134"/>
    </row>
    <row r="2437" spans="8:8" x14ac:dyDescent="0.25">
      <c r="H2437" s="134"/>
    </row>
    <row r="2438" spans="8:8" x14ac:dyDescent="0.25">
      <c r="H2438" s="134"/>
    </row>
    <row r="2439" spans="8:8" x14ac:dyDescent="0.25">
      <c r="H2439" s="134"/>
    </row>
    <row r="2440" spans="8:8" x14ac:dyDescent="0.25">
      <c r="H2440" s="134"/>
    </row>
    <row r="2441" spans="8:8" x14ac:dyDescent="0.25">
      <c r="H2441" s="134"/>
    </row>
    <row r="2442" spans="8:8" x14ac:dyDescent="0.25">
      <c r="H2442" s="134"/>
    </row>
    <row r="2443" spans="8:8" x14ac:dyDescent="0.25">
      <c r="H2443" s="134"/>
    </row>
    <row r="2444" spans="8:8" x14ac:dyDescent="0.25">
      <c r="H2444" s="134"/>
    </row>
    <row r="2445" spans="8:8" x14ac:dyDescent="0.25">
      <c r="H2445" s="134"/>
    </row>
    <row r="2446" spans="8:8" x14ac:dyDescent="0.25">
      <c r="H2446" s="134"/>
    </row>
    <row r="2447" spans="8:8" x14ac:dyDescent="0.25">
      <c r="H2447" s="134"/>
    </row>
    <row r="2448" spans="8:8" x14ac:dyDescent="0.25">
      <c r="H2448" s="134"/>
    </row>
    <row r="2449" spans="8:8" x14ac:dyDescent="0.25">
      <c r="H2449" s="134"/>
    </row>
    <row r="2450" spans="8:8" x14ac:dyDescent="0.25">
      <c r="H2450" s="134"/>
    </row>
    <row r="2451" spans="8:8" x14ac:dyDescent="0.25">
      <c r="H2451" s="134"/>
    </row>
    <row r="2452" spans="8:8" x14ac:dyDescent="0.25">
      <c r="H2452" s="134"/>
    </row>
    <row r="2453" spans="8:8" x14ac:dyDescent="0.25">
      <c r="H2453" s="134"/>
    </row>
    <row r="2454" spans="8:8" x14ac:dyDescent="0.25">
      <c r="H2454" s="134"/>
    </row>
    <row r="2455" spans="8:8" x14ac:dyDescent="0.25">
      <c r="H2455" s="134"/>
    </row>
    <row r="2456" spans="8:8" x14ac:dyDescent="0.25">
      <c r="H2456" s="134"/>
    </row>
    <row r="2457" spans="8:8" x14ac:dyDescent="0.25">
      <c r="H2457" s="134"/>
    </row>
    <row r="2458" spans="8:8" x14ac:dyDescent="0.25">
      <c r="H2458" s="134"/>
    </row>
    <row r="2459" spans="8:8" x14ac:dyDescent="0.25">
      <c r="H2459" s="134"/>
    </row>
    <row r="2460" spans="8:8" x14ac:dyDescent="0.25">
      <c r="H2460" s="134"/>
    </row>
    <row r="2461" spans="8:8" x14ac:dyDescent="0.25">
      <c r="H2461" s="134"/>
    </row>
    <row r="2462" spans="8:8" x14ac:dyDescent="0.25">
      <c r="H2462" s="134"/>
    </row>
    <row r="2463" spans="8:8" x14ac:dyDescent="0.25">
      <c r="H2463" s="134"/>
    </row>
    <row r="2464" spans="8:8" x14ac:dyDescent="0.25">
      <c r="H2464" s="134"/>
    </row>
    <row r="2465" spans="8:8" x14ac:dyDescent="0.25">
      <c r="H2465" s="134"/>
    </row>
    <row r="2466" spans="8:8" x14ac:dyDescent="0.25">
      <c r="H2466" s="134"/>
    </row>
    <row r="2467" spans="8:8" x14ac:dyDescent="0.25">
      <c r="H2467" s="134"/>
    </row>
    <row r="2468" spans="8:8" x14ac:dyDescent="0.25">
      <c r="H2468" s="134"/>
    </row>
    <row r="2469" spans="8:8" x14ac:dyDescent="0.25">
      <c r="H2469" s="134"/>
    </row>
    <row r="2470" spans="8:8" x14ac:dyDescent="0.25">
      <c r="H2470" s="134"/>
    </row>
    <row r="2471" spans="8:8" x14ac:dyDescent="0.25">
      <c r="H2471" s="134"/>
    </row>
    <row r="2472" spans="8:8" x14ac:dyDescent="0.25">
      <c r="H2472" s="134"/>
    </row>
    <row r="2473" spans="8:8" x14ac:dyDescent="0.25">
      <c r="H2473" s="134"/>
    </row>
    <row r="2474" spans="8:8" x14ac:dyDescent="0.25">
      <c r="H2474" s="134"/>
    </row>
    <row r="2475" spans="8:8" x14ac:dyDescent="0.25">
      <c r="H2475" s="134"/>
    </row>
    <row r="2476" spans="8:8" x14ac:dyDescent="0.25">
      <c r="H2476" s="134"/>
    </row>
    <row r="2477" spans="8:8" x14ac:dyDescent="0.25">
      <c r="H2477" s="134"/>
    </row>
    <row r="2478" spans="8:8" x14ac:dyDescent="0.25">
      <c r="H2478" s="134"/>
    </row>
    <row r="2479" spans="8:8" x14ac:dyDescent="0.25">
      <c r="H2479" s="134"/>
    </row>
    <row r="2480" spans="8:8" x14ac:dyDescent="0.25">
      <c r="H2480" s="134"/>
    </row>
    <row r="2481" spans="8:8" x14ac:dyDescent="0.25">
      <c r="H2481" s="134"/>
    </row>
    <row r="2482" spans="8:8" x14ac:dyDescent="0.25">
      <c r="H2482" s="134"/>
    </row>
    <row r="2483" spans="8:8" x14ac:dyDescent="0.25">
      <c r="H2483" s="134"/>
    </row>
    <row r="2484" spans="8:8" x14ac:dyDescent="0.25">
      <c r="H2484" s="134"/>
    </row>
    <row r="2485" spans="8:8" x14ac:dyDescent="0.25">
      <c r="H2485" s="134"/>
    </row>
    <row r="2486" spans="8:8" x14ac:dyDescent="0.25">
      <c r="H2486" s="134"/>
    </row>
    <row r="2487" spans="8:8" x14ac:dyDescent="0.25">
      <c r="H2487" s="134"/>
    </row>
    <row r="2488" spans="8:8" x14ac:dyDescent="0.25">
      <c r="H2488" s="134"/>
    </row>
    <row r="2489" spans="8:8" x14ac:dyDescent="0.25">
      <c r="H2489" s="134"/>
    </row>
    <row r="2490" spans="8:8" x14ac:dyDescent="0.25">
      <c r="H2490" s="134"/>
    </row>
    <row r="2491" spans="8:8" x14ac:dyDescent="0.25">
      <c r="H2491" s="134"/>
    </row>
    <row r="2492" spans="8:8" x14ac:dyDescent="0.25">
      <c r="H2492" s="134"/>
    </row>
    <row r="2493" spans="8:8" x14ac:dyDescent="0.25">
      <c r="H2493" s="134"/>
    </row>
    <row r="2494" spans="8:8" x14ac:dyDescent="0.25">
      <c r="H2494" s="134"/>
    </row>
    <row r="2495" spans="8:8" x14ac:dyDescent="0.25">
      <c r="H2495" s="134"/>
    </row>
    <row r="2496" spans="8:8" x14ac:dyDescent="0.25">
      <c r="H2496" s="134"/>
    </row>
    <row r="2497" spans="8:8" x14ac:dyDescent="0.25">
      <c r="H2497" s="134"/>
    </row>
    <row r="2498" spans="8:8" x14ac:dyDescent="0.25">
      <c r="H2498" s="134"/>
    </row>
    <row r="2499" spans="8:8" x14ac:dyDescent="0.25">
      <c r="H2499" s="134"/>
    </row>
    <row r="2500" spans="8:8" x14ac:dyDescent="0.25">
      <c r="H2500" s="134"/>
    </row>
    <row r="2501" spans="8:8" x14ac:dyDescent="0.25">
      <c r="H2501" s="134"/>
    </row>
    <row r="2502" spans="8:8" x14ac:dyDescent="0.25">
      <c r="H2502" s="134"/>
    </row>
    <row r="2503" spans="8:8" x14ac:dyDescent="0.25">
      <c r="H2503" s="134"/>
    </row>
    <row r="2504" spans="8:8" x14ac:dyDescent="0.25">
      <c r="H2504" s="134"/>
    </row>
    <row r="2505" spans="8:8" x14ac:dyDescent="0.25">
      <c r="H2505" s="134"/>
    </row>
    <row r="2506" spans="8:8" x14ac:dyDescent="0.25">
      <c r="H2506" s="134"/>
    </row>
    <row r="2507" spans="8:8" x14ac:dyDescent="0.25">
      <c r="H2507" s="134"/>
    </row>
    <row r="2508" spans="8:8" x14ac:dyDescent="0.25">
      <c r="H2508" s="134"/>
    </row>
    <row r="2509" spans="8:8" x14ac:dyDescent="0.25">
      <c r="H2509" s="134"/>
    </row>
    <row r="2510" spans="8:8" x14ac:dyDescent="0.25">
      <c r="H2510" s="134"/>
    </row>
    <row r="2511" spans="8:8" x14ac:dyDescent="0.25">
      <c r="H2511" s="134"/>
    </row>
    <row r="2512" spans="8:8" x14ac:dyDescent="0.25">
      <c r="H2512" s="134"/>
    </row>
    <row r="2513" spans="8:8" x14ac:dyDescent="0.25">
      <c r="H2513" s="134"/>
    </row>
    <row r="2514" spans="8:8" x14ac:dyDescent="0.25">
      <c r="H2514" s="134"/>
    </row>
    <row r="2515" spans="8:8" x14ac:dyDescent="0.25">
      <c r="H2515" s="134"/>
    </row>
    <row r="2516" spans="8:8" x14ac:dyDescent="0.25">
      <c r="H2516" s="134"/>
    </row>
    <row r="2517" spans="8:8" x14ac:dyDescent="0.25">
      <c r="H2517" s="134"/>
    </row>
    <row r="2518" spans="8:8" x14ac:dyDescent="0.25">
      <c r="H2518" s="134"/>
    </row>
    <row r="2519" spans="8:8" x14ac:dyDescent="0.25">
      <c r="H2519" s="134"/>
    </row>
    <row r="2520" spans="8:8" x14ac:dyDescent="0.25">
      <c r="H2520" s="134"/>
    </row>
    <row r="2521" spans="8:8" x14ac:dyDescent="0.25">
      <c r="H2521" s="134"/>
    </row>
    <row r="2522" spans="8:8" x14ac:dyDescent="0.25">
      <c r="H2522" s="134"/>
    </row>
    <row r="2523" spans="8:8" x14ac:dyDescent="0.25">
      <c r="H2523" s="134"/>
    </row>
    <row r="2524" spans="8:8" x14ac:dyDescent="0.25">
      <c r="H2524" s="134"/>
    </row>
    <row r="2525" spans="8:8" x14ac:dyDescent="0.25">
      <c r="H2525" s="134"/>
    </row>
    <row r="2526" spans="8:8" x14ac:dyDescent="0.25">
      <c r="H2526" s="134"/>
    </row>
    <row r="2527" spans="8:8" x14ac:dyDescent="0.25">
      <c r="H2527" s="134"/>
    </row>
    <row r="2528" spans="8:8" x14ac:dyDescent="0.25">
      <c r="H2528" s="134"/>
    </row>
    <row r="2529" spans="8:8" x14ac:dyDescent="0.25">
      <c r="H2529" s="134"/>
    </row>
    <row r="2530" spans="8:8" x14ac:dyDescent="0.25">
      <c r="H2530" s="134"/>
    </row>
    <row r="2531" spans="8:8" x14ac:dyDescent="0.25">
      <c r="H2531" s="134"/>
    </row>
    <row r="2532" spans="8:8" x14ac:dyDescent="0.25">
      <c r="H2532" s="134"/>
    </row>
    <row r="2533" spans="8:8" x14ac:dyDescent="0.25">
      <c r="H2533" s="134"/>
    </row>
    <row r="2534" spans="8:8" x14ac:dyDescent="0.25">
      <c r="H2534" s="134"/>
    </row>
    <row r="2535" spans="8:8" x14ac:dyDescent="0.25">
      <c r="H2535" s="134"/>
    </row>
    <row r="2536" spans="8:8" x14ac:dyDescent="0.25">
      <c r="H2536" s="134"/>
    </row>
    <row r="2537" spans="8:8" x14ac:dyDescent="0.25">
      <c r="H2537" s="134"/>
    </row>
    <row r="2538" spans="8:8" x14ac:dyDescent="0.25">
      <c r="H2538" s="134"/>
    </row>
    <row r="2539" spans="8:8" x14ac:dyDescent="0.25">
      <c r="H2539" s="134"/>
    </row>
    <row r="2540" spans="8:8" x14ac:dyDescent="0.25">
      <c r="H2540" s="134"/>
    </row>
    <row r="2541" spans="8:8" x14ac:dyDescent="0.25">
      <c r="H2541" s="134"/>
    </row>
    <row r="2542" spans="8:8" x14ac:dyDescent="0.25">
      <c r="H2542" s="134"/>
    </row>
    <row r="2543" spans="8:8" x14ac:dyDescent="0.25">
      <c r="H2543" s="134"/>
    </row>
    <row r="2544" spans="8:8" x14ac:dyDescent="0.25">
      <c r="H2544" s="134"/>
    </row>
    <row r="2545" spans="8:8" x14ac:dyDescent="0.25">
      <c r="H2545" s="134"/>
    </row>
    <row r="2546" spans="8:8" x14ac:dyDescent="0.25">
      <c r="H2546" s="134"/>
    </row>
    <row r="2547" spans="8:8" x14ac:dyDescent="0.25">
      <c r="H2547" s="134"/>
    </row>
    <row r="2548" spans="8:8" x14ac:dyDescent="0.25">
      <c r="H2548" s="134"/>
    </row>
    <row r="2549" spans="8:8" x14ac:dyDescent="0.25">
      <c r="H2549" s="134"/>
    </row>
    <row r="2550" spans="8:8" x14ac:dyDescent="0.25">
      <c r="H2550" s="134"/>
    </row>
    <row r="2551" spans="8:8" x14ac:dyDescent="0.25">
      <c r="H2551" s="134"/>
    </row>
    <row r="2552" spans="8:8" x14ac:dyDescent="0.25">
      <c r="H2552" s="134"/>
    </row>
    <row r="2553" spans="8:8" x14ac:dyDescent="0.25">
      <c r="H2553" s="134"/>
    </row>
    <row r="2554" spans="8:8" x14ac:dyDescent="0.25">
      <c r="H2554" s="134"/>
    </row>
    <row r="2555" spans="8:8" x14ac:dyDescent="0.25">
      <c r="H2555" s="134"/>
    </row>
    <row r="2556" spans="8:8" x14ac:dyDescent="0.25">
      <c r="H2556" s="134"/>
    </row>
    <row r="2557" spans="8:8" x14ac:dyDescent="0.25">
      <c r="H2557" s="134"/>
    </row>
    <row r="2558" spans="8:8" x14ac:dyDescent="0.25">
      <c r="H2558" s="134"/>
    </row>
    <row r="2559" spans="8:8" x14ac:dyDescent="0.25">
      <c r="H2559" s="134"/>
    </row>
    <row r="2560" spans="8:8" x14ac:dyDescent="0.25">
      <c r="H2560" s="134"/>
    </row>
    <row r="2561" spans="8:8" x14ac:dyDescent="0.25">
      <c r="H2561" s="134"/>
    </row>
    <row r="2562" spans="8:8" x14ac:dyDescent="0.25">
      <c r="H2562" s="134"/>
    </row>
    <row r="2563" spans="8:8" x14ac:dyDescent="0.25">
      <c r="H2563" s="134"/>
    </row>
    <row r="2564" spans="8:8" x14ac:dyDescent="0.25">
      <c r="H2564" s="134"/>
    </row>
    <row r="2565" spans="8:8" x14ac:dyDescent="0.25">
      <c r="H2565" s="134"/>
    </row>
    <row r="2566" spans="8:8" x14ac:dyDescent="0.25">
      <c r="H2566" s="134"/>
    </row>
    <row r="2567" spans="8:8" x14ac:dyDescent="0.25">
      <c r="H2567" s="134"/>
    </row>
    <row r="2568" spans="8:8" x14ac:dyDescent="0.25">
      <c r="H2568" s="134"/>
    </row>
    <row r="2569" spans="8:8" x14ac:dyDescent="0.25">
      <c r="H2569" s="134"/>
    </row>
    <row r="2570" spans="8:8" x14ac:dyDescent="0.25">
      <c r="H2570" s="134"/>
    </row>
    <row r="2571" spans="8:8" x14ac:dyDescent="0.25">
      <c r="H2571" s="134"/>
    </row>
    <row r="2572" spans="8:8" x14ac:dyDescent="0.25">
      <c r="H2572" s="134"/>
    </row>
    <row r="2573" spans="8:8" x14ac:dyDescent="0.25">
      <c r="H2573" s="134"/>
    </row>
    <row r="2574" spans="8:8" x14ac:dyDescent="0.25">
      <c r="H2574" s="134"/>
    </row>
    <row r="2575" spans="8:8" x14ac:dyDescent="0.25">
      <c r="H2575" s="134"/>
    </row>
    <row r="2576" spans="8:8" x14ac:dyDescent="0.25">
      <c r="H2576" s="134"/>
    </row>
    <row r="2577" spans="8:8" x14ac:dyDescent="0.25">
      <c r="H2577" s="134"/>
    </row>
    <row r="2578" spans="8:8" x14ac:dyDescent="0.25">
      <c r="H2578" s="134"/>
    </row>
    <row r="2579" spans="8:8" x14ac:dyDescent="0.25">
      <c r="H2579" s="134"/>
    </row>
    <row r="2580" spans="8:8" x14ac:dyDescent="0.25">
      <c r="H2580" s="134"/>
    </row>
    <row r="2581" spans="8:8" x14ac:dyDescent="0.25">
      <c r="H2581" s="134"/>
    </row>
    <row r="2582" spans="8:8" x14ac:dyDescent="0.25">
      <c r="H2582" s="134"/>
    </row>
    <row r="2583" spans="8:8" x14ac:dyDescent="0.25">
      <c r="H2583" s="134"/>
    </row>
    <row r="2584" spans="8:8" x14ac:dyDescent="0.25">
      <c r="H2584" s="134"/>
    </row>
    <row r="2585" spans="8:8" x14ac:dyDescent="0.25">
      <c r="H2585" s="134"/>
    </row>
    <row r="2586" spans="8:8" x14ac:dyDescent="0.25">
      <c r="H2586" s="134"/>
    </row>
    <row r="2587" spans="8:8" x14ac:dyDescent="0.25">
      <c r="H2587" s="134"/>
    </row>
    <row r="2588" spans="8:8" x14ac:dyDescent="0.25">
      <c r="H2588" s="134"/>
    </row>
    <row r="2589" spans="8:8" x14ac:dyDescent="0.25">
      <c r="H2589" s="134"/>
    </row>
    <row r="2590" spans="8:8" x14ac:dyDescent="0.25">
      <c r="H2590" s="134"/>
    </row>
    <row r="2591" spans="8:8" x14ac:dyDescent="0.25">
      <c r="H2591" s="134"/>
    </row>
    <row r="2592" spans="8:8" x14ac:dyDescent="0.25">
      <c r="H2592" s="134"/>
    </row>
    <row r="2593" spans="8:8" x14ac:dyDescent="0.25">
      <c r="H2593" s="134"/>
    </row>
    <row r="2594" spans="8:8" x14ac:dyDescent="0.25">
      <c r="H2594" s="134"/>
    </row>
    <row r="2595" spans="8:8" x14ac:dyDescent="0.25">
      <c r="H2595" s="134"/>
    </row>
    <row r="2596" spans="8:8" x14ac:dyDescent="0.25">
      <c r="H2596" s="134"/>
    </row>
    <row r="2597" spans="8:8" x14ac:dyDescent="0.25">
      <c r="H2597" s="134"/>
    </row>
    <row r="2598" spans="8:8" x14ac:dyDescent="0.25">
      <c r="H2598" s="134"/>
    </row>
    <row r="2599" spans="8:8" x14ac:dyDescent="0.25">
      <c r="H2599" s="134"/>
    </row>
    <row r="2600" spans="8:8" x14ac:dyDescent="0.25">
      <c r="H2600" s="134"/>
    </row>
    <row r="2601" spans="8:8" x14ac:dyDescent="0.25">
      <c r="H2601" s="134"/>
    </row>
    <row r="2602" spans="8:8" x14ac:dyDescent="0.25">
      <c r="H2602" s="134"/>
    </row>
    <row r="2603" spans="8:8" x14ac:dyDescent="0.25">
      <c r="H2603" s="134"/>
    </row>
    <row r="2604" spans="8:8" x14ac:dyDescent="0.25">
      <c r="H2604" s="134"/>
    </row>
    <row r="2605" spans="8:8" x14ac:dyDescent="0.25">
      <c r="H2605" s="134"/>
    </row>
    <row r="2606" spans="8:8" x14ac:dyDescent="0.25">
      <c r="H2606" s="134"/>
    </row>
    <row r="2607" spans="8:8" x14ac:dyDescent="0.25">
      <c r="H2607" s="134"/>
    </row>
    <row r="2608" spans="8:8" x14ac:dyDescent="0.25">
      <c r="H2608" s="134"/>
    </row>
    <row r="2609" spans="8:8" x14ac:dyDescent="0.25">
      <c r="H2609" s="134"/>
    </row>
    <row r="2610" spans="8:8" x14ac:dyDescent="0.25">
      <c r="H2610" s="134"/>
    </row>
    <row r="2611" spans="8:8" x14ac:dyDescent="0.25">
      <c r="H2611" s="134"/>
    </row>
    <row r="2612" spans="8:8" x14ac:dyDescent="0.25">
      <c r="H2612" s="134"/>
    </row>
    <row r="2613" spans="8:8" x14ac:dyDescent="0.25">
      <c r="H2613" s="134"/>
    </row>
    <row r="2614" spans="8:8" x14ac:dyDescent="0.25">
      <c r="H2614" s="134"/>
    </row>
    <row r="2615" spans="8:8" x14ac:dyDescent="0.25">
      <c r="H2615" s="134"/>
    </row>
    <row r="2616" spans="8:8" x14ac:dyDescent="0.25">
      <c r="H2616" s="134"/>
    </row>
    <row r="2617" spans="8:8" x14ac:dyDescent="0.25">
      <c r="H2617" s="134"/>
    </row>
    <row r="2618" spans="8:8" x14ac:dyDescent="0.25">
      <c r="H2618" s="134"/>
    </row>
    <row r="2619" spans="8:8" x14ac:dyDescent="0.25">
      <c r="H2619" s="134"/>
    </row>
    <row r="2620" spans="8:8" x14ac:dyDescent="0.25">
      <c r="H2620" s="134"/>
    </row>
    <row r="2621" spans="8:8" x14ac:dyDescent="0.25">
      <c r="H2621" s="134"/>
    </row>
    <row r="2622" spans="8:8" x14ac:dyDescent="0.25">
      <c r="H2622" s="134"/>
    </row>
    <row r="2623" spans="8:8" x14ac:dyDescent="0.25">
      <c r="H2623" s="134"/>
    </row>
    <row r="2624" spans="8:8" x14ac:dyDescent="0.25">
      <c r="H2624" s="134"/>
    </row>
    <row r="2625" spans="8:8" x14ac:dyDescent="0.25">
      <c r="H2625" s="134"/>
    </row>
    <row r="2626" spans="8:8" x14ac:dyDescent="0.25">
      <c r="H2626" s="134"/>
    </row>
    <row r="2627" spans="8:8" x14ac:dyDescent="0.25">
      <c r="H2627" s="134"/>
    </row>
    <row r="2628" spans="8:8" x14ac:dyDescent="0.25">
      <c r="H2628" s="134"/>
    </row>
    <row r="2629" spans="8:8" x14ac:dyDescent="0.25">
      <c r="H2629" s="134"/>
    </row>
    <row r="2630" spans="8:8" x14ac:dyDescent="0.25">
      <c r="H2630" s="134"/>
    </row>
    <row r="2631" spans="8:8" x14ac:dyDescent="0.25">
      <c r="H2631" s="134"/>
    </row>
    <row r="2632" spans="8:8" x14ac:dyDescent="0.25">
      <c r="H2632" s="134"/>
    </row>
    <row r="2633" spans="8:8" x14ac:dyDescent="0.25">
      <c r="H2633" s="134"/>
    </row>
    <row r="2634" spans="8:8" x14ac:dyDescent="0.25">
      <c r="H2634" s="134"/>
    </row>
    <row r="2635" spans="8:8" x14ac:dyDescent="0.25">
      <c r="H2635" s="134"/>
    </row>
    <row r="2636" spans="8:8" x14ac:dyDescent="0.25">
      <c r="H2636" s="134"/>
    </row>
    <row r="2637" spans="8:8" x14ac:dyDescent="0.25">
      <c r="H2637" s="134"/>
    </row>
    <row r="2638" spans="8:8" x14ac:dyDescent="0.25">
      <c r="H2638" s="134"/>
    </row>
    <row r="2639" spans="8:8" x14ac:dyDescent="0.25">
      <c r="H2639" s="134"/>
    </row>
    <row r="2640" spans="8:8" x14ac:dyDescent="0.25">
      <c r="H2640" s="134"/>
    </row>
    <row r="2641" spans="8:8" x14ac:dyDescent="0.25">
      <c r="H2641" s="134"/>
    </row>
    <row r="2642" spans="8:8" x14ac:dyDescent="0.25">
      <c r="H2642" s="134"/>
    </row>
    <row r="2643" spans="8:8" x14ac:dyDescent="0.25">
      <c r="H2643" s="134"/>
    </row>
    <row r="2644" spans="8:8" x14ac:dyDescent="0.25">
      <c r="H2644" s="134"/>
    </row>
    <row r="2645" spans="8:8" x14ac:dyDescent="0.25">
      <c r="H2645" s="134"/>
    </row>
    <row r="2646" spans="8:8" x14ac:dyDescent="0.25">
      <c r="H2646" s="134"/>
    </row>
    <row r="2647" spans="8:8" x14ac:dyDescent="0.25">
      <c r="H2647" s="134"/>
    </row>
    <row r="2648" spans="8:8" x14ac:dyDescent="0.25">
      <c r="H2648" s="134"/>
    </row>
    <row r="2649" spans="8:8" x14ac:dyDescent="0.25">
      <c r="H2649" s="134"/>
    </row>
    <row r="2650" spans="8:8" x14ac:dyDescent="0.25">
      <c r="H2650" s="134"/>
    </row>
    <row r="2651" spans="8:8" x14ac:dyDescent="0.25">
      <c r="H2651" s="134"/>
    </row>
    <row r="2652" spans="8:8" x14ac:dyDescent="0.25">
      <c r="H2652" s="134"/>
    </row>
    <row r="2653" spans="8:8" x14ac:dyDescent="0.25">
      <c r="H2653" s="134"/>
    </row>
    <row r="2654" spans="8:8" x14ac:dyDescent="0.25">
      <c r="H2654" s="134"/>
    </row>
    <row r="2655" spans="8:8" x14ac:dyDescent="0.25">
      <c r="H2655" s="134"/>
    </row>
    <row r="2656" spans="8:8" x14ac:dyDescent="0.25">
      <c r="H2656" s="134"/>
    </row>
    <row r="2657" spans="8:8" x14ac:dyDescent="0.25">
      <c r="H2657" s="134"/>
    </row>
    <row r="2658" spans="8:8" x14ac:dyDescent="0.25">
      <c r="H2658" s="134"/>
    </row>
    <row r="2659" spans="8:8" x14ac:dyDescent="0.25">
      <c r="H2659" s="134"/>
    </row>
    <row r="2660" spans="8:8" x14ac:dyDescent="0.25">
      <c r="H2660" s="134"/>
    </row>
    <row r="2661" spans="8:8" x14ac:dyDescent="0.25">
      <c r="H2661" s="134"/>
    </row>
    <row r="2662" spans="8:8" x14ac:dyDescent="0.25">
      <c r="H2662" s="134"/>
    </row>
    <row r="2663" spans="8:8" x14ac:dyDescent="0.25">
      <c r="H2663" s="134"/>
    </row>
    <row r="2664" spans="8:8" x14ac:dyDescent="0.25">
      <c r="H2664" s="134"/>
    </row>
    <row r="2665" spans="8:8" x14ac:dyDescent="0.25">
      <c r="H2665" s="134"/>
    </row>
    <row r="2666" spans="8:8" x14ac:dyDescent="0.25">
      <c r="H2666" s="134"/>
    </row>
    <row r="2667" spans="8:8" x14ac:dyDescent="0.25">
      <c r="H2667" s="134"/>
    </row>
    <row r="2668" spans="8:8" x14ac:dyDescent="0.25">
      <c r="H2668" s="134"/>
    </row>
    <row r="2669" spans="8:8" x14ac:dyDescent="0.25">
      <c r="H2669" s="134"/>
    </row>
    <row r="2670" spans="8:8" x14ac:dyDescent="0.25">
      <c r="H2670" s="134"/>
    </row>
    <row r="2671" spans="8:8" x14ac:dyDescent="0.25">
      <c r="H2671" s="134"/>
    </row>
    <row r="2672" spans="8:8" x14ac:dyDescent="0.25">
      <c r="H2672" s="134"/>
    </row>
    <row r="2673" spans="8:8" x14ac:dyDescent="0.25">
      <c r="H2673" s="134"/>
    </row>
    <row r="2674" spans="8:8" x14ac:dyDescent="0.25">
      <c r="H2674" s="134"/>
    </row>
    <row r="2675" spans="8:8" x14ac:dyDescent="0.25">
      <c r="H2675" s="134"/>
    </row>
    <row r="2676" spans="8:8" x14ac:dyDescent="0.25">
      <c r="H2676" s="134"/>
    </row>
    <row r="2677" spans="8:8" x14ac:dyDescent="0.25">
      <c r="H2677" s="134"/>
    </row>
    <row r="2678" spans="8:8" x14ac:dyDescent="0.25">
      <c r="H2678" s="134"/>
    </row>
    <row r="2679" spans="8:8" x14ac:dyDescent="0.25">
      <c r="H2679" s="134"/>
    </row>
    <row r="2680" spans="8:8" x14ac:dyDescent="0.25">
      <c r="H2680" s="134"/>
    </row>
    <row r="2681" spans="8:8" x14ac:dyDescent="0.25">
      <c r="H2681" s="134"/>
    </row>
    <row r="2682" spans="8:8" x14ac:dyDescent="0.25">
      <c r="H2682" s="134"/>
    </row>
    <row r="2683" spans="8:8" x14ac:dyDescent="0.25">
      <c r="H2683" s="134"/>
    </row>
    <row r="2684" spans="8:8" x14ac:dyDescent="0.25">
      <c r="H2684" s="134"/>
    </row>
    <row r="2685" spans="8:8" x14ac:dyDescent="0.25">
      <c r="H2685" s="134"/>
    </row>
    <row r="2686" spans="8:8" x14ac:dyDescent="0.25">
      <c r="H2686" s="134"/>
    </row>
    <row r="2687" spans="8:8" x14ac:dyDescent="0.25">
      <c r="H2687" s="134"/>
    </row>
    <row r="2688" spans="8:8" x14ac:dyDescent="0.25">
      <c r="H2688" s="134"/>
    </row>
    <row r="2689" spans="8:8" x14ac:dyDescent="0.25">
      <c r="H2689" s="134"/>
    </row>
    <row r="2690" spans="8:8" x14ac:dyDescent="0.25">
      <c r="H2690" s="134"/>
    </row>
    <row r="2691" spans="8:8" x14ac:dyDescent="0.25">
      <c r="H2691" s="134"/>
    </row>
    <row r="2692" spans="8:8" x14ac:dyDescent="0.25">
      <c r="H2692" s="134"/>
    </row>
    <row r="2693" spans="8:8" x14ac:dyDescent="0.25">
      <c r="H2693" s="134"/>
    </row>
    <row r="2694" spans="8:8" x14ac:dyDescent="0.25">
      <c r="H2694" s="134"/>
    </row>
    <row r="2695" spans="8:8" x14ac:dyDescent="0.25">
      <c r="H2695" s="134"/>
    </row>
    <row r="2696" spans="8:8" x14ac:dyDescent="0.25">
      <c r="H2696" s="134"/>
    </row>
    <row r="2697" spans="8:8" x14ac:dyDescent="0.25">
      <c r="H2697" s="134"/>
    </row>
    <row r="2698" spans="8:8" x14ac:dyDescent="0.25">
      <c r="H2698" s="134"/>
    </row>
    <row r="2699" spans="8:8" x14ac:dyDescent="0.25">
      <c r="H2699" s="134"/>
    </row>
    <row r="2700" spans="8:8" x14ac:dyDescent="0.25">
      <c r="H2700" s="134"/>
    </row>
    <row r="2701" spans="8:8" x14ac:dyDescent="0.25">
      <c r="H2701" s="134"/>
    </row>
    <row r="2702" spans="8:8" x14ac:dyDescent="0.25">
      <c r="H2702" s="134"/>
    </row>
    <row r="2703" spans="8:8" x14ac:dyDescent="0.25">
      <c r="H2703" s="134"/>
    </row>
    <row r="2704" spans="8:8" x14ac:dyDescent="0.25">
      <c r="H2704" s="134"/>
    </row>
    <row r="2705" spans="8:8" x14ac:dyDescent="0.25">
      <c r="H2705" s="134"/>
    </row>
    <row r="2706" spans="8:8" x14ac:dyDescent="0.25">
      <c r="H2706" s="134"/>
    </row>
    <row r="2707" spans="8:8" x14ac:dyDescent="0.25">
      <c r="H2707" s="134"/>
    </row>
    <row r="2708" spans="8:8" x14ac:dyDescent="0.25">
      <c r="H2708" s="134"/>
    </row>
    <row r="2709" spans="8:8" x14ac:dyDescent="0.25">
      <c r="H2709" s="134"/>
    </row>
    <row r="2710" spans="8:8" x14ac:dyDescent="0.25">
      <c r="H2710" s="134"/>
    </row>
    <row r="2711" spans="8:8" x14ac:dyDescent="0.25">
      <c r="H2711" s="134"/>
    </row>
    <row r="2712" spans="8:8" x14ac:dyDescent="0.25">
      <c r="H2712" s="134"/>
    </row>
    <row r="2713" spans="8:8" x14ac:dyDescent="0.25">
      <c r="H2713" s="134"/>
    </row>
    <row r="2714" spans="8:8" x14ac:dyDescent="0.25">
      <c r="H2714" s="134"/>
    </row>
    <row r="2715" spans="8:8" x14ac:dyDescent="0.25">
      <c r="H2715" s="134"/>
    </row>
    <row r="2716" spans="8:8" x14ac:dyDescent="0.25">
      <c r="H2716" s="134"/>
    </row>
    <row r="2717" spans="8:8" x14ac:dyDescent="0.25">
      <c r="H2717" s="134"/>
    </row>
    <row r="2718" spans="8:8" x14ac:dyDescent="0.25">
      <c r="H2718" s="134"/>
    </row>
    <row r="2719" spans="8:8" x14ac:dyDescent="0.25">
      <c r="H2719" s="134"/>
    </row>
    <row r="2720" spans="8:8" x14ac:dyDescent="0.25">
      <c r="H2720" s="134"/>
    </row>
    <row r="2721" spans="8:8" x14ac:dyDescent="0.25">
      <c r="H2721" s="134"/>
    </row>
    <row r="2722" spans="8:8" x14ac:dyDescent="0.25">
      <c r="H2722" s="134"/>
    </row>
    <row r="2723" spans="8:8" x14ac:dyDescent="0.25">
      <c r="H2723" s="134"/>
    </row>
    <row r="2724" spans="8:8" x14ac:dyDescent="0.25">
      <c r="H2724" s="134"/>
    </row>
    <row r="2725" spans="8:8" x14ac:dyDescent="0.25">
      <c r="H2725" s="134"/>
    </row>
    <row r="2726" spans="8:8" x14ac:dyDescent="0.25">
      <c r="H2726" s="134"/>
    </row>
    <row r="2727" spans="8:8" x14ac:dyDescent="0.25">
      <c r="H2727" s="134"/>
    </row>
    <row r="2728" spans="8:8" x14ac:dyDescent="0.25">
      <c r="H2728" s="134"/>
    </row>
    <row r="2729" spans="8:8" x14ac:dyDescent="0.25">
      <c r="H2729" s="134"/>
    </row>
    <row r="2730" spans="8:8" x14ac:dyDescent="0.25">
      <c r="H2730" s="134"/>
    </row>
    <row r="2731" spans="8:8" x14ac:dyDescent="0.25">
      <c r="H2731" s="134"/>
    </row>
    <row r="2732" spans="8:8" x14ac:dyDescent="0.25">
      <c r="H2732" s="134"/>
    </row>
    <row r="2733" spans="8:8" x14ac:dyDescent="0.25">
      <c r="H2733" s="134"/>
    </row>
    <row r="2734" spans="8:8" x14ac:dyDescent="0.25">
      <c r="H2734" s="134"/>
    </row>
    <row r="2735" spans="8:8" x14ac:dyDescent="0.25">
      <c r="H2735" s="134"/>
    </row>
    <row r="2736" spans="8:8" x14ac:dyDescent="0.25">
      <c r="H2736" s="134"/>
    </row>
    <row r="2737" spans="8:8" x14ac:dyDescent="0.25">
      <c r="H2737" s="134"/>
    </row>
    <row r="2738" spans="8:8" x14ac:dyDescent="0.25">
      <c r="H2738" s="134"/>
    </row>
    <row r="2739" spans="8:8" x14ac:dyDescent="0.25">
      <c r="H2739" s="134"/>
    </row>
    <row r="2740" spans="8:8" x14ac:dyDescent="0.25">
      <c r="H2740" s="134"/>
    </row>
    <row r="2741" spans="8:8" x14ac:dyDescent="0.25">
      <c r="H2741" s="134"/>
    </row>
    <row r="2742" spans="8:8" x14ac:dyDescent="0.25">
      <c r="H2742" s="134"/>
    </row>
    <row r="2743" spans="8:8" x14ac:dyDescent="0.25">
      <c r="H2743" s="134"/>
    </row>
    <row r="2744" spans="8:8" x14ac:dyDescent="0.25">
      <c r="H2744" s="134"/>
    </row>
    <row r="2745" spans="8:8" x14ac:dyDescent="0.25">
      <c r="H2745" s="134"/>
    </row>
    <row r="2746" spans="8:8" x14ac:dyDescent="0.25">
      <c r="H2746" s="134"/>
    </row>
    <row r="2747" spans="8:8" x14ac:dyDescent="0.25">
      <c r="H2747" s="134"/>
    </row>
    <row r="2748" spans="8:8" x14ac:dyDescent="0.25">
      <c r="H2748" s="134"/>
    </row>
    <row r="2749" spans="8:8" x14ac:dyDescent="0.25">
      <c r="H2749" s="134"/>
    </row>
    <row r="2750" spans="8:8" x14ac:dyDescent="0.25">
      <c r="H2750" s="134"/>
    </row>
    <row r="2751" spans="8:8" x14ac:dyDescent="0.25">
      <c r="H2751" s="134"/>
    </row>
    <row r="2752" spans="8:8" x14ac:dyDescent="0.25">
      <c r="H2752" s="134"/>
    </row>
    <row r="2753" spans="8:8" x14ac:dyDescent="0.25">
      <c r="H2753" s="134"/>
    </row>
    <row r="2754" spans="8:8" x14ac:dyDescent="0.25">
      <c r="H2754" s="134"/>
    </row>
    <row r="2755" spans="8:8" x14ac:dyDescent="0.25">
      <c r="H2755" s="134"/>
    </row>
    <row r="2756" spans="8:8" x14ac:dyDescent="0.25">
      <c r="H2756" s="134"/>
    </row>
    <row r="2757" spans="8:8" x14ac:dyDescent="0.25">
      <c r="H2757" s="134"/>
    </row>
    <row r="2758" spans="8:8" x14ac:dyDescent="0.25">
      <c r="H2758" s="134"/>
    </row>
    <row r="2759" spans="8:8" x14ac:dyDescent="0.25">
      <c r="H2759" s="134"/>
    </row>
    <row r="2760" spans="8:8" x14ac:dyDescent="0.25">
      <c r="H2760" s="134"/>
    </row>
    <row r="2761" spans="8:8" x14ac:dyDescent="0.25">
      <c r="H2761" s="134"/>
    </row>
    <row r="2762" spans="8:8" x14ac:dyDescent="0.25">
      <c r="H2762" s="134"/>
    </row>
    <row r="2763" spans="8:8" x14ac:dyDescent="0.25">
      <c r="H2763" s="134"/>
    </row>
    <row r="2764" spans="8:8" x14ac:dyDescent="0.25">
      <c r="H2764" s="134"/>
    </row>
    <row r="2765" spans="8:8" x14ac:dyDescent="0.25">
      <c r="H2765" s="134"/>
    </row>
    <row r="2766" spans="8:8" x14ac:dyDescent="0.25">
      <c r="H2766" s="134"/>
    </row>
    <row r="2767" spans="8:8" x14ac:dyDescent="0.25">
      <c r="H2767" s="134"/>
    </row>
    <row r="2768" spans="8:8" x14ac:dyDescent="0.25">
      <c r="H2768" s="134"/>
    </row>
    <row r="2769" spans="8:8" x14ac:dyDescent="0.25">
      <c r="H2769" s="134"/>
    </row>
    <row r="2770" spans="8:8" x14ac:dyDescent="0.25">
      <c r="H2770" s="134"/>
    </row>
    <row r="2771" spans="8:8" x14ac:dyDescent="0.25">
      <c r="H2771" s="134"/>
    </row>
    <row r="2772" spans="8:8" x14ac:dyDescent="0.25">
      <c r="H2772" s="134"/>
    </row>
    <row r="2773" spans="8:8" x14ac:dyDescent="0.25">
      <c r="H2773" s="134"/>
    </row>
    <row r="2774" spans="8:8" x14ac:dyDescent="0.25">
      <c r="H2774" s="134"/>
    </row>
    <row r="2775" spans="8:8" x14ac:dyDescent="0.25">
      <c r="H2775" s="134"/>
    </row>
    <row r="2776" spans="8:8" x14ac:dyDescent="0.25">
      <c r="H2776" s="134"/>
    </row>
    <row r="2777" spans="8:8" x14ac:dyDescent="0.25">
      <c r="H2777" s="134"/>
    </row>
    <row r="2778" spans="8:8" x14ac:dyDescent="0.25">
      <c r="H2778" s="134"/>
    </row>
    <row r="2779" spans="8:8" x14ac:dyDescent="0.25">
      <c r="H2779" s="134"/>
    </row>
    <row r="2780" spans="8:8" x14ac:dyDescent="0.25">
      <c r="H2780" s="134"/>
    </row>
    <row r="2781" spans="8:8" x14ac:dyDescent="0.25">
      <c r="H2781" s="134"/>
    </row>
    <row r="2782" spans="8:8" x14ac:dyDescent="0.25">
      <c r="H2782" s="134"/>
    </row>
    <row r="2783" spans="8:8" x14ac:dyDescent="0.25">
      <c r="H2783" s="134"/>
    </row>
    <row r="2784" spans="8:8" x14ac:dyDescent="0.25">
      <c r="H2784" s="134"/>
    </row>
    <row r="2785" spans="8:8" x14ac:dyDescent="0.25">
      <c r="H2785" s="134"/>
    </row>
    <row r="2786" spans="8:8" x14ac:dyDescent="0.25">
      <c r="H2786" s="134"/>
    </row>
    <row r="2787" spans="8:8" x14ac:dyDescent="0.25">
      <c r="H2787" s="134"/>
    </row>
    <row r="2788" spans="8:8" x14ac:dyDescent="0.25">
      <c r="H2788" s="134"/>
    </row>
    <row r="2789" spans="8:8" x14ac:dyDescent="0.25">
      <c r="H2789" s="134"/>
    </row>
    <row r="2790" spans="8:8" x14ac:dyDescent="0.25">
      <c r="H2790" s="134"/>
    </row>
    <row r="2791" spans="8:8" x14ac:dyDescent="0.25">
      <c r="H2791" s="134"/>
    </row>
    <row r="2792" spans="8:8" x14ac:dyDescent="0.25">
      <c r="H2792" s="134"/>
    </row>
    <row r="2793" spans="8:8" x14ac:dyDescent="0.25">
      <c r="H2793" s="134"/>
    </row>
    <row r="2794" spans="8:8" x14ac:dyDescent="0.25">
      <c r="H2794" s="134"/>
    </row>
    <row r="2795" spans="8:8" x14ac:dyDescent="0.25">
      <c r="H2795" s="134"/>
    </row>
    <row r="2796" spans="8:8" x14ac:dyDescent="0.25">
      <c r="H2796" s="134"/>
    </row>
    <row r="2797" spans="8:8" x14ac:dyDescent="0.25">
      <c r="H2797" s="134"/>
    </row>
    <row r="2798" spans="8:8" x14ac:dyDescent="0.25">
      <c r="H2798" s="134"/>
    </row>
    <row r="2799" spans="8:8" x14ac:dyDescent="0.25">
      <c r="H2799" s="134"/>
    </row>
    <row r="2800" spans="8:8" x14ac:dyDescent="0.25">
      <c r="H2800" s="134"/>
    </row>
    <row r="2801" spans="8:8" x14ac:dyDescent="0.25">
      <c r="H2801" s="134"/>
    </row>
    <row r="2802" spans="8:8" x14ac:dyDescent="0.25">
      <c r="H2802" s="134"/>
    </row>
    <row r="2803" spans="8:8" x14ac:dyDescent="0.25">
      <c r="H2803" s="134"/>
    </row>
    <row r="2804" spans="8:8" x14ac:dyDescent="0.25">
      <c r="H2804" s="134"/>
    </row>
    <row r="2805" spans="8:8" x14ac:dyDescent="0.25">
      <c r="H2805" s="134"/>
    </row>
    <row r="2806" spans="8:8" x14ac:dyDescent="0.25">
      <c r="H2806" s="134"/>
    </row>
    <row r="2807" spans="8:8" x14ac:dyDescent="0.25">
      <c r="H2807" s="134"/>
    </row>
    <row r="2808" spans="8:8" x14ac:dyDescent="0.25">
      <c r="H2808" s="134"/>
    </row>
    <row r="2809" spans="8:8" x14ac:dyDescent="0.25">
      <c r="H2809" s="134"/>
    </row>
    <row r="2810" spans="8:8" x14ac:dyDescent="0.25">
      <c r="H2810" s="134"/>
    </row>
    <row r="2811" spans="8:8" x14ac:dyDescent="0.25">
      <c r="H2811" s="134"/>
    </row>
    <row r="2812" spans="8:8" x14ac:dyDescent="0.25">
      <c r="H2812" s="134"/>
    </row>
    <row r="2813" spans="8:8" x14ac:dyDescent="0.25">
      <c r="H2813" s="134"/>
    </row>
    <row r="2814" spans="8:8" x14ac:dyDescent="0.25">
      <c r="H2814" s="134"/>
    </row>
    <row r="2815" spans="8:8" x14ac:dyDescent="0.25">
      <c r="H2815" s="134"/>
    </row>
    <row r="2816" spans="8:8" x14ac:dyDescent="0.25">
      <c r="H2816" s="134"/>
    </row>
    <row r="2817" spans="8:8" x14ac:dyDescent="0.25">
      <c r="H2817" s="134"/>
    </row>
    <row r="2818" spans="8:8" x14ac:dyDescent="0.25">
      <c r="H2818" s="134"/>
    </row>
    <row r="2819" spans="8:8" x14ac:dyDescent="0.25">
      <c r="H2819" s="134"/>
    </row>
    <row r="2820" spans="8:8" x14ac:dyDescent="0.25">
      <c r="H2820" s="134"/>
    </row>
    <row r="2821" spans="8:8" x14ac:dyDescent="0.25">
      <c r="H2821" s="134"/>
    </row>
    <row r="2822" spans="8:8" x14ac:dyDescent="0.25">
      <c r="H2822" s="134"/>
    </row>
    <row r="2823" spans="8:8" x14ac:dyDescent="0.25">
      <c r="H2823" s="134"/>
    </row>
    <row r="2824" spans="8:8" x14ac:dyDescent="0.25">
      <c r="H2824" s="134"/>
    </row>
    <row r="2825" spans="8:8" x14ac:dyDescent="0.25">
      <c r="H2825" s="134"/>
    </row>
    <row r="2826" spans="8:8" x14ac:dyDescent="0.25">
      <c r="H2826" s="134"/>
    </row>
    <row r="2827" spans="8:8" x14ac:dyDescent="0.25">
      <c r="H2827" s="134"/>
    </row>
    <row r="2828" spans="8:8" x14ac:dyDescent="0.25">
      <c r="H2828" s="134"/>
    </row>
    <row r="2829" spans="8:8" x14ac:dyDescent="0.25">
      <c r="H2829" s="134"/>
    </row>
    <row r="2830" spans="8:8" x14ac:dyDescent="0.25">
      <c r="H2830" s="134"/>
    </row>
    <row r="2831" spans="8:8" x14ac:dyDescent="0.25">
      <c r="H2831" s="134"/>
    </row>
    <row r="2832" spans="8:8" x14ac:dyDescent="0.25">
      <c r="H2832" s="134"/>
    </row>
    <row r="2833" spans="8:8" x14ac:dyDescent="0.25">
      <c r="H2833" s="134"/>
    </row>
    <row r="2834" spans="8:8" x14ac:dyDescent="0.25">
      <c r="H2834" s="134"/>
    </row>
    <row r="2835" spans="8:8" x14ac:dyDescent="0.25">
      <c r="H2835" s="134"/>
    </row>
    <row r="2836" spans="8:8" x14ac:dyDescent="0.25">
      <c r="H2836" s="134"/>
    </row>
    <row r="2837" spans="8:8" x14ac:dyDescent="0.25">
      <c r="H2837" s="134"/>
    </row>
    <row r="2838" spans="8:8" x14ac:dyDescent="0.25">
      <c r="H2838" s="134"/>
    </row>
    <row r="2839" spans="8:8" x14ac:dyDescent="0.25">
      <c r="H2839" s="134"/>
    </row>
    <row r="2840" spans="8:8" x14ac:dyDescent="0.25">
      <c r="H2840" s="134"/>
    </row>
    <row r="2841" spans="8:8" x14ac:dyDescent="0.25">
      <c r="H2841" s="134"/>
    </row>
    <row r="2842" spans="8:8" x14ac:dyDescent="0.25">
      <c r="H2842" s="134"/>
    </row>
    <row r="2843" spans="8:8" x14ac:dyDescent="0.25">
      <c r="H2843" s="134"/>
    </row>
    <row r="2844" spans="8:8" x14ac:dyDescent="0.25">
      <c r="H2844" s="134"/>
    </row>
    <row r="2845" spans="8:8" x14ac:dyDescent="0.25">
      <c r="H2845" s="134"/>
    </row>
    <row r="2846" spans="8:8" x14ac:dyDescent="0.25">
      <c r="H2846" s="134"/>
    </row>
    <row r="2847" spans="8:8" x14ac:dyDescent="0.25">
      <c r="H2847" s="134"/>
    </row>
    <row r="2848" spans="8:8" x14ac:dyDescent="0.25">
      <c r="H2848" s="134"/>
    </row>
    <row r="2849" spans="8:8" x14ac:dyDescent="0.25">
      <c r="H2849" s="134"/>
    </row>
    <row r="2850" spans="8:8" x14ac:dyDescent="0.25">
      <c r="H2850" s="134"/>
    </row>
    <row r="2851" spans="8:8" x14ac:dyDescent="0.25">
      <c r="H2851" s="134"/>
    </row>
    <row r="2852" spans="8:8" x14ac:dyDescent="0.25">
      <c r="H2852" s="134"/>
    </row>
    <row r="2853" spans="8:8" x14ac:dyDescent="0.25">
      <c r="H2853" s="134"/>
    </row>
    <row r="2854" spans="8:8" x14ac:dyDescent="0.25">
      <c r="H2854" s="134"/>
    </row>
    <row r="2855" spans="8:8" x14ac:dyDescent="0.25">
      <c r="H2855" s="134"/>
    </row>
    <row r="2856" spans="8:8" x14ac:dyDescent="0.25">
      <c r="H2856" s="134"/>
    </row>
    <row r="2857" spans="8:8" x14ac:dyDescent="0.25">
      <c r="H2857" s="134"/>
    </row>
    <row r="2858" spans="8:8" x14ac:dyDescent="0.25">
      <c r="H2858" s="134"/>
    </row>
    <row r="2859" spans="8:8" x14ac:dyDescent="0.25">
      <c r="H2859" s="134"/>
    </row>
    <row r="2860" spans="8:8" x14ac:dyDescent="0.25">
      <c r="H2860" s="134"/>
    </row>
    <row r="2861" spans="8:8" x14ac:dyDescent="0.25">
      <c r="H2861" s="134"/>
    </row>
    <row r="2862" spans="8:8" x14ac:dyDescent="0.25">
      <c r="H2862" s="134"/>
    </row>
    <row r="2863" spans="8:8" x14ac:dyDescent="0.25">
      <c r="H2863" s="134"/>
    </row>
    <row r="2864" spans="8:8" x14ac:dyDescent="0.25">
      <c r="H2864" s="134"/>
    </row>
    <row r="2865" spans="8:8" x14ac:dyDescent="0.25">
      <c r="H2865" s="134"/>
    </row>
    <row r="2866" spans="8:8" x14ac:dyDescent="0.25">
      <c r="H2866" s="134"/>
    </row>
    <row r="2867" spans="8:8" x14ac:dyDescent="0.25">
      <c r="H2867" s="134"/>
    </row>
    <row r="2868" spans="8:8" x14ac:dyDescent="0.25">
      <c r="H2868" s="134"/>
    </row>
    <row r="2869" spans="8:8" x14ac:dyDescent="0.25">
      <c r="H2869" s="134"/>
    </row>
    <row r="2870" spans="8:8" x14ac:dyDescent="0.25">
      <c r="H2870" s="134"/>
    </row>
    <row r="2871" spans="8:8" x14ac:dyDescent="0.25">
      <c r="H2871" s="134"/>
    </row>
    <row r="2872" spans="8:8" x14ac:dyDescent="0.25">
      <c r="H2872" s="134"/>
    </row>
    <row r="2873" spans="8:8" x14ac:dyDescent="0.25">
      <c r="H2873" s="134"/>
    </row>
    <row r="2874" spans="8:8" x14ac:dyDescent="0.25">
      <c r="H2874" s="134"/>
    </row>
    <row r="2875" spans="8:8" x14ac:dyDescent="0.25">
      <c r="H2875" s="134"/>
    </row>
    <row r="2876" spans="8:8" x14ac:dyDescent="0.25">
      <c r="H2876" s="134"/>
    </row>
    <row r="2877" spans="8:8" x14ac:dyDescent="0.25">
      <c r="H2877" s="134"/>
    </row>
    <row r="2878" spans="8:8" x14ac:dyDescent="0.25">
      <c r="H2878" s="134"/>
    </row>
    <row r="2879" spans="8:8" x14ac:dyDescent="0.25">
      <c r="H2879" s="134"/>
    </row>
    <row r="2880" spans="8:8" x14ac:dyDescent="0.25">
      <c r="H2880" s="134"/>
    </row>
    <row r="2881" spans="8:8" x14ac:dyDescent="0.25">
      <c r="H2881" s="134"/>
    </row>
    <row r="2882" spans="8:8" x14ac:dyDescent="0.25">
      <c r="H2882" s="134"/>
    </row>
    <row r="2883" spans="8:8" x14ac:dyDescent="0.25">
      <c r="H2883" s="134"/>
    </row>
    <row r="2884" spans="8:8" x14ac:dyDescent="0.25">
      <c r="H2884" s="134"/>
    </row>
    <row r="2885" spans="8:8" x14ac:dyDescent="0.25">
      <c r="H2885" s="134"/>
    </row>
    <row r="2886" spans="8:8" x14ac:dyDescent="0.25">
      <c r="H2886" s="134"/>
    </row>
    <row r="2887" spans="8:8" x14ac:dyDescent="0.25">
      <c r="H2887" s="134"/>
    </row>
    <row r="2888" spans="8:8" x14ac:dyDescent="0.25">
      <c r="H2888" s="134"/>
    </row>
    <row r="2889" spans="8:8" x14ac:dyDescent="0.25">
      <c r="H2889" s="134"/>
    </row>
    <row r="2890" spans="8:8" x14ac:dyDescent="0.25">
      <c r="H2890" s="134"/>
    </row>
    <row r="2891" spans="8:8" x14ac:dyDescent="0.25">
      <c r="H2891" s="134"/>
    </row>
    <row r="2892" spans="8:8" x14ac:dyDescent="0.25">
      <c r="H2892" s="134"/>
    </row>
    <row r="2893" spans="8:8" x14ac:dyDescent="0.25">
      <c r="H2893" s="134"/>
    </row>
    <row r="2894" spans="8:8" x14ac:dyDescent="0.25">
      <c r="H2894" s="134"/>
    </row>
    <row r="2895" spans="8:8" x14ac:dyDescent="0.25">
      <c r="H2895" s="134"/>
    </row>
    <row r="2896" spans="8:8" x14ac:dyDescent="0.25">
      <c r="H2896" s="134"/>
    </row>
    <row r="2897" spans="8:8" x14ac:dyDescent="0.25">
      <c r="H2897" s="134"/>
    </row>
    <row r="2898" spans="8:8" x14ac:dyDescent="0.25">
      <c r="H2898" s="134"/>
    </row>
    <row r="2899" spans="8:8" x14ac:dyDescent="0.25">
      <c r="H2899" s="134"/>
    </row>
    <row r="2900" spans="8:8" x14ac:dyDescent="0.25">
      <c r="H2900" s="134"/>
    </row>
    <row r="2901" spans="8:8" x14ac:dyDescent="0.25">
      <c r="H2901" s="134"/>
    </row>
    <row r="2902" spans="8:8" x14ac:dyDescent="0.25">
      <c r="H2902" s="134"/>
    </row>
    <row r="2903" spans="8:8" x14ac:dyDescent="0.25">
      <c r="H2903" s="134"/>
    </row>
    <row r="2904" spans="8:8" x14ac:dyDescent="0.25">
      <c r="H2904" s="134"/>
    </row>
    <row r="2905" spans="8:8" x14ac:dyDescent="0.25">
      <c r="H2905" s="134"/>
    </row>
    <row r="2906" spans="8:8" x14ac:dyDescent="0.25">
      <c r="H2906" s="134"/>
    </row>
    <row r="2907" spans="8:8" x14ac:dyDescent="0.25">
      <c r="H2907" s="134"/>
    </row>
    <row r="2908" spans="8:8" x14ac:dyDescent="0.25">
      <c r="H2908" s="134"/>
    </row>
    <row r="2909" spans="8:8" x14ac:dyDescent="0.25">
      <c r="H2909" s="134"/>
    </row>
    <row r="2910" spans="8:8" x14ac:dyDescent="0.25">
      <c r="H2910" s="134"/>
    </row>
    <row r="2911" spans="8:8" x14ac:dyDescent="0.25">
      <c r="H2911" s="134"/>
    </row>
    <row r="2912" spans="8:8" x14ac:dyDescent="0.25">
      <c r="H2912" s="134"/>
    </row>
    <row r="2913" spans="8:8" x14ac:dyDescent="0.25">
      <c r="H2913" s="134"/>
    </row>
    <row r="2914" spans="8:8" x14ac:dyDescent="0.25">
      <c r="H2914" s="134"/>
    </row>
    <row r="2915" spans="8:8" x14ac:dyDescent="0.25">
      <c r="H2915" s="134"/>
    </row>
    <row r="2916" spans="8:8" x14ac:dyDescent="0.25">
      <c r="H2916" s="134"/>
    </row>
    <row r="2917" spans="8:8" x14ac:dyDescent="0.25">
      <c r="H2917" s="134"/>
    </row>
    <row r="2918" spans="8:8" x14ac:dyDescent="0.25">
      <c r="H2918" s="134"/>
    </row>
    <row r="2919" spans="8:8" x14ac:dyDescent="0.25">
      <c r="H2919" s="134"/>
    </row>
    <row r="2920" spans="8:8" x14ac:dyDescent="0.25">
      <c r="H2920" s="134"/>
    </row>
    <row r="2921" spans="8:8" x14ac:dyDescent="0.25">
      <c r="H2921" s="134"/>
    </row>
    <row r="2922" spans="8:8" x14ac:dyDescent="0.25">
      <c r="H2922" s="134"/>
    </row>
    <row r="2923" spans="8:8" x14ac:dyDescent="0.25">
      <c r="H2923" s="134"/>
    </row>
    <row r="2924" spans="8:8" x14ac:dyDescent="0.25">
      <c r="H2924" s="134"/>
    </row>
    <row r="2925" spans="8:8" x14ac:dyDescent="0.25">
      <c r="H2925" s="134"/>
    </row>
    <row r="2926" spans="8:8" x14ac:dyDescent="0.25">
      <c r="H2926" s="134"/>
    </row>
    <row r="2927" spans="8:8" x14ac:dyDescent="0.25">
      <c r="H2927" s="134"/>
    </row>
    <row r="2928" spans="8:8" x14ac:dyDescent="0.25">
      <c r="H2928" s="134"/>
    </row>
    <row r="2929" spans="8:8" x14ac:dyDescent="0.25">
      <c r="H2929" s="134"/>
    </row>
    <row r="2930" spans="8:8" x14ac:dyDescent="0.25">
      <c r="H2930" s="134"/>
    </row>
    <row r="2931" spans="8:8" x14ac:dyDescent="0.25">
      <c r="H2931" s="134"/>
    </row>
    <row r="2932" spans="8:8" x14ac:dyDescent="0.25">
      <c r="H2932" s="134"/>
    </row>
    <row r="2933" spans="8:8" x14ac:dyDescent="0.25">
      <c r="H2933" s="134"/>
    </row>
    <row r="2934" spans="8:8" x14ac:dyDescent="0.25">
      <c r="H2934" s="134"/>
    </row>
    <row r="2935" spans="8:8" x14ac:dyDescent="0.25">
      <c r="H2935" s="134"/>
    </row>
    <row r="2936" spans="8:8" x14ac:dyDescent="0.25">
      <c r="H2936" s="134"/>
    </row>
    <row r="2937" spans="8:8" x14ac:dyDescent="0.25">
      <c r="H2937" s="134"/>
    </row>
    <row r="2938" spans="8:8" x14ac:dyDescent="0.25">
      <c r="H2938" s="134"/>
    </row>
    <row r="2939" spans="8:8" x14ac:dyDescent="0.25">
      <c r="H2939" s="134"/>
    </row>
    <row r="2940" spans="8:8" x14ac:dyDescent="0.25">
      <c r="H2940" s="134"/>
    </row>
    <row r="2941" spans="8:8" x14ac:dyDescent="0.25">
      <c r="H2941" s="134"/>
    </row>
    <row r="2942" spans="8:8" x14ac:dyDescent="0.25">
      <c r="H2942" s="134"/>
    </row>
    <row r="2943" spans="8:8" x14ac:dyDescent="0.25">
      <c r="H2943" s="134"/>
    </row>
    <row r="2944" spans="8:8" x14ac:dyDescent="0.25">
      <c r="H2944" s="134"/>
    </row>
    <row r="2945" spans="8:8" x14ac:dyDescent="0.25">
      <c r="H2945" s="134"/>
    </row>
    <row r="2946" spans="8:8" x14ac:dyDescent="0.25">
      <c r="H2946" s="134"/>
    </row>
    <row r="2947" spans="8:8" x14ac:dyDescent="0.25">
      <c r="H2947" s="134"/>
    </row>
    <row r="2948" spans="8:8" x14ac:dyDescent="0.25">
      <c r="H2948" s="134"/>
    </row>
    <row r="2949" spans="8:8" x14ac:dyDescent="0.25">
      <c r="H2949" s="134"/>
    </row>
    <row r="2950" spans="8:8" x14ac:dyDescent="0.25">
      <c r="H2950" s="134"/>
    </row>
    <row r="2951" spans="8:8" x14ac:dyDescent="0.25">
      <c r="H2951" s="134"/>
    </row>
    <row r="2952" spans="8:8" x14ac:dyDescent="0.25">
      <c r="H2952" s="134"/>
    </row>
    <row r="2953" spans="8:8" x14ac:dyDescent="0.25">
      <c r="H2953" s="134"/>
    </row>
    <row r="2954" spans="8:8" x14ac:dyDescent="0.25">
      <c r="H2954" s="134"/>
    </row>
    <row r="2955" spans="8:8" x14ac:dyDescent="0.25">
      <c r="H2955" s="134"/>
    </row>
    <row r="2956" spans="8:8" x14ac:dyDescent="0.25">
      <c r="H2956" s="134"/>
    </row>
    <row r="2957" spans="8:8" x14ac:dyDescent="0.25">
      <c r="H2957" s="134"/>
    </row>
    <row r="2958" spans="8:8" x14ac:dyDescent="0.25">
      <c r="H2958" s="134"/>
    </row>
    <row r="2959" spans="8:8" x14ac:dyDescent="0.25">
      <c r="H2959" s="134"/>
    </row>
    <row r="2960" spans="8:8" x14ac:dyDescent="0.25">
      <c r="H2960" s="134"/>
    </row>
    <row r="2961" spans="8:8" x14ac:dyDescent="0.25">
      <c r="H2961" s="134"/>
    </row>
    <row r="2962" spans="8:8" x14ac:dyDescent="0.25">
      <c r="H2962" s="134"/>
    </row>
    <row r="2963" spans="8:8" x14ac:dyDescent="0.25">
      <c r="H2963" s="134"/>
    </row>
    <row r="2964" spans="8:8" x14ac:dyDescent="0.25">
      <c r="H2964" s="134"/>
    </row>
    <row r="2965" spans="8:8" x14ac:dyDescent="0.25">
      <c r="H2965" s="134"/>
    </row>
    <row r="2966" spans="8:8" x14ac:dyDescent="0.25">
      <c r="H2966" s="134"/>
    </row>
    <row r="2967" spans="8:8" x14ac:dyDescent="0.25">
      <c r="H2967" s="134"/>
    </row>
    <row r="2968" spans="8:8" x14ac:dyDescent="0.25">
      <c r="H2968" s="134"/>
    </row>
    <row r="2969" spans="8:8" x14ac:dyDescent="0.25">
      <c r="H2969" s="134"/>
    </row>
    <row r="2970" spans="8:8" x14ac:dyDescent="0.25">
      <c r="H2970" s="134"/>
    </row>
    <row r="2971" spans="8:8" x14ac:dyDescent="0.25">
      <c r="H2971" s="134"/>
    </row>
    <row r="2972" spans="8:8" x14ac:dyDescent="0.25">
      <c r="H2972" s="134"/>
    </row>
    <row r="2973" spans="8:8" x14ac:dyDescent="0.25">
      <c r="H2973" s="134"/>
    </row>
    <row r="2974" spans="8:8" x14ac:dyDescent="0.25">
      <c r="H2974" s="134"/>
    </row>
    <row r="2975" spans="8:8" x14ac:dyDescent="0.25">
      <c r="H2975" s="134"/>
    </row>
    <row r="2976" spans="8:8" x14ac:dyDescent="0.25">
      <c r="H2976" s="134"/>
    </row>
    <row r="2977" spans="8:8" x14ac:dyDescent="0.25">
      <c r="H2977" s="134"/>
    </row>
    <row r="2978" spans="8:8" x14ac:dyDescent="0.25">
      <c r="H2978" s="134"/>
    </row>
    <row r="2979" spans="8:8" x14ac:dyDescent="0.25">
      <c r="H2979" s="134"/>
    </row>
    <row r="2980" spans="8:8" x14ac:dyDescent="0.25">
      <c r="H2980" s="134"/>
    </row>
    <row r="2981" spans="8:8" x14ac:dyDescent="0.25">
      <c r="H2981" s="134"/>
    </row>
    <row r="2982" spans="8:8" x14ac:dyDescent="0.25">
      <c r="H2982" s="134"/>
    </row>
    <row r="2983" spans="8:8" x14ac:dyDescent="0.25">
      <c r="H2983" s="134"/>
    </row>
    <row r="2984" spans="8:8" x14ac:dyDescent="0.25">
      <c r="H2984" s="134"/>
    </row>
    <row r="2985" spans="8:8" x14ac:dyDescent="0.25">
      <c r="H2985" s="134"/>
    </row>
    <row r="2986" spans="8:8" x14ac:dyDescent="0.25">
      <c r="H2986" s="134"/>
    </row>
    <row r="2987" spans="8:8" x14ac:dyDescent="0.25">
      <c r="H2987" s="134"/>
    </row>
    <row r="2988" spans="8:8" x14ac:dyDescent="0.25">
      <c r="H2988" s="134"/>
    </row>
    <row r="2989" spans="8:8" x14ac:dyDescent="0.25">
      <c r="H2989" s="134"/>
    </row>
    <row r="2990" spans="8:8" x14ac:dyDescent="0.25">
      <c r="H2990" s="134"/>
    </row>
    <row r="2991" spans="8:8" x14ac:dyDescent="0.25">
      <c r="H2991" s="134"/>
    </row>
    <row r="2992" spans="8:8" x14ac:dyDescent="0.25">
      <c r="H2992" s="134"/>
    </row>
    <row r="2993" spans="8:8" x14ac:dyDescent="0.25">
      <c r="H2993" s="134"/>
    </row>
    <row r="2994" spans="8:8" x14ac:dyDescent="0.25">
      <c r="H2994" s="134"/>
    </row>
    <row r="2995" spans="8:8" x14ac:dyDescent="0.25">
      <c r="H2995" s="134"/>
    </row>
    <row r="2996" spans="8:8" x14ac:dyDescent="0.25">
      <c r="H2996" s="134"/>
    </row>
    <row r="2997" spans="8:8" x14ac:dyDescent="0.25">
      <c r="H2997" s="134"/>
    </row>
    <row r="2998" spans="8:8" x14ac:dyDescent="0.25">
      <c r="H2998" s="134"/>
    </row>
    <row r="2999" spans="8:8" x14ac:dyDescent="0.25">
      <c r="H2999" s="134"/>
    </row>
    <row r="3000" spans="8:8" x14ac:dyDescent="0.25">
      <c r="H3000" s="134"/>
    </row>
    <row r="3001" spans="8:8" x14ac:dyDescent="0.25">
      <c r="H3001" s="134"/>
    </row>
    <row r="3002" spans="8:8" x14ac:dyDescent="0.25">
      <c r="H3002" s="134"/>
    </row>
    <row r="3003" spans="8:8" x14ac:dyDescent="0.25">
      <c r="H3003" s="134"/>
    </row>
    <row r="3004" spans="8:8" x14ac:dyDescent="0.25">
      <c r="H3004" s="134"/>
    </row>
    <row r="3005" spans="8:8" x14ac:dyDescent="0.25">
      <c r="H3005" s="134"/>
    </row>
    <row r="3006" spans="8:8" x14ac:dyDescent="0.25">
      <c r="H3006" s="134"/>
    </row>
    <row r="3007" spans="8:8" x14ac:dyDescent="0.25">
      <c r="H3007" s="134"/>
    </row>
    <row r="3008" spans="8:8" x14ac:dyDescent="0.25">
      <c r="H3008" s="134"/>
    </row>
    <row r="3009" spans="8:8" x14ac:dyDescent="0.25">
      <c r="H3009" s="134"/>
    </row>
    <row r="3010" spans="8:8" x14ac:dyDescent="0.25">
      <c r="H3010" s="134"/>
    </row>
    <row r="3011" spans="8:8" x14ac:dyDescent="0.25">
      <c r="H3011" s="134"/>
    </row>
    <row r="3012" spans="8:8" x14ac:dyDescent="0.25">
      <c r="H3012" s="134"/>
    </row>
    <row r="3013" spans="8:8" x14ac:dyDescent="0.25">
      <c r="H3013" s="134"/>
    </row>
    <row r="3014" spans="8:8" x14ac:dyDescent="0.25">
      <c r="H3014" s="134"/>
    </row>
    <row r="3015" spans="8:8" x14ac:dyDescent="0.25">
      <c r="H3015" s="134"/>
    </row>
    <row r="3016" spans="8:8" x14ac:dyDescent="0.25">
      <c r="H3016" s="134"/>
    </row>
    <row r="3017" spans="8:8" x14ac:dyDescent="0.25">
      <c r="H3017" s="134"/>
    </row>
    <row r="3018" spans="8:8" x14ac:dyDescent="0.25">
      <c r="H3018" s="134"/>
    </row>
    <row r="3019" spans="8:8" x14ac:dyDescent="0.25">
      <c r="H3019" s="134"/>
    </row>
    <row r="3020" spans="8:8" x14ac:dyDescent="0.25">
      <c r="H3020" s="134"/>
    </row>
    <row r="3021" spans="8:8" x14ac:dyDescent="0.25">
      <c r="H3021" s="134"/>
    </row>
    <row r="3022" spans="8:8" x14ac:dyDescent="0.25">
      <c r="H3022" s="134"/>
    </row>
    <row r="3023" spans="8:8" x14ac:dyDescent="0.25">
      <c r="H3023" s="134"/>
    </row>
    <row r="3024" spans="8:8" x14ac:dyDescent="0.25">
      <c r="H3024" s="134"/>
    </row>
    <row r="3025" spans="8:8" x14ac:dyDescent="0.25">
      <c r="H3025" s="134"/>
    </row>
    <row r="3026" spans="8:8" x14ac:dyDescent="0.25">
      <c r="H3026" s="134"/>
    </row>
    <row r="3027" spans="8:8" x14ac:dyDescent="0.25">
      <c r="H3027" s="134"/>
    </row>
    <row r="3028" spans="8:8" x14ac:dyDescent="0.25">
      <c r="H3028" s="134"/>
    </row>
    <row r="3029" spans="8:8" x14ac:dyDescent="0.25">
      <c r="H3029" s="134"/>
    </row>
    <row r="3030" spans="8:8" x14ac:dyDescent="0.25">
      <c r="H3030" s="134"/>
    </row>
    <row r="3031" spans="8:8" x14ac:dyDescent="0.25">
      <c r="H3031" s="134"/>
    </row>
    <row r="3032" spans="8:8" x14ac:dyDescent="0.25">
      <c r="H3032" s="134"/>
    </row>
    <row r="3033" spans="8:8" x14ac:dyDescent="0.25">
      <c r="H3033" s="134"/>
    </row>
    <row r="3034" spans="8:8" x14ac:dyDescent="0.25">
      <c r="H3034" s="134"/>
    </row>
    <row r="3035" spans="8:8" x14ac:dyDescent="0.25">
      <c r="H3035" s="134"/>
    </row>
    <row r="3036" spans="8:8" x14ac:dyDescent="0.25">
      <c r="H3036" s="134"/>
    </row>
    <row r="3037" spans="8:8" x14ac:dyDescent="0.25">
      <c r="H3037" s="134"/>
    </row>
    <row r="3038" spans="8:8" x14ac:dyDescent="0.25">
      <c r="H3038" s="134"/>
    </row>
    <row r="3039" spans="8:8" x14ac:dyDescent="0.25">
      <c r="H3039" s="134"/>
    </row>
    <row r="3040" spans="8:8" x14ac:dyDescent="0.25">
      <c r="H3040" s="134"/>
    </row>
    <row r="3041" spans="8:8" x14ac:dyDescent="0.25">
      <c r="H3041" s="134"/>
    </row>
    <row r="3042" spans="8:8" x14ac:dyDescent="0.25">
      <c r="H3042" s="134"/>
    </row>
    <row r="3043" spans="8:8" x14ac:dyDescent="0.25">
      <c r="H3043" s="134"/>
    </row>
    <row r="3044" spans="8:8" x14ac:dyDescent="0.25">
      <c r="H3044" s="134"/>
    </row>
    <row r="3045" spans="8:8" x14ac:dyDescent="0.25">
      <c r="H3045" s="134"/>
    </row>
    <row r="3046" spans="8:8" x14ac:dyDescent="0.25">
      <c r="H3046" s="134"/>
    </row>
    <row r="3047" spans="8:8" x14ac:dyDescent="0.25">
      <c r="H3047" s="134"/>
    </row>
    <row r="3048" spans="8:8" x14ac:dyDescent="0.25">
      <c r="H3048" s="134"/>
    </row>
    <row r="3049" spans="8:8" x14ac:dyDescent="0.25">
      <c r="H3049" s="134"/>
    </row>
    <row r="3050" spans="8:8" x14ac:dyDescent="0.25">
      <c r="H3050" s="134"/>
    </row>
    <row r="3051" spans="8:8" x14ac:dyDescent="0.25">
      <c r="H3051" s="134"/>
    </row>
    <row r="3052" spans="8:8" x14ac:dyDescent="0.25">
      <c r="H3052" s="134"/>
    </row>
    <row r="3053" spans="8:8" x14ac:dyDescent="0.25">
      <c r="H3053" s="134"/>
    </row>
    <row r="3054" spans="8:8" x14ac:dyDescent="0.25">
      <c r="H3054" s="134"/>
    </row>
    <row r="3055" spans="8:8" x14ac:dyDescent="0.25">
      <c r="H3055" s="134"/>
    </row>
    <row r="3056" spans="8:8" x14ac:dyDescent="0.25">
      <c r="H3056" s="134"/>
    </row>
    <row r="3057" spans="8:8" x14ac:dyDescent="0.25">
      <c r="H3057" s="134"/>
    </row>
    <row r="3058" spans="8:8" x14ac:dyDescent="0.25">
      <c r="H3058" s="134"/>
    </row>
    <row r="3059" spans="8:8" x14ac:dyDescent="0.25">
      <c r="H3059" s="134"/>
    </row>
    <row r="3060" spans="8:8" x14ac:dyDescent="0.25">
      <c r="H3060" s="134"/>
    </row>
    <row r="3061" spans="8:8" x14ac:dyDescent="0.25">
      <c r="H3061" s="134"/>
    </row>
    <row r="3062" spans="8:8" x14ac:dyDescent="0.25">
      <c r="H3062" s="134"/>
    </row>
    <row r="3063" spans="8:8" x14ac:dyDescent="0.25">
      <c r="H3063" s="134"/>
    </row>
    <row r="3064" spans="8:8" x14ac:dyDescent="0.25">
      <c r="H3064" s="134"/>
    </row>
    <row r="3065" spans="8:8" x14ac:dyDescent="0.25">
      <c r="H3065" s="134"/>
    </row>
    <row r="3066" spans="8:8" x14ac:dyDescent="0.25">
      <c r="H3066" s="134"/>
    </row>
    <row r="3067" spans="8:8" x14ac:dyDescent="0.25">
      <c r="H3067" s="134"/>
    </row>
    <row r="3068" spans="8:8" x14ac:dyDescent="0.25">
      <c r="H3068" s="134"/>
    </row>
    <row r="3069" spans="8:8" x14ac:dyDescent="0.25">
      <c r="H3069" s="134"/>
    </row>
    <row r="3070" spans="8:8" x14ac:dyDescent="0.25">
      <c r="H3070" s="134"/>
    </row>
    <row r="3071" spans="8:8" x14ac:dyDescent="0.25">
      <c r="H3071" s="134"/>
    </row>
    <row r="3072" spans="8:8" x14ac:dyDescent="0.25">
      <c r="H3072" s="134"/>
    </row>
    <row r="3073" spans="8:8" x14ac:dyDescent="0.25">
      <c r="H3073" s="134"/>
    </row>
    <row r="3074" spans="8:8" x14ac:dyDescent="0.25">
      <c r="H3074" s="134"/>
    </row>
    <row r="3075" spans="8:8" x14ac:dyDescent="0.25">
      <c r="H3075" s="134"/>
    </row>
    <row r="3076" spans="8:8" x14ac:dyDescent="0.25">
      <c r="H3076" s="134"/>
    </row>
    <row r="3077" spans="8:8" x14ac:dyDescent="0.25">
      <c r="H3077" s="134"/>
    </row>
    <row r="3078" spans="8:8" x14ac:dyDescent="0.25">
      <c r="H3078" s="134"/>
    </row>
    <row r="3079" spans="8:8" x14ac:dyDescent="0.25">
      <c r="H3079" s="134"/>
    </row>
    <row r="3080" spans="8:8" x14ac:dyDescent="0.25">
      <c r="H3080" s="134"/>
    </row>
    <row r="3081" spans="8:8" x14ac:dyDescent="0.25">
      <c r="H3081" s="134"/>
    </row>
    <row r="3082" spans="8:8" x14ac:dyDescent="0.25">
      <c r="H3082" s="134"/>
    </row>
    <row r="3083" spans="8:8" x14ac:dyDescent="0.25">
      <c r="H3083" s="134"/>
    </row>
    <row r="3084" spans="8:8" x14ac:dyDescent="0.25">
      <c r="H3084" s="134"/>
    </row>
    <row r="3085" spans="8:8" x14ac:dyDescent="0.25">
      <c r="H3085" s="134"/>
    </row>
    <row r="3086" spans="8:8" x14ac:dyDescent="0.25">
      <c r="H3086" s="134"/>
    </row>
    <row r="3087" spans="8:8" x14ac:dyDescent="0.25">
      <c r="H3087" s="134"/>
    </row>
    <row r="3088" spans="8:8" x14ac:dyDescent="0.25">
      <c r="H3088" s="134"/>
    </row>
    <row r="3089" spans="8:8" x14ac:dyDescent="0.25">
      <c r="H3089" s="134"/>
    </row>
    <row r="3090" spans="8:8" x14ac:dyDescent="0.25">
      <c r="H3090" s="134"/>
    </row>
    <row r="3091" spans="8:8" x14ac:dyDescent="0.25">
      <c r="H3091" s="134"/>
    </row>
    <row r="3092" spans="8:8" x14ac:dyDescent="0.25">
      <c r="H3092" s="134"/>
    </row>
    <row r="3093" spans="8:8" x14ac:dyDescent="0.25">
      <c r="H3093" s="134"/>
    </row>
    <row r="3094" spans="8:8" x14ac:dyDescent="0.25">
      <c r="H3094" s="134"/>
    </row>
    <row r="3095" spans="8:8" x14ac:dyDescent="0.25">
      <c r="H3095" s="134"/>
    </row>
    <row r="3096" spans="8:8" x14ac:dyDescent="0.25">
      <c r="H3096" s="134"/>
    </row>
    <row r="3097" spans="8:8" x14ac:dyDescent="0.25">
      <c r="H3097" s="134"/>
    </row>
    <row r="3098" spans="8:8" x14ac:dyDescent="0.25">
      <c r="H3098" s="134"/>
    </row>
    <row r="3099" spans="8:8" x14ac:dyDescent="0.25">
      <c r="H3099" s="134"/>
    </row>
    <row r="3100" spans="8:8" x14ac:dyDescent="0.25">
      <c r="H3100" s="134"/>
    </row>
    <row r="3101" spans="8:8" x14ac:dyDescent="0.25">
      <c r="H3101" s="134"/>
    </row>
    <row r="3102" spans="8:8" x14ac:dyDescent="0.25">
      <c r="H3102" s="134"/>
    </row>
    <row r="3103" spans="8:8" x14ac:dyDescent="0.25">
      <c r="H3103" s="134"/>
    </row>
    <row r="3104" spans="8:8" x14ac:dyDescent="0.25">
      <c r="H3104" s="134"/>
    </row>
    <row r="3105" spans="8:8" x14ac:dyDescent="0.25">
      <c r="H3105" s="134"/>
    </row>
    <row r="3106" spans="8:8" x14ac:dyDescent="0.25">
      <c r="H3106" s="134"/>
    </row>
    <row r="3107" spans="8:8" x14ac:dyDescent="0.25">
      <c r="H3107" s="134"/>
    </row>
    <row r="3108" spans="8:8" x14ac:dyDescent="0.25">
      <c r="H3108" s="134"/>
    </row>
    <row r="3109" spans="8:8" x14ac:dyDescent="0.25">
      <c r="H3109" s="134"/>
    </row>
    <row r="3110" spans="8:8" x14ac:dyDescent="0.25">
      <c r="H3110" s="134"/>
    </row>
    <row r="3111" spans="8:8" x14ac:dyDescent="0.25">
      <c r="H3111" s="134"/>
    </row>
    <row r="3112" spans="8:8" x14ac:dyDescent="0.25">
      <c r="H3112" s="134"/>
    </row>
    <row r="3113" spans="8:8" x14ac:dyDescent="0.25">
      <c r="H3113" s="134"/>
    </row>
    <row r="3114" spans="8:8" x14ac:dyDescent="0.25">
      <c r="H3114" s="134"/>
    </row>
    <row r="3115" spans="8:8" x14ac:dyDescent="0.25">
      <c r="H3115" s="134"/>
    </row>
    <row r="3116" spans="8:8" x14ac:dyDescent="0.25">
      <c r="H3116" s="134"/>
    </row>
    <row r="3117" spans="8:8" x14ac:dyDescent="0.25">
      <c r="H3117" s="134"/>
    </row>
    <row r="3118" spans="8:8" x14ac:dyDescent="0.25">
      <c r="H3118" s="134"/>
    </row>
    <row r="3119" spans="8:8" x14ac:dyDescent="0.25">
      <c r="H3119" s="134"/>
    </row>
    <row r="3120" spans="8:8" x14ac:dyDescent="0.25">
      <c r="H3120" s="134"/>
    </row>
    <row r="3121" spans="8:8" x14ac:dyDescent="0.25">
      <c r="H3121" s="134"/>
    </row>
    <row r="3122" spans="8:8" x14ac:dyDescent="0.25">
      <c r="H3122" s="134"/>
    </row>
    <row r="3123" spans="8:8" x14ac:dyDescent="0.25">
      <c r="H3123" s="134"/>
    </row>
    <row r="3124" spans="8:8" x14ac:dyDescent="0.25">
      <c r="H3124" s="134"/>
    </row>
    <row r="3125" spans="8:8" x14ac:dyDescent="0.25">
      <c r="H3125" s="134"/>
    </row>
    <row r="3126" spans="8:8" x14ac:dyDescent="0.25">
      <c r="H3126" s="134"/>
    </row>
    <row r="3127" spans="8:8" x14ac:dyDescent="0.25">
      <c r="H3127" s="134"/>
    </row>
    <row r="3128" spans="8:8" x14ac:dyDescent="0.25">
      <c r="H3128" s="134"/>
    </row>
    <row r="3129" spans="8:8" x14ac:dyDescent="0.25">
      <c r="H3129" s="134"/>
    </row>
    <row r="3130" spans="8:8" x14ac:dyDescent="0.25">
      <c r="H3130" s="134"/>
    </row>
    <row r="3131" spans="8:8" x14ac:dyDescent="0.25">
      <c r="H3131" s="134"/>
    </row>
    <row r="3132" spans="8:8" x14ac:dyDescent="0.25">
      <c r="H3132" s="134"/>
    </row>
    <row r="3133" spans="8:8" x14ac:dyDescent="0.25">
      <c r="H3133" s="134"/>
    </row>
    <row r="3134" spans="8:8" x14ac:dyDescent="0.25">
      <c r="H3134" s="134"/>
    </row>
    <row r="3135" spans="8:8" x14ac:dyDescent="0.25">
      <c r="H3135" s="134"/>
    </row>
    <row r="3136" spans="8:8" x14ac:dyDescent="0.25">
      <c r="H3136" s="134"/>
    </row>
    <row r="3137" spans="8:8" x14ac:dyDescent="0.25">
      <c r="H3137" s="134"/>
    </row>
    <row r="3138" spans="8:8" x14ac:dyDescent="0.25">
      <c r="H3138" s="134"/>
    </row>
    <row r="3139" spans="8:8" x14ac:dyDescent="0.25">
      <c r="H3139" s="134"/>
    </row>
    <row r="3140" spans="8:8" x14ac:dyDescent="0.25">
      <c r="H3140" s="134"/>
    </row>
    <row r="3141" spans="8:8" x14ac:dyDescent="0.25">
      <c r="H3141" s="134"/>
    </row>
    <row r="3142" spans="8:8" x14ac:dyDescent="0.25">
      <c r="H3142" s="134"/>
    </row>
    <row r="3143" spans="8:8" x14ac:dyDescent="0.25">
      <c r="H3143" s="134"/>
    </row>
    <row r="3144" spans="8:8" x14ac:dyDescent="0.25">
      <c r="H3144" s="134"/>
    </row>
    <row r="3145" spans="8:8" x14ac:dyDescent="0.25">
      <c r="H3145" s="134"/>
    </row>
    <row r="3146" spans="8:8" x14ac:dyDescent="0.25">
      <c r="H3146" s="134"/>
    </row>
    <row r="3147" spans="8:8" x14ac:dyDescent="0.25">
      <c r="H3147" s="134"/>
    </row>
    <row r="3148" spans="8:8" x14ac:dyDescent="0.25">
      <c r="H3148" s="134"/>
    </row>
    <row r="3149" spans="8:8" x14ac:dyDescent="0.25">
      <c r="H3149" s="134"/>
    </row>
    <row r="3150" spans="8:8" x14ac:dyDescent="0.25">
      <c r="H3150" s="134"/>
    </row>
    <row r="3151" spans="8:8" x14ac:dyDescent="0.25">
      <c r="H3151" s="134"/>
    </row>
    <row r="3152" spans="8:8" x14ac:dyDescent="0.25">
      <c r="H3152" s="134"/>
    </row>
    <row r="3153" spans="8:8" x14ac:dyDescent="0.25">
      <c r="H3153" s="134"/>
    </row>
    <row r="3154" spans="8:8" x14ac:dyDescent="0.25">
      <c r="H3154" s="134"/>
    </row>
    <row r="3155" spans="8:8" x14ac:dyDescent="0.25">
      <c r="H3155" s="134"/>
    </row>
    <row r="3156" spans="8:8" x14ac:dyDescent="0.25">
      <c r="H3156" s="134"/>
    </row>
    <row r="3157" spans="8:8" x14ac:dyDescent="0.25">
      <c r="H3157" s="134"/>
    </row>
    <row r="3158" spans="8:8" x14ac:dyDescent="0.25">
      <c r="H3158" s="134"/>
    </row>
    <row r="3159" spans="8:8" x14ac:dyDescent="0.25">
      <c r="H3159" s="134"/>
    </row>
    <row r="3160" spans="8:8" x14ac:dyDescent="0.25">
      <c r="H3160" s="134"/>
    </row>
    <row r="3161" spans="8:8" x14ac:dyDescent="0.25">
      <c r="H3161" s="134"/>
    </row>
    <row r="3162" spans="8:8" x14ac:dyDescent="0.25">
      <c r="H3162" s="134"/>
    </row>
    <row r="3163" spans="8:8" x14ac:dyDescent="0.25">
      <c r="H3163" s="134"/>
    </row>
    <row r="3164" spans="8:8" x14ac:dyDescent="0.25">
      <c r="H3164" s="134"/>
    </row>
    <row r="3165" spans="8:8" x14ac:dyDescent="0.25">
      <c r="H3165" s="134"/>
    </row>
    <row r="3166" spans="8:8" x14ac:dyDescent="0.25">
      <c r="H3166" s="134"/>
    </row>
    <row r="3167" spans="8:8" x14ac:dyDescent="0.25">
      <c r="H3167" s="134"/>
    </row>
    <row r="3168" spans="8:8" x14ac:dyDescent="0.25">
      <c r="H3168" s="134"/>
    </row>
    <row r="3169" spans="8:8" x14ac:dyDescent="0.25">
      <c r="H3169" s="134"/>
    </row>
    <row r="3170" spans="8:8" x14ac:dyDescent="0.25">
      <c r="H3170" s="134"/>
    </row>
    <row r="3171" spans="8:8" x14ac:dyDescent="0.25">
      <c r="H3171" s="134"/>
    </row>
    <row r="3172" spans="8:8" x14ac:dyDescent="0.25">
      <c r="H3172" s="134"/>
    </row>
    <row r="3173" spans="8:8" x14ac:dyDescent="0.25">
      <c r="H3173" s="134"/>
    </row>
    <row r="3174" spans="8:8" x14ac:dyDescent="0.25">
      <c r="H3174" s="134"/>
    </row>
    <row r="3175" spans="8:8" x14ac:dyDescent="0.25">
      <c r="H3175" s="134"/>
    </row>
    <row r="3176" spans="8:8" x14ac:dyDescent="0.25">
      <c r="H3176" s="134"/>
    </row>
    <row r="3177" spans="8:8" x14ac:dyDescent="0.25">
      <c r="H3177" s="134"/>
    </row>
    <row r="3178" spans="8:8" x14ac:dyDescent="0.25">
      <c r="H3178" s="134"/>
    </row>
    <row r="3179" spans="8:8" x14ac:dyDescent="0.25">
      <c r="H3179" s="134"/>
    </row>
    <row r="3180" spans="8:8" x14ac:dyDescent="0.25">
      <c r="H3180" s="134"/>
    </row>
    <row r="3181" spans="8:8" x14ac:dyDescent="0.25">
      <c r="H3181" s="134"/>
    </row>
    <row r="3182" spans="8:8" x14ac:dyDescent="0.25">
      <c r="H3182" s="134"/>
    </row>
    <row r="3183" spans="8:8" x14ac:dyDescent="0.25">
      <c r="H3183" s="134"/>
    </row>
    <row r="3184" spans="8:8" x14ac:dyDescent="0.25">
      <c r="H3184" s="134"/>
    </row>
    <row r="3185" spans="8:8" x14ac:dyDescent="0.25">
      <c r="H3185" s="134"/>
    </row>
    <row r="3186" spans="8:8" x14ac:dyDescent="0.25">
      <c r="H3186" s="134"/>
    </row>
    <row r="3187" spans="8:8" x14ac:dyDescent="0.25">
      <c r="H3187" s="134"/>
    </row>
    <row r="3188" spans="8:8" x14ac:dyDescent="0.25">
      <c r="H3188" s="134"/>
    </row>
    <row r="3189" spans="8:8" x14ac:dyDescent="0.25">
      <c r="H3189" s="134"/>
    </row>
    <row r="3190" spans="8:8" x14ac:dyDescent="0.25">
      <c r="H3190" s="134"/>
    </row>
    <row r="3191" spans="8:8" x14ac:dyDescent="0.25">
      <c r="H3191" s="134"/>
    </row>
    <row r="3192" spans="8:8" x14ac:dyDescent="0.25">
      <c r="H3192" s="134"/>
    </row>
    <row r="3193" spans="8:8" x14ac:dyDescent="0.25">
      <c r="H3193" s="134"/>
    </row>
    <row r="3194" spans="8:8" x14ac:dyDescent="0.25">
      <c r="H3194" s="134"/>
    </row>
    <row r="3195" spans="8:8" x14ac:dyDescent="0.25">
      <c r="H3195" s="134"/>
    </row>
    <row r="3196" spans="8:8" x14ac:dyDescent="0.25">
      <c r="H3196" s="134"/>
    </row>
    <row r="3197" spans="8:8" x14ac:dyDescent="0.25">
      <c r="H3197" s="134"/>
    </row>
    <row r="3198" spans="8:8" x14ac:dyDescent="0.25">
      <c r="H3198" s="134"/>
    </row>
    <row r="3199" spans="8:8" x14ac:dyDescent="0.25">
      <c r="H3199" s="134"/>
    </row>
    <row r="3200" spans="8:8" x14ac:dyDescent="0.25">
      <c r="H3200" s="134"/>
    </row>
    <row r="3201" spans="8:8" x14ac:dyDescent="0.25">
      <c r="H3201" s="134"/>
    </row>
    <row r="3202" spans="8:8" x14ac:dyDescent="0.25">
      <c r="H3202" s="134"/>
    </row>
    <row r="3203" spans="8:8" x14ac:dyDescent="0.25">
      <c r="H3203" s="134"/>
    </row>
    <row r="3204" spans="8:8" x14ac:dyDescent="0.25">
      <c r="H3204" s="134"/>
    </row>
    <row r="3205" spans="8:8" x14ac:dyDescent="0.25">
      <c r="H3205" s="134"/>
    </row>
    <row r="3206" spans="8:8" x14ac:dyDescent="0.25">
      <c r="H3206" s="134"/>
    </row>
    <row r="3207" spans="8:8" x14ac:dyDescent="0.25">
      <c r="H3207" s="134"/>
    </row>
    <row r="3208" spans="8:8" x14ac:dyDescent="0.25">
      <c r="H3208" s="134"/>
    </row>
    <row r="3209" spans="8:8" x14ac:dyDescent="0.25">
      <c r="H3209" s="134"/>
    </row>
    <row r="3210" spans="8:8" x14ac:dyDescent="0.25">
      <c r="H3210" s="134"/>
    </row>
    <row r="3211" spans="8:8" x14ac:dyDescent="0.25">
      <c r="H3211" s="134"/>
    </row>
    <row r="3212" spans="8:8" x14ac:dyDescent="0.25">
      <c r="H3212" s="134"/>
    </row>
    <row r="3213" spans="8:8" x14ac:dyDescent="0.25">
      <c r="H3213" s="134"/>
    </row>
    <row r="3214" spans="8:8" x14ac:dyDescent="0.25">
      <c r="H3214" s="134"/>
    </row>
    <row r="3215" spans="8:8" x14ac:dyDescent="0.25">
      <c r="H3215" s="134"/>
    </row>
    <row r="3216" spans="8:8" x14ac:dyDescent="0.25">
      <c r="H3216" s="134"/>
    </row>
    <row r="3217" spans="8:8" x14ac:dyDescent="0.25">
      <c r="H3217" s="134"/>
    </row>
    <row r="3218" spans="8:8" x14ac:dyDescent="0.25">
      <c r="H3218" s="134"/>
    </row>
    <row r="3219" spans="8:8" x14ac:dyDescent="0.25">
      <c r="H3219" s="134"/>
    </row>
    <row r="3220" spans="8:8" x14ac:dyDescent="0.25">
      <c r="H3220" s="134"/>
    </row>
    <row r="3221" spans="8:8" x14ac:dyDescent="0.25">
      <c r="H3221" s="134"/>
    </row>
    <row r="3222" spans="8:8" x14ac:dyDescent="0.25">
      <c r="H3222" s="134"/>
    </row>
    <row r="3223" spans="8:8" x14ac:dyDescent="0.25">
      <c r="H3223" s="134"/>
    </row>
    <row r="3224" spans="8:8" x14ac:dyDescent="0.25">
      <c r="H3224" s="134"/>
    </row>
    <row r="3225" spans="8:8" x14ac:dyDescent="0.25">
      <c r="H3225" s="134"/>
    </row>
    <row r="3226" spans="8:8" x14ac:dyDescent="0.25">
      <c r="H3226" s="134"/>
    </row>
    <row r="3227" spans="8:8" x14ac:dyDescent="0.25">
      <c r="H3227" s="134"/>
    </row>
    <row r="3228" spans="8:8" x14ac:dyDescent="0.25">
      <c r="H3228" s="134"/>
    </row>
    <row r="3229" spans="8:8" x14ac:dyDescent="0.25">
      <c r="H3229" s="134"/>
    </row>
    <row r="3230" spans="8:8" x14ac:dyDescent="0.25">
      <c r="H3230" s="134"/>
    </row>
    <row r="3231" spans="8:8" x14ac:dyDescent="0.25">
      <c r="H3231" s="134"/>
    </row>
    <row r="3232" spans="8:8" x14ac:dyDescent="0.25">
      <c r="H3232" s="134"/>
    </row>
    <row r="3233" spans="8:8" x14ac:dyDescent="0.25">
      <c r="H3233" s="134"/>
    </row>
    <row r="3234" spans="8:8" x14ac:dyDescent="0.25">
      <c r="H3234" s="134"/>
    </row>
    <row r="3235" spans="8:8" x14ac:dyDescent="0.25">
      <c r="H3235" s="134"/>
    </row>
    <row r="3236" spans="8:8" x14ac:dyDescent="0.25">
      <c r="H3236" s="134"/>
    </row>
    <row r="3237" spans="8:8" x14ac:dyDescent="0.25">
      <c r="H3237" s="134"/>
    </row>
    <row r="3238" spans="8:8" x14ac:dyDescent="0.25">
      <c r="H3238" s="134"/>
    </row>
    <row r="3239" spans="8:8" x14ac:dyDescent="0.25">
      <c r="H3239" s="134"/>
    </row>
    <row r="3240" spans="8:8" x14ac:dyDescent="0.25">
      <c r="H3240" s="134"/>
    </row>
    <row r="3241" spans="8:8" x14ac:dyDescent="0.25">
      <c r="H3241" s="134"/>
    </row>
    <row r="3242" spans="8:8" x14ac:dyDescent="0.25">
      <c r="H3242" s="134"/>
    </row>
    <row r="3243" spans="8:8" x14ac:dyDescent="0.25">
      <c r="H3243" s="134"/>
    </row>
    <row r="3244" spans="8:8" x14ac:dyDescent="0.25">
      <c r="H3244" s="134"/>
    </row>
    <row r="3245" spans="8:8" x14ac:dyDescent="0.25">
      <c r="H3245" s="134"/>
    </row>
    <row r="3246" spans="8:8" x14ac:dyDescent="0.25">
      <c r="H3246" s="134"/>
    </row>
    <row r="3247" spans="8:8" x14ac:dyDescent="0.25">
      <c r="H3247" s="134"/>
    </row>
    <row r="3248" spans="8:8" x14ac:dyDescent="0.25">
      <c r="H3248" s="134"/>
    </row>
    <row r="3249" spans="8:8" x14ac:dyDescent="0.25">
      <c r="H3249" s="134"/>
    </row>
    <row r="3250" spans="8:8" x14ac:dyDescent="0.25">
      <c r="H3250" s="134"/>
    </row>
    <row r="3251" spans="8:8" x14ac:dyDescent="0.25">
      <c r="H3251" s="134"/>
    </row>
    <row r="3252" spans="8:8" x14ac:dyDescent="0.25">
      <c r="H3252" s="134"/>
    </row>
    <row r="3253" spans="8:8" x14ac:dyDescent="0.25">
      <c r="H3253" s="134"/>
    </row>
    <row r="3254" spans="8:8" x14ac:dyDescent="0.25">
      <c r="H3254" s="134"/>
    </row>
    <row r="3255" spans="8:8" x14ac:dyDescent="0.25">
      <c r="H3255" s="134"/>
    </row>
    <row r="3256" spans="8:8" x14ac:dyDescent="0.25">
      <c r="H3256" s="134"/>
    </row>
    <row r="3257" spans="8:8" x14ac:dyDescent="0.25">
      <c r="H3257" s="134"/>
    </row>
    <row r="3258" spans="8:8" x14ac:dyDescent="0.25">
      <c r="H3258" s="134"/>
    </row>
    <row r="3259" spans="8:8" x14ac:dyDescent="0.25">
      <c r="H3259" s="134"/>
    </row>
    <row r="3260" spans="8:8" x14ac:dyDescent="0.25">
      <c r="H3260" s="134"/>
    </row>
    <row r="3261" spans="8:8" x14ac:dyDescent="0.25">
      <c r="H3261" s="134"/>
    </row>
    <row r="3262" spans="8:8" x14ac:dyDescent="0.25">
      <c r="H3262" s="134"/>
    </row>
    <row r="3263" spans="8:8" x14ac:dyDescent="0.25">
      <c r="H3263" s="134"/>
    </row>
    <row r="3264" spans="8:8" x14ac:dyDescent="0.25">
      <c r="H3264" s="134"/>
    </row>
    <row r="3265" spans="8:8" x14ac:dyDescent="0.25">
      <c r="H3265" s="134"/>
    </row>
    <row r="3266" spans="8:8" x14ac:dyDescent="0.25">
      <c r="H3266" s="134"/>
    </row>
    <row r="3267" spans="8:8" x14ac:dyDescent="0.25">
      <c r="H3267" s="134"/>
    </row>
    <row r="3268" spans="8:8" x14ac:dyDescent="0.25">
      <c r="H3268" s="134"/>
    </row>
    <row r="3269" spans="8:8" x14ac:dyDescent="0.25">
      <c r="H3269" s="134"/>
    </row>
    <row r="3270" spans="8:8" x14ac:dyDescent="0.25">
      <c r="H3270" s="134"/>
    </row>
    <row r="3271" spans="8:8" x14ac:dyDescent="0.25">
      <c r="H3271" s="134"/>
    </row>
    <row r="3272" spans="8:8" x14ac:dyDescent="0.25">
      <c r="H3272" s="134"/>
    </row>
    <row r="3273" spans="8:8" x14ac:dyDescent="0.25">
      <c r="H3273" s="134"/>
    </row>
    <row r="3274" spans="8:8" x14ac:dyDescent="0.25">
      <c r="H3274" s="134"/>
    </row>
    <row r="3275" spans="8:8" x14ac:dyDescent="0.25">
      <c r="H3275" s="134"/>
    </row>
    <row r="3276" spans="8:8" x14ac:dyDescent="0.25">
      <c r="H3276" s="134"/>
    </row>
    <row r="3277" spans="8:8" x14ac:dyDescent="0.25">
      <c r="H3277" s="134"/>
    </row>
    <row r="3278" spans="8:8" x14ac:dyDescent="0.25">
      <c r="H3278" s="134"/>
    </row>
    <row r="3279" spans="8:8" x14ac:dyDescent="0.25">
      <c r="H3279" s="134"/>
    </row>
    <row r="3280" spans="8:8" x14ac:dyDescent="0.25">
      <c r="H3280" s="134"/>
    </row>
    <row r="3281" spans="8:8" x14ac:dyDescent="0.25">
      <c r="H3281" s="134"/>
    </row>
    <row r="3282" spans="8:8" x14ac:dyDescent="0.25">
      <c r="H3282" s="134"/>
    </row>
    <row r="3283" spans="8:8" x14ac:dyDescent="0.25">
      <c r="H3283" s="134"/>
    </row>
    <row r="3284" spans="8:8" x14ac:dyDescent="0.25">
      <c r="H3284" s="134"/>
    </row>
    <row r="3285" spans="8:8" x14ac:dyDescent="0.25">
      <c r="H3285" s="134"/>
    </row>
    <row r="3286" spans="8:8" x14ac:dyDescent="0.25">
      <c r="H3286" s="134"/>
    </row>
    <row r="3287" spans="8:8" x14ac:dyDescent="0.25">
      <c r="H3287" s="134"/>
    </row>
    <row r="3288" spans="8:8" x14ac:dyDescent="0.25">
      <c r="H3288" s="134"/>
    </row>
    <row r="3289" spans="8:8" x14ac:dyDescent="0.25">
      <c r="H3289" s="134"/>
    </row>
    <row r="3290" spans="8:8" x14ac:dyDescent="0.25">
      <c r="H3290" s="134"/>
    </row>
    <row r="3291" spans="8:8" x14ac:dyDescent="0.25">
      <c r="H3291" s="134"/>
    </row>
    <row r="3292" spans="8:8" x14ac:dyDescent="0.25">
      <c r="H3292" s="134"/>
    </row>
    <row r="3293" spans="8:8" x14ac:dyDescent="0.25">
      <c r="H3293" s="134"/>
    </row>
    <row r="3294" spans="8:8" x14ac:dyDescent="0.25">
      <c r="H3294" s="134"/>
    </row>
    <row r="3295" spans="8:8" x14ac:dyDescent="0.25">
      <c r="H3295" s="134"/>
    </row>
    <row r="3296" spans="8:8" x14ac:dyDescent="0.25">
      <c r="H3296" s="134"/>
    </row>
    <row r="3297" spans="8:8" x14ac:dyDescent="0.25">
      <c r="H3297" s="134"/>
    </row>
    <row r="3298" spans="8:8" x14ac:dyDescent="0.25">
      <c r="H3298" s="134"/>
    </row>
    <row r="3299" spans="8:8" x14ac:dyDescent="0.25">
      <c r="H3299" s="134"/>
    </row>
    <row r="3300" spans="8:8" x14ac:dyDescent="0.25">
      <c r="H3300" s="134"/>
    </row>
    <row r="3301" spans="8:8" x14ac:dyDescent="0.25">
      <c r="H3301" s="134"/>
    </row>
    <row r="3302" spans="8:8" x14ac:dyDescent="0.25">
      <c r="H3302" s="134"/>
    </row>
    <row r="3303" spans="8:8" x14ac:dyDescent="0.25">
      <c r="H3303" s="134"/>
    </row>
    <row r="3304" spans="8:8" x14ac:dyDescent="0.25">
      <c r="H3304" s="134"/>
    </row>
    <row r="3305" spans="8:8" x14ac:dyDescent="0.25">
      <c r="H3305" s="134"/>
    </row>
    <row r="3306" spans="8:8" x14ac:dyDescent="0.25">
      <c r="H3306" s="134"/>
    </row>
    <row r="3307" spans="8:8" x14ac:dyDescent="0.25">
      <c r="H3307" s="134"/>
    </row>
    <row r="3308" spans="8:8" x14ac:dyDescent="0.25">
      <c r="H3308" s="134"/>
    </row>
    <row r="3309" spans="8:8" x14ac:dyDescent="0.25">
      <c r="H3309" s="134"/>
    </row>
    <row r="3310" spans="8:8" x14ac:dyDescent="0.25">
      <c r="H3310" s="134"/>
    </row>
    <row r="3311" spans="8:8" x14ac:dyDescent="0.25">
      <c r="H3311" s="134"/>
    </row>
    <row r="3312" spans="8:8" x14ac:dyDescent="0.25">
      <c r="H3312" s="134"/>
    </row>
    <row r="3313" spans="8:8" x14ac:dyDescent="0.25">
      <c r="H3313" s="134"/>
    </row>
    <row r="3314" spans="8:8" x14ac:dyDescent="0.25">
      <c r="H3314" s="134"/>
    </row>
    <row r="3315" spans="8:8" x14ac:dyDescent="0.25">
      <c r="H3315" s="134"/>
    </row>
    <row r="3316" spans="8:8" x14ac:dyDescent="0.25">
      <c r="H3316" s="134"/>
    </row>
    <row r="3317" spans="8:8" x14ac:dyDescent="0.25">
      <c r="H3317" s="134"/>
    </row>
    <row r="3318" spans="8:8" x14ac:dyDescent="0.25">
      <c r="H3318" s="134"/>
    </row>
    <row r="3319" spans="8:8" x14ac:dyDescent="0.25">
      <c r="H3319" s="134"/>
    </row>
    <row r="3320" spans="8:8" x14ac:dyDescent="0.25">
      <c r="H3320" s="134"/>
    </row>
    <row r="3321" spans="8:8" x14ac:dyDescent="0.25">
      <c r="H3321" s="134"/>
    </row>
    <row r="3322" spans="8:8" x14ac:dyDescent="0.25">
      <c r="H3322" s="134"/>
    </row>
    <row r="3323" spans="8:8" x14ac:dyDescent="0.25">
      <c r="H3323" s="134"/>
    </row>
    <row r="3324" spans="8:8" x14ac:dyDescent="0.25">
      <c r="H3324" s="134"/>
    </row>
    <row r="3325" spans="8:8" x14ac:dyDescent="0.25">
      <c r="H3325" s="134"/>
    </row>
    <row r="3326" spans="8:8" x14ac:dyDescent="0.25">
      <c r="H3326" s="134"/>
    </row>
    <row r="3327" spans="8:8" x14ac:dyDescent="0.25">
      <c r="H3327" s="134"/>
    </row>
    <row r="3328" spans="8:8" x14ac:dyDescent="0.25">
      <c r="H3328" s="134"/>
    </row>
    <row r="3329" spans="8:8" x14ac:dyDescent="0.25">
      <c r="H3329" s="134"/>
    </row>
    <row r="3330" spans="8:8" x14ac:dyDescent="0.25">
      <c r="H3330" s="134"/>
    </row>
    <row r="3331" spans="8:8" x14ac:dyDescent="0.25">
      <c r="H3331" s="134"/>
    </row>
    <row r="3332" spans="8:8" x14ac:dyDescent="0.25">
      <c r="H3332" s="134"/>
    </row>
    <row r="3333" spans="8:8" x14ac:dyDescent="0.25">
      <c r="H3333" s="134"/>
    </row>
    <row r="3334" spans="8:8" x14ac:dyDescent="0.25">
      <c r="H3334" s="134"/>
    </row>
    <row r="3335" spans="8:8" x14ac:dyDescent="0.25">
      <c r="H3335" s="134"/>
    </row>
    <row r="3336" spans="8:8" x14ac:dyDescent="0.25">
      <c r="H3336" s="134"/>
    </row>
    <row r="3337" spans="8:8" x14ac:dyDescent="0.25">
      <c r="H3337" s="134"/>
    </row>
    <row r="3338" spans="8:8" x14ac:dyDescent="0.25">
      <c r="H3338" s="134"/>
    </row>
    <row r="3339" spans="8:8" x14ac:dyDescent="0.25">
      <c r="H3339" s="134"/>
    </row>
    <row r="3340" spans="8:8" x14ac:dyDescent="0.25">
      <c r="H3340" s="134"/>
    </row>
    <row r="3341" spans="8:8" x14ac:dyDescent="0.25">
      <c r="H3341" s="134"/>
    </row>
    <row r="3342" spans="8:8" x14ac:dyDescent="0.25">
      <c r="H3342" s="134"/>
    </row>
    <row r="3343" spans="8:8" x14ac:dyDescent="0.25">
      <c r="H3343" s="134"/>
    </row>
    <row r="3344" spans="8:8" x14ac:dyDescent="0.25">
      <c r="H3344" s="134"/>
    </row>
    <row r="3345" spans="8:8" x14ac:dyDescent="0.25">
      <c r="H3345" s="134"/>
    </row>
    <row r="3346" spans="8:8" x14ac:dyDescent="0.25">
      <c r="H3346" s="134"/>
    </row>
    <row r="3347" spans="8:8" x14ac:dyDescent="0.25">
      <c r="H3347" s="134"/>
    </row>
    <row r="3348" spans="8:8" x14ac:dyDescent="0.25">
      <c r="H3348" s="134"/>
    </row>
    <row r="3349" spans="8:8" x14ac:dyDescent="0.25">
      <c r="H3349" s="134"/>
    </row>
    <row r="3350" spans="8:8" x14ac:dyDescent="0.25">
      <c r="H3350" s="134"/>
    </row>
    <row r="3351" spans="8:8" x14ac:dyDescent="0.25">
      <c r="H3351" s="134"/>
    </row>
    <row r="3352" spans="8:8" x14ac:dyDescent="0.25">
      <c r="H3352" s="134"/>
    </row>
    <row r="3353" spans="8:8" x14ac:dyDescent="0.25">
      <c r="H3353" s="134"/>
    </row>
    <row r="3354" spans="8:8" x14ac:dyDescent="0.25">
      <c r="H3354" s="134"/>
    </row>
    <row r="3355" spans="8:8" x14ac:dyDescent="0.25">
      <c r="H3355" s="134"/>
    </row>
    <row r="3356" spans="8:8" x14ac:dyDescent="0.25">
      <c r="H3356" s="134"/>
    </row>
    <row r="3357" spans="8:8" x14ac:dyDescent="0.25">
      <c r="H3357" s="134"/>
    </row>
    <row r="3358" spans="8:8" x14ac:dyDescent="0.25">
      <c r="H3358" s="134"/>
    </row>
    <row r="3359" spans="8:8" x14ac:dyDescent="0.25">
      <c r="H3359" s="134"/>
    </row>
    <row r="3360" spans="8:8" x14ac:dyDescent="0.25">
      <c r="H3360" s="134"/>
    </row>
    <row r="3361" spans="8:8" x14ac:dyDescent="0.25">
      <c r="H3361" s="134"/>
    </row>
    <row r="3362" spans="8:8" x14ac:dyDescent="0.25">
      <c r="H3362" s="134"/>
    </row>
    <row r="3363" spans="8:8" x14ac:dyDescent="0.25">
      <c r="H3363" s="134"/>
    </row>
    <row r="3364" spans="8:8" x14ac:dyDescent="0.25">
      <c r="H3364" s="134"/>
    </row>
    <row r="3365" spans="8:8" x14ac:dyDescent="0.25">
      <c r="H3365" s="134"/>
    </row>
    <row r="3366" spans="8:8" x14ac:dyDescent="0.25">
      <c r="H3366" s="134"/>
    </row>
    <row r="3367" spans="8:8" x14ac:dyDescent="0.25">
      <c r="H3367" s="134"/>
    </row>
    <row r="3368" spans="8:8" x14ac:dyDescent="0.25">
      <c r="H3368" s="134"/>
    </row>
    <row r="3369" spans="8:8" x14ac:dyDescent="0.25">
      <c r="H3369" s="134"/>
    </row>
    <row r="3370" spans="8:8" x14ac:dyDescent="0.25">
      <c r="H3370" s="134"/>
    </row>
    <row r="3371" spans="8:8" x14ac:dyDescent="0.25">
      <c r="H3371" s="134"/>
    </row>
    <row r="3372" spans="8:8" x14ac:dyDescent="0.25">
      <c r="H3372" s="134"/>
    </row>
    <row r="3373" spans="8:8" x14ac:dyDescent="0.25">
      <c r="H3373" s="134"/>
    </row>
    <row r="3374" spans="8:8" x14ac:dyDescent="0.25">
      <c r="H3374" s="134"/>
    </row>
    <row r="3375" spans="8:8" x14ac:dyDescent="0.25">
      <c r="H3375" s="134"/>
    </row>
    <row r="3376" spans="8:8" x14ac:dyDescent="0.25">
      <c r="H3376" s="134"/>
    </row>
    <row r="3377" spans="8:8" x14ac:dyDescent="0.25">
      <c r="H3377" s="134"/>
    </row>
    <row r="3378" spans="8:8" x14ac:dyDescent="0.25">
      <c r="H3378" s="134"/>
    </row>
    <row r="3379" spans="8:8" x14ac:dyDescent="0.25">
      <c r="H3379" s="134"/>
    </row>
    <row r="3380" spans="8:8" x14ac:dyDescent="0.25">
      <c r="H3380" s="134"/>
    </row>
    <row r="3381" spans="8:8" x14ac:dyDescent="0.25">
      <c r="H3381" s="134"/>
    </row>
    <row r="3382" spans="8:8" x14ac:dyDescent="0.25">
      <c r="H3382" s="134"/>
    </row>
    <row r="3383" spans="8:8" x14ac:dyDescent="0.25">
      <c r="H3383" s="134"/>
    </row>
    <row r="3384" spans="8:8" x14ac:dyDescent="0.25">
      <c r="H3384" s="134"/>
    </row>
    <row r="3385" spans="8:8" x14ac:dyDescent="0.25">
      <c r="H3385" s="134"/>
    </row>
    <row r="3386" spans="8:8" x14ac:dyDescent="0.25">
      <c r="H3386" s="134"/>
    </row>
    <row r="3387" spans="8:8" x14ac:dyDescent="0.25">
      <c r="H3387" s="134"/>
    </row>
    <row r="3388" spans="8:8" x14ac:dyDescent="0.25">
      <c r="H3388" s="134"/>
    </row>
    <row r="3389" spans="8:8" x14ac:dyDescent="0.25">
      <c r="H3389" s="134"/>
    </row>
    <row r="3390" spans="8:8" x14ac:dyDescent="0.25">
      <c r="H3390" s="134"/>
    </row>
    <row r="3391" spans="8:8" x14ac:dyDescent="0.25">
      <c r="H3391" s="134"/>
    </row>
    <row r="3392" spans="8:8" x14ac:dyDescent="0.25">
      <c r="H3392" s="134"/>
    </row>
    <row r="3393" spans="8:8" x14ac:dyDescent="0.25">
      <c r="H3393" s="134"/>
    </row>
    <row r="3394" spans="8:8" x14ac:dyDescent="0.25">
      <c r="H3394" s="134"/>
    </row>
    <row r="3395" spans="8:8" x14ac:dyDescent="0.25">
      <c r="H3395" s="134"/>
    </row>
    <row r="3396" spans="8:8" x14ac:dyDescent="0.25">
      <c r="H3396" s="134"/>
    </row>
    <row r="3397" spans="8:8" x14ac:dyDescent="0.25">
      <c r="H3397" s="134"/>
    </row>
    <row r="3398" spans="8:8" x14ac:dyDescent="0.25">
      <c r="H3398" s="134"/>
    </row>
    <row r="3399" spans="8:8" x14ac:dyDescent="0.25">
      <c r="H3399" s="134"/>
    </row>
    <row r="3400" spans="8:8" x14ac:dyDescent="0.25">
      <c r="H3400" s="134"/>
    </row>
    <row r="3401" spans="8:8" x14ac:dyDescent="0.25">
      <c r="H3401" s="134"/>
    </row>
    <row r="3402" spans="8:8" x14ac:dyDescent="0.25">
      <c r="H3402" s="134"/>
    </row>
    <row r="3403" spans="8:8" x14ac:dyDescent="0.25">
      <c r="H3403" s="134"/>
    </row>
    <row r="3404" spans="8:8" x14ac:dyDescent="0.25">
      <c r="H3404" s="134"/>
    </row>
    <row r="3405" spans="8:8" x14ac:dyDescent="0.25">
      <c r="H3405" s="134"/>
    </row>
    <row r="3406" spans="8:8" x14ac:dyDescent="0.25">
      <c r="H3406" s="134"/>
    </row>
    <row r="3407" spans="8:8" x14ac:dyDescent="0.25">
      <c r="H3407" s="134"/>
    </row>
    <row r="3408" spans="8:8" x14ac:dyDescent="0.25">
      <c r="H3408" s="134"/>
    </row>
    <row r="3409" spans="8:8" x14ac:dyDescent="0.25">
      <c r="H3409" s="134"/>
    </row>
    <row r="3410" spans="8:8" x14ac:dyDescent="0.25">
      <c r="H3410" s="134"/>
    </row>
    <row r="3411" spans="8:8" x14ac:dyDescent="0.25">
      <c r="H3411" s="134"/>
    </row>
    <row r="3412" spans="8:8" x14ac:dyDescent="0.25">
      <c r="H3412" s="134"/>
    </row>
    <row r="3413" spans="8:8" x14ac:dyDescent="0.25">
      <c r="H3413" s="134"/>
    </row>
    <row r="3414" spans="8:8" x14ac:dyDescent="0.25">
      <c r="H3414" s="134"/>
    </row>
    <row r="3415" spans="8:8" x14ac:dyDescent="0.25">
      <c r="H3415" s="134"/>
    </row>
    <row r="3416" spans="8:8" x14ac:dyDescent="0.25">
      <c r="H3416" s="134"/>
    </row>
    <row r="3417" spans="8:8" x14ac:dyDescent="0.25">
      <c r="H3417" s="134"/>
    </row>
    <row r="3418" spans="8:8" x14ac:dyDescent="0.25">
      <c r="H3418" s="134"/>
    </row>
    <row r="3419" spans="8:8" x14ac:dyDescent="0.25">
      <c r="H3419" s="134"/>
    </row>
    <row r="3420" spans="8:8" x14ac:dyDescent="0.25">
      <c r="H3420" s="134"/>
    </row>
    <row r="3421" spans="8:8" x14ac:dyDescent="0.25">
      <c r="H3421" s="134"/>
    </row>
    <row r="3422" spans="8:8" x14ac:dyDescent="0.25">
      <c r="H3422" s="134"/>
    </row>
    <row r="3423" spans="8:8" x14ac:dyDescent="0.25">
      <c r="H3423" s="134"/>
    </row>
    <row r="3424" spans="8:8" x14ac:dyDescent="0.25">
      <c r="H3424" s="134"/>
    </row>
    <row r="3425" spans="8:8" x14ac:dyDescent="0.25">
      <c r="H3425" s="134"/>
    </row>
    <row r="3426" spans="8:8" x14ac:dyDescent="0.25">
      <c r="H3426" s="134"/>
    </row>
    <row r="3427" spans="8:8" x14ac:dyDescent="0.25">
      <c r="H3427" s="134"/>
    </row>
    <row r="3428" spans="8:8" x14ac:dyDescent="0.25">
      <c r="H3428" s="134"/>
    </row>
    <row r="3429" spans="8:8" x14ac:dyDescent="0.25">
      <c r="H3429" s="134"/>
    </row>
    <row r="3430" spans="8:8" x14ac:dyDescent="0.25">
      <c r="H3430" s="134"/>
    </row>
    <row r="3431" spans="8:8" x14ac:dyDescent="0.25">
      <c r="H3431" s="134"/>
    </row>
    <row r="3432" spans="8:8" x14ac:dyDescent="0.25">
      <c r="H3432" s="134"/>
    </row>
    <row r="3433" spans="8:8" x14ac:dyDescent="0.25">
      <c r="H3433" s="134"/>
    </row>
    <row r="3434" spans="8:8" x14ac:dyDescent="0.25">
      <c r="H3434" s="134"/>
    </row>
    <row r="3435" spans="8:8" x14ac:dyDescent="0.25">
      <c r="H3435" s="134"/>
    </row>
    <row r="3436" spans="8:8" x14ac:dyDescent="0.25">
      <c r="H3436" s="134"/>
    </row>
    <row r="3437" spans="8:8" x14ac:dyDescent="0.25">
      <c r="H3437" s="134"/>
    </row>
    <row r="3438" spans="8:8" x14ac:dyDescent="0.25">
      <c r="H3438" s="134"/>
    </row>
    <row r="3439" spans="8:8" x14ac:dyDescent="0.25">
      <c r="H3439" s="134"/>
    </row>
    <row r="3440" spans="8:8" x14ac:dyDescent="0.25">
      <c r="H3440" s="134"/>
    </row>
    <row r="3441" spans="8:8" x14ac:dyDescent="0.25">
      <c r="H3441" s="134"/>
    </row>
    <row r="3442" spans="8:8" x14ac:dyDescent="0.25">
      <c r="H3442" s="134"/>
    </row>
    <row r="3443" spans="8:8" x14ac:dyDescent="0.25">
      <c r="H3443" s="134"/>
    </row>
    <row r="3444" spans="8:8" x14ac:dyDescent="0.25">
      <c r="H3444" s="134"/>
    </row>
    <row r="3445" spans="8:8" x14ac:dyDescent="0.25">
      <c r="H3445" s="134"/>
    </row>
    <row r="3446" spans="8:8" x14ac:dyDescent="0.25">
      <c r="H3446" s="134"/>
    </row>
    <row r="3447" spans="8:8" x14ac:dyDescent="0.25">
      <c r="H3447" s="134"/>
    </row>
    <row r="3448" spans="8:8" x14ac:dyDescent="0.25">
      <c r="H3448" s="134"/>
    </row>
    <row r="3449" spans="8:8" x14ac:dyDescent="0.25">
      <c r="H3449" s="134"/>
    </row>
    <row r="3450" spans="8:8" x14ac:dyDescent="0.25">
      <c r="H3450" s="134"/>
    </row>
    <row r="3451" spans="8:8" x14ac:dyDescent="0.25">
      <c r="H3451" s="134"/>
    </row>
    <row r="3452" spans="8:8" x14ac:dyDescent="0.25">
      <c r="H3452" s="134"/>
    </row>
    <row r="3453" spans="8:8" x14ac:dyDescent="0.25">
      <c r="H3453" s="134"/>
    </row>
    <row r="3454" spans="8:8" x14ac:dyDescent="0.25">
      <c r="H3454" s="134"/>
    </row>
    <row r="3455" spans="8:8" x14ac:dyDescent="0.25">
      <c r="H3455" s="134"/>
    </row>
    <row r="3456" spans="8:8" x14ac:dyDescent="0.25">
      <c r="H3456" s="134"/>
    </row>
    <row r="3457" spans="8:8" x14ac:dyDescent="0.25">
      <c r="H3457" s="134"/>
    </row>
    <row r="3458" spans="8:8" x14ac:dyDescent="0.25">
      <c r="H3458" s="134"/>
    </row>
    <row r="3459" spans="8:8" x14ac:dyDescent="0.25">
      <c r="H3459" s="134"/>
    </row>
    <row r="3460" spans="8:8" x14ac:dyDescent="0.25">
      <c r="H3460" s="134"/>
    </row>
    <row r="3461" spans="8:8" x14ac:dyDescent="0.25">
      <c r="H3461" s="134"/>
    </row>
    <row r="3462" spans="8:8" x14ac:dyDescent="0.25">
      <c r="H3462" s="134"/>
    </row>
    <row r="3463" spans="8:8" x14ac:dyDescent="0.25">
      <c r="H3463" s="134"/>
    </row>
    <row r="3464" spans="8:8" x14ac:dyDescent="0.25">
      <c r="H3464" s="134"/>
    </row>
    <row r="3465" spans="8:8" x14ac:dyDescent="0.25">
      <c r="H3465" s="134"/>
    </row>
    <row r="3466" spans="8:8" x14ac:dyDescent="0.25">
      <c r="H3466" s="134"/>
    </row>
    <row r="3467" spans="8:8" x14ac:dyDescent="0.25">
      <c r="H3467" s="134"/>
    </row>
    <row r="3468" spans="8:8" x14ac:dyDescent="0.25">
      <c r="H3468" s="134"/>
    </row>
    <row r="3469" spans="8:8" x14ac:dyDescent="0.25">
      <c r="H3469" s="134"/>
    </row>
    <row r="3470" spans="8:8" x14ac:dyDescent="0.25">
      <c r="H3470" s="134"/>
    </row>
    <row r="3471" spans="8:8" x14ac:dyDescent="0.25">
      <c r="H3471" s="134"/>
    </row>
    <row r="3472" spans="8:8" x14ac:dyDescent="0.25">
      <c r="H3472" s="134"/>
    </row>
    <row r="3473" spans="8:8" x14ac:dyDescent="0.25">
      <c r="H3473" s="134"/>
    </row>
    <row r="3474" spans="8:8" x14ac:dyDescent="0.25">
      <c r="H3474" s="134"/>
    </row>
    <row r="3475" spans="8:8" x14ac:dyDescent="0.25">
      <c r="H3475" s="134"/>
    </row>
    <row r="3476" spans="8:8" x14ac:dyDescent="0.25">
      <c r="H3476" s="134"/>
    </row>
    <row r="3477" spans="8:8" x14ac:dyDescent="0.25">
      <c r="H3477" s="134"/>
    </row>
    <row r="3478" spans="8:8" x14ac:dyDescent="0.25">
      <c r="H3478" s="134"/>
    </row>
    <row r="3479" spans="8:8" x14ac:dyDescent="0.25">
      <c r="H3479" s="134"/>
    </row>
    <row r="3480" spans="8:8" x14ac:dyDescent="0.25">
      <c r="H3480" s="134"/>
    </row>
    <row r="3481" spans="8:8" x14ac:dyDescent="0.25">
      <c r="H3481" s="134"/>
    </row>
    <row r="3482" spans="8:8" x14ac:dyDescent="0.25">
      <c r="H3482" s="134"/>
    </row>
    <row r="3483" spans="8:8" x14ac:dyDescent="0.25">
      <c r="H3483" s="134"/>
    </row>
    <row r="3484" spans="8:8" x14ac:dyDescent="0.25">
      <c r="H3484" s="134"/>
    </row>
    <row r="3485" spans="8:8" x14ac:dyDescent="0.25">
      <c r="H3485" s="134"/>
    </row>
    <row r="3486" spans="8:8" x14ac:dyDescent="0.25">
      <c r="H3486" s="134"/>
    </row>
    <row r="3487" spans="8:8" x14ac:dyDescent="0.25">
      <c r="H3487" s="134"/>
    </row>
    <row r="3488" spans="8:8" x14ac:dyDescent="0.25">
      <c r="H3488" s="134"/>
    </row>
    <row r="3489" spans="8:8" x14ac:dyDescent="0.25">
      <c r="H3489" s="134"/>
    </row>
    <row r="3490" spans="8:8" x14ac:dyDescent="0.25">
      <c r="H3490" s="134"/>
    </row>
    <row r="3491" spans="8:8" x14ac:dyDescent="0.25">
      <c r="H3491" s="134"/>
    </row>
    <row r="3492" spans="8:8" x14ac:dyDescent="0.25">
      <c r="H3492" s="134"/>
    </row>
    <row r="3493" spans="8:8" x14ac:dyDescent="0.25">
      <c r="H3493" s="134"/>
    </row>
    <row r="3494" spans="8:8" x14ac:dyDescent="0.25">
      <c r="H3494" s="134"/>
    </row>
    <row r="3495" spans="8:8" x14ac:dyDescent="0.25">
      <c r="H3495" s="134"/>
    </row>
    <row r="3496" spans="8:8" x14ac:dyDescent="0.25">
      <c r="H3496" s="134"/>
    </row>
    <row r="3497" spans="8:8" x14ac:dyDescent="0.25">
      <c r="H3497" s="134"/>
    </row>
    <row r="3498" spans="8:8" x14ac:dyDescent="0.25">
      <c r="H3498" s="134"/>
    </row>
    <row r="3499" spans="8:8" x14ac:dyDescent="0.25">
      <c r="H3499" s="134"/>
    </row>
    <row r="3500" spans="8:8" x14ac:dyDescent="0.25">
      <c r="H3500" s="134"/>
    </row>
    <row r="3501" spans="8:8" x14ac:dyDescent="0.25">
      <c r="H3501" s="134"/>
    </row>
    <row r="3502" spans="8:8" x14ac:dyDescent="0.25">
      <c r="H3502" s="134"/>
    </row>
    <row r="3503" spans="8:8" x14ac:dyDescent="0.25">
      <c r="H3503" s="134"/>
    </row>
    <row r="3504" spans="8:8" x14ac:dyDescent="0.25">
      <c r="H3504" s="134"/>
    </row>
    <row r="3505" spans="8:8" x14ac:dyDescent="0.25">
      <c r="H3505" s="134"/>
    </row>
    <row r="3506" spans="8:8" x14ac:dyDescent="0.25">
      <c r="H3506" s="134"/>
    </row>
    <row r="3507" spans="8:8" x14ac:dyDescent="0.25">
      <c r="H3507" s="134"/>
    </row>
    <row r="3508" spans="8:8" x14ac:dyDescent="0.25">
      <c r="H3508" s="134"/>
    </row>
    <row r="3509" spans="8:8" x14ac:dyDescent="0.25">
      <c r="H3509" s="134"/>
    </row>
    <row r="3510" spans="8:8" x14ac:dyDescent="0.25">
      <c r="H3510" s="134"/>
    </row>
    <row r="3511" spans="8:8" x14ac:dyDescent="0.25">
      <c r="H3511" s="134"/>
    </row>
    <row r="3512" spans="8:8" x14ac:dyDescent="0.25">
      <c r="H3512" s="134"/>
    </row>
    <row r="3513" spans="8:8" x14ac:dyDescent="0.25">
      <c r="H3513" s="134"/>
    </row>
    <row r="3514" spans="8:8" x14ac:dyDescent="0.25">
      <c r="H3514" s="134"/>
    </row>
    <row r="3515" spans="8:8" x14ac:dyDescent="0.25">
      <c r="H3515" s="134"/>
    </row>
    <row r="3516" spans="8:8" x14ac:dyDescent="0.25">
      <c r="H3516" s="134"/>
    </row>
    <row r="3517" spans="8:8" x14ac:dyDescent="0.25">
      <c r="H3517" s="134"/>
    </row>
    <row r="3518" spans="8:8" x14ac:dyDescent="0.25">
      <c r="H3518" s="134"/>
    </row>
    <row r="3519" spans="8:8" x14ac:dyDescent="0.25">
      <c r="H3519" s="134"/>
    </row>
    <row r="3520" spans="8:8" x14ac:dyDescent="0.25">
      <c r="H3520" s="134"/>
    </row>
    <row r="3521" spans="8:8" x14ac:dyDescent="0.25">
      <c r="H3521" s="134"/>
    </row>
    <row r="3522" spans="8:8" x14ac:dyDescent="0.25">
      <c r="H3522" s="134"/>
    </row>
    <row r="3523" spans="8:8" x14ac:dyDescent="0.25">
      <c r="H3523" s="134"/>
    </row>
    <row r="3524" spans="8:8" x14ac:dyDescent="0.25">
      <c r="H3524" s="134"/>
    </row>
    <row r="3525" spans="8:8" x14ac:dyDescent="0.25">
      <c r="H3525" s="134"/>
    </row>
    <row r="3526" spans="8:8" x14ac:dyDescent="0.25">
      <c r="H3526" s="134"/>
    </row>
    <row r="3527" spans="8:8" x14ac:dyDescent="0.25">
      <c r="H3527" s="134"/>
    </row>
    <row r="3528" spans="8:8" x14ac:dyDescent="0.25">
      <c r="H3528" s="134"/>
    </row>
    <row r="3529" spans="8:8" x14ac:dyDescent="0.25">
      <c r="H3529" s="134"/>
    </row>
    <row r="3530" spans="8:8" x14ac:dyDescent="0.25">
      <c r="H3530" s="134"/>
    </row>
    <row r="3531" spans="8:8" x14ac:dyDescent="0.25">
      <c r="H3531" s="134"/>
    </row>
    <row r="3532" spans="8:8" x14ac:dyDescent="0.25">
      <c r="H3532" s="134"/>
    </row>
    <row r="3533" spans="8:8" x14ac:dyDescent="0.25">
      <c r="H3533" s="134"/>
    </row>
    <row r="3534" spans="8:8" x14ac:dyDescent="0.25">
      <c r="H3534" s="134"/>
    </row>
    <row r="3535" spans="8:8" x14ac:dyDescent="0.25">
      <c r="H3535" s="134"/>
    </row>
    <row r="3536" spans="8:8" x14ac:dyDescent="0.25">
      <c r="H3536" s="134"/>
    </row>
    <row r="3537" spans="8:8" x14ac:dyDescent="0.25">
      <c r="H3537" s="134"/>
    </row>
    <row r="3538" spans="8:8" x14ac:dyDescent="0.25">
      <c r="H3538" s="134"/>
    </row>
    <row r="3539" spans="8:8" x14ac:dyDescent="0.25">
      <c r="H3539" s="134"/>
    </row>
    <row r="3540" spans="8:8" x14ac:dyDescent="0.25">
      <c r="H3540" s="134"/>
    </row>
    <row r="3541" spans="8:8" x14ac:dyDescent="0.25">
      <c r="H3541" s="134"/>
    </row>
    <row r="3542" spans="8:8" x14ac:dyDescent="0.25">
      <c r="H3542" s="134"/>
    </row>
    <row r="3543" spans="8:8" x14ac:dyDescent="0.25">
      <c r="H3543" s="134"/>
    </row>
    <row r="3544" spans="8:8" x14ac:dyDescent="0.25">
      <c r="H3544" s="134"/>
    </row>
    <row r="3545" spans="8:8" x14ac:dyDescent="0.25">
      <c r="H3545" s="134"/>
    </row>
    <row r="3546" spans="8:8" x14ac:dyDescent="0.25">
      <c r="H3546" s="134"/>
    </row>
    <row r="3547" spans="8:8" x14ac:dyDescent="0.25">
      <c r="H3547" s="134"/>
    </row>
    <row r="3548" spans="8:8" x14ac:dyDescent="0.25">
      <c r="H3548" s="134"/>
    </row>
    <row r="3549" spans="8:8" x14ac:dyDescent="0.25">
      <c r="H3549" s="134"/>
    </row>
    <row r="3550" spans="8:8" x14ac:dyDescent="0.25">
      <c r="H3550" s="134"/>
    </row>
    <row r="3551" spans="8:8" x14ac:dyDescent="0.25">
      <c r="H3551" s="134"/>
    </row>
    <row r="3552" spans="8:8" x14ac:dyDescent="0.25">
      <c r="H3552" s="134"/>
    </row>
    <row r="3553" spans="8:8" x14ac:dyDescent="0.25">
      <c r="H3553" s="134"/>
    </row>
    <row r="3554" spans="8:8" x14ac:dyDescent="0.25">
      <c r="H3554" s="134"/>
    </row>
    <row r="3555" spans="8:8" x14ac:dyDescent="0.25">
      <c r="H3555" s="134"/>
    </row>
    <row r="3556" spans="8:8" x14ac:dyDescent="0.25">
      <c r="H3556" s="134"/>
    </row>
    <row r="3557" spans="8:8" x14ac:dyDescent="0.25">
      <c r="H3557" s="134"/>
    </row>
    <row r="3558" spans="8:8" x14ac:dyDescent="0.25">
      <c r="H3558" s="134"/>
    </row>
    <row r="3559" spans="8:8" x14ac:dyDescent="0.25">
      <c r="H3559" s="134"/>
    </row>
    <row r="3560" spans="8:8" x14ac:dyDescent="0.25">
      <c r="H3560" s="134"/>
    </row>
    <row r="3561" spans="8:8" x14ac:dyDescent="0.25">
      <c r="H3561" s="134"/>
    </row>
    <row r="3562" spans="8:8" x14ac:dyDescent="0.25">
      <c r="H3562" s="134"/>
    </row>
    <row r="3563" spans="8:8" x14ac:dyDescent="0.25">
      <c r="H3563" s="134"/>
    </row>
    <row r="3564" spans="8:8" x14ac:dyDescent="0.25">
      <c r="H3564" s="134"/>
    </row>
    <row r="3565" spans="8:8" x14ac:dyDescent="0.25">
      <c r="H3565" s="134"/>
    </row>
    <row r="3566" spans="8:8" x14ac:dyDescent="0.25">
      <c r="H3566" s="134"/>
    </row>
    <row r="3567" spans="8:8" x14ac:dyDescent="0.25">
      <c r="H3567" s="134"/>
    </row>
    <row r="3568" spans="8:8" x14ac:dyDescent="0.25">
      <c r="H3568" s="134"/>
    </row>
    <row r="3569" spans="8:8" x14ac:dyDescent="0.25">
      <c r="H3569" s="134"/>
    </row>
    <row r="3570" spans="8:8" x14ac:dyDescent="0.25">
      <c r="H3570" s="134"/>
    </row>
    <row r="3571" spans="8:8" x14ac:dyDescent="0.25">
      <c r="H3571" s="134"/>
    </row>
    <row r="3572" spans="8:8" x14ac:dyDescent="0.25">
      <c r="H3572" s="134"/>
    </row>
    <row r="3573" spans="8:8" x14ac:dyDescent="0.25">
      <c r="H3573" s="134"/>
    </row>
    <row r="3574" spans="8:8" x14ac:dyDescent="0.25">
      <c r="H3574" s="134"/>
    </row>
    <row r="3575" spans="8:8" x14ac:dyDescent="0.25">
      <c r="H3575" s="134"/>
    </row>
    <row r="3576" spans="8:8" x14ac:dyDescent="0.25">
      <c r="H3576" s="134"/>
    </row>
    <row r="3577" spans="8:8" x14ac:dyDescent="0.25">
      <c r="H3577" s="134"/>
    </row>
    <row r="3578" spans="8:8" x14ac:dyDescent="0.25">
      <c r="H3578" s="134"/>
    </row>
    <row r="3579" spans="8:8" x14ac:dyDescent="0.25">
      <c r="H3579" s="134"/>
    </row>
    <row r="3580" spans="8:8" x14ac:dyDescent="0.25">
      <c r="H3580" s="134"/>
    </row>
    <row r="3581" spans="8:8" x14ac:dyDescent="0.25">
      <c r="H3581" s="134"/>
    </row>
    <row r="3582" spans="8:8" x14ac:dyDescent="0.25">
      <c r="H3582" s="134"/>
    </row>
    <row r="3583" spans="8:8" x14ac:dyDescent="0.25">
      <c r="H3583" s="134"/>
    </row>
    <row r="3584" spans="8:8" x14ac:dyDescent="0.25">
      <c r="H3584" s="134"/>
    </row>
    <row r="3585" spans="8:8" x14ac:dyDescent="0.25">
      <c r="H3585" s="134"/>
    </row>
    <row r="3586" spans="8:8" x14ac:dyDescent="0.25">
      <c r="H3586" s="134"/>
    </row>
    <row r="3587" spans="8:8" x14ac:dyDescent="0.25">
      <c r="H3587" s="134"/>
    </row>
    <row r="3588" spans="8:8" x14ac:dyDescent="0.25">
      <c r="H3588" s="134"/>
    </row>
    <row r="3589" spans="8:8" x14ac:dyDescent="0.25">
      <c r="H3589" s="134"/>
    </row>
    <row r="3590" spans="8:8" x14ac:dyDescent="0.25">
      <c r="H3590" s="134"/>
    </row>
    <row r="3591" spans="8:8" x14ac:dyDescent="0.25">
      <c r="H3591" s="134"/>
    </row>
    <row r="3592" spans="8:8" x14ac:dyDescent="0.25">
      <c r="H3592" s="134"/>
    </row>
    <row r="3593" spans="8:8" x14ac:dyDescent="0.25">
      <c r="H3593" s="134"/>
    </row>
    <row r="3594" spans="8:8" x14ac:dyDescent="0.25">
      <c r="H3594" s="134"/>
    </row>
    <row r="3595" spans="8:8" x14ac:dyDescent="0.25">
      <c r="H3595" s="134"/>
    </row>
    <row r="3596" spans="8:8" x14ac:dyDescent="0.25">
      <c r="H3596" s="134"/>
    </row>
    <row r="3597" spans="8:8" x14ac:dyDescent="0.25">
      <c r="H3597" s="134"/>
    </row>
    <row r="3598" spans="8:8" x14ac:dyDescent="0.25">
      <c r="H3598" s="134"/>
    </row>
    <row r="3599" spans="8:8" x14ac:dyDescent="0.25">
      <c r="H3599" s="134"/>
    </row>
    <row r="3600" spans="8:8" x14ac:dyDescent="0.25">
      <c r="H3600" s="134"/>
    </row>
    <row r="3601" spans="8:8" x14ac:dyDescent="0.25">
      <c r="H3601" s="134"/>
    </row>
    <row r="3602" spans="8:8" x14ac:dyDescent="0.25">
      <c r="H3602" s="134"/>
    </row>
    <row r="3603" spans="8:8" x14ac:dyDescent="0.25">
      <c r="H3603" s="134"/>
    </row>
    <row r="3604" spans="8:8" x14ac:dyDescent="0.25">
      <c r="H3604" s="134"/>
    </row>
    <row r="3605" spans="8:8" x14ac:dyDescent="0.25">
      <c r="H3605" s="134"/>
    </row>
    <row r="3606" spans="8:8" x14ac:dyDescent="0.25">
      <c r="H3606" s="134"/>
    </row>
    <row r="3607" spans="8:8" x14ac:dyDescent="0.25">
      <c r="H3607" s="134"/>
    </row>
    <row r="3608" spans="8:8" x14ac:dyDescent="0.25">
      <c r="H3608" s="134"/>
    </row>
    <row r="3609" spans="8:8" x14ac:dyDescent="0.25">
      <c r="H3609" s="134"/>
    </row>
    <row r="3610" spans="8:8" x14ac:dyDescent="0.25">
      <c r="H3610" s="134"/>
    </row>
    <row r="3611" spans="8:8" x14ac:dyDescent="0.25">
      <c r="H3611" s="134"/>
    </row>
    <row r="3612" spans="8:8" x14ac:dyDescent="0.25">
      <c r="H3612" s="134"/>
    </row>
    <row r="3613" spans="8:8" x14ac:dyDescent="0.25">
      <c r="H3613" s="134"/>
    </row>
    <row r="3614" spans="8:8" x14ac:dyDescent="0.25">
      <c r="H3614" s="134"/>
    </row>
    <row r="3615" spans="8:8" x14ac:dyDescent="0.25">
      <c r="H3615" s="134"/>
    </row>
    <row r="3616" spans="8:8" x14ac:dyDescent="0.25">
      <c r="H3616" s="134"/>
    </row>
    <row r="3617" spans="8:8" x14ac:dyDescent="0.25">
      <c r="H3617" s="134"/>
    </row>
    <row r="3618" spans="8:8" x14ac:dyDescent="0.25">
      <c r="H3618" s="134"/>
    </row>
    <row r="3619" spans="8:8" x14ac:dyDescent="0.25">
      <c r="H3619" s="134"/>
    </row>
    <row r="3620" spans="8:8" x14ac:dyDescent="0.25">
      <c r="H3620" s="134"/>
    </row>
    <row r="3621" spans="8:8" x14ac:dyDescent="0.25">
      <c r="H3621" s="134"/>
    </row>
    <row r="3622" spans="8:8" x14ac:dyDescent="0.25">
      <c r="H3622" s="134"/>
    </row>
    <row r="3623" spans="8:8" x14ac:dyDescent="0.25">
      <c r="H3623" s="134"/>
    </row>
    <row r="3624" spans="8:8" x14ac:dyDescent="0.25">
      <c r="H3624" s="134"/>
    </row>
    <row r="3625" spans="8:8" x14ac:dyDescent="0.25">
      <c r="H3625" s="134"/>
    </row>
    <row r="3626" spans="8:8" x14ac:dyDescent="0.25">
      <c r="H3626" s="134"/>
    </row>
    <row r="3627" spans="8:8" x14ac:dyDescent="0.25">
      <c r="H3627" s="134"/>
    </row>
    <row r="3628" spans="8:8" x14ac:dyDescent="0.25">
      <c r="H3628" s="134"/>
    </row>
    <row r="3629" spans="8:8" x14ac:dyDescent="0.25">
      <c r="H3629" s="134"/>
    </row>
    <row r="3630" spans="8:8" x14ac:dyDescent="0.25">
      <c r="H3630" s="134"/>
    </row>
    <row r="3631" spans="8:8" x14ac:dyDescent="0.25">
      <c r="H3631" s="134"/>
    </row>
    <row r="3632" spans="8:8" x14ac:dyDescent="0.25">
      <c r="H3632" s="134"/>
    </row>
    <row r="3633" spans="8:8" x14ac:dyDescent="0.25">
      <c r="H3633" s="134"/>
    </row>
    <row r="3634" spans="8:8" x14ac:dyDescent="0.25">
      <c r="H3634" s="134"/>
    </row>
    <row r="3635" spans="8:8" x14ac:dyDescent="0.25">
      <c r="H3635" s="134"/>
    </row>
    <row r="3636" spans="8:8" x14ac:dyDescent="0.25">
      <c r="H3636" s="134"/>
    </row>
    <row r="3637" spans="8:8" x14ac:dyDescent="0.25">
      <c r="H3637" s="134"/>
    </row>
    <row r="3638" spans="8:8" x14ac:dyDescent="0.25">
      <c r="H3638" s="134"/>
    </row>
    <row r="3639" spans="8:8" x14ac:dyDescent="0.25">
      <c r="H3639" s="134"/>
    </row>
    <row r="3640" spans="8:8" x14ac:dyDescent="0.25">
      <c r="H3640" s="134"/>
    </row>
    <row r="3641" spans="8:8" x14ac:dyDescent="0.25">
      <c r="H3641" s="134"/>
    </row>
    <row r="3642" spans="8:8" x14ac:dyDescent="0.25">
      <c r="H3642" s="134"/>
    </row>
    <row r="3643" spans="8:8" x14ac:dyDescent="0.25">
      <c r="H3643" s="134"/>
    </row>
    <row r="3644" spans="8:8" x14ac:dyDescent="0.25">
      <c r="H3644" s="134"/>
    </row>
    <row r="3645" spans="8:8" x14ac:dyDescent="0.25">
      <c r="H3645" s="134"/>
    </row>
    <row r="3646" spans="8:8" x14ac:dyDescent="0.25">
      <c r="H3646" s="134"/>
    </row>
    <row r="3647" spans="8:8" x14ac:dyDescent="0.25">
      <c r="H3647" s="134"/>
    </row>
    <row r="3648" spans="8:8" x14ac:dyDescent="0.25">
      <c r="H3648" s="134"/>
    </row>
    <row r="3649" spans="8:8" x14ac:dyDescent="0.25">
      <c r="H3649" s="134"/>
    </row>
    <row r="3650" spans="8:8" x14ac:dyDescent="0.25">
      <c r="H3650" s="134"/>
    </row>
    <row r="3651" spans="8:8" x14ac:dyDescent="0.25">
      <c r="H3651" s="134"/>
    </row>
    <row r="3652" spans="8:8" x14ac:dyDescent="0.25">
      <c r="H3652" s="134"/>
    </row>
    <row r="3653" spans="8:8" x14ac:dyDescent="0.25">
      <c r="H3653" s="134"/>
    </row>
    <row r="3654" spans="8:8" x14ac:dyDescent="0.25">
      <c r="H3654" s="134"/>
    </row>
    <row r="3655" spans="8:8" x14ac:dyDescent="0.25">
      <c r="H3655" s="134"/>
    </row>
    <row r="3656" spans="8:8" x14ac:dyDescent="0.25">
      <c r="H3656" s="134"/>
    </row>
    <row r="3657" spans="8:8" x14ac:dyDescent="0.25">
      <c r="H3657" s="134"/>
    </row>
    <row r="3658" spans="8:8" x14ac:dyDescent="0.25">
      <c r="H3658" s="134"/>
    </row>
    <row r="3659" spans="8:8" x14ac:dyDescent="0.25">
      <c r="H3659" s="134"/>
    </row>
    <row r="3660" spans="8:8" x14ac:dyDescent="0.25">
      <c r="H3660" s="134"/>
    </row>
    <row r="3661" spans="8:8" x14ac:dyDescent="0.25">
      <c r="H3661" s="134"/>
    </row>
    <row r="3662" spans="8:8" x14ac:dyDescent="0.25">
      <c r="H3662" s="134"/>
    </row>
    <row r="3663" spans="8:8" x14ac:dyDescent="0.25">
      <c r="H3663" s="134"/>
    </row>
    <row r="3664" spans="8:8" x14ac:dyDescent="0.25">
      <c r="H3664" s="134"/>
    </row>
    <row r="3665" spans="8:8" x14ac:dyDescent="0.25">
      <c r="H3665" s="134"/>
    </row>
    <row r="3666" spans="8:8" x14ac:dyDescent="0.25">
      <c r="H3666" s="134"/>
    </row>
    <row r="3667" spans="8:8" x14ac:dyDescent="0.25">
      <c r="H3667" s="134"/>
    </row>
    <row r="3668" spans="8:8" x14ac:dyDescent="0.25">
      <c r="H3668" s="134"/>
    </row>
    <row r="3669" spans="8:8" x14ac:dyDescent="0.25">
      <c r="H3669" s="134"/>
    </row>
    <row r="3670" spans="8:8" x14ac:dyDescent="0.25">
      <c r="H3670" s="134"/>
    </row>
    <row r="3671" spans="8:8" x14ac:dyDescent="0.25">
      <c r="H3671" s="134"/>
    </row>
    <row r="3672" spans="8:8" x14ac:dyDescent="0.25">
      <c r="H3672" s="134"/>
    </row>
    <row r="3673" spans="8:8" x14ac:dyDescent="0.25">
      <c r="H3673" s="134"/>
    </row>
    <row r="3674" spans="8:8" x14ac:dyDescent="0.25">
      <c r="H3674" s="134"/>
    </row>
    <row r="3675" spans="8:8" x14ac:dyDescent="0.25">
      <c r="H3675" s="134"/>
    </row>
    <row r="3676" spans="8:8" x14ac:dyDescent="0.25">
      <c r="H3676" s="134"/>
    </row>
    <row r="3677" spans="8:8" x14ac:dyDescent="0.25">
      <c r="H3677" s="134"/>
    </row>
    <row r="3678" spans="8:8" x14ac:dyDescent="0.25">
      <c r="H3678" s="134"/>
    </row>
    <row r="3679" spans="8:8" x14ac:dyDescent="0.25">
      <c r="H3679" s="134"/>
    </row>
    <row r="3680" spans="8:8" x14ac:dyDescent="0.25">
      <c r="H3680" s="134"/>
    </row>
    <row r="3681" spans="8:8" x14ac:dyDescent="0.25">
      <c r="H3681" s="134"/>
    </row>
    <row r="3682" spans="8:8" x14ac:dyDescent="0.25">
      <c r="H3682" s="134"/>
    </row>
    <row r="3683" spans="8:8" x14ac:dyDescent="0.25">
      <c r="H3683" s="134"/>
    </row>
    <row r="3684" spans="8:8" x14ac:dyDescent="0.25">
      <c r="H3684" s="134"/>
    </row>
    <row r="3685" spans="8:8" x14ac:dyDescent="0.25">
      <c r="H3685" s="134"/>
    </row>
    <row r="3686" spans="8:8" x14ac:dyDescent="0.25">
      <c r="H3686" s="134"/>
    </row>
    <row r="3687" spans="8:8" x14ac:dyDescent="0.25">
      <c r="H3687" s="134"/>
    </row>
    <row r="3688" spans="8:8" x14ac:dyDescent="0.25">
      <c r="H3688" s="134"/>
    </row>
    <row r="3689" spans="8:8" x14ac:dyDescent="0.25">
      <c r="H3689" s="134"/>
    </row>
    <row r="3690" spans="8:8" x14ac:dyDescent="0.25">
      <c r="H3690" s="134"/>
    </row>
    <row r="3691" spans="8:8" x14ac:dyDescent="0.25">
      <c r="H3691" s="134"/>
    </row>
    <row r="3692" spans="8:8" x14ac:dyDescent="0.25">
      <c r="H3692" s="134"/>
    </row>
    <row r="3693" spans="8:8" x14ac:dyDescent="0.25">
      <c r="H3693" s="134"/>
    </row>
    <row r="3694" spans="8:8" x14ac:dyDescent="0.25">
      <c r="H3694" s="134"/>
    </row>
    <row r="3695" spans="8:8" x14ac:dyDescent="0.25">
      <c r="H3695" s="134"/>
    </row>
    <row r="3696" spans="8:8" x14ac:dyDescent="0.25">
      <c r="H3696" s="134"/>
    </row>
    <row r="3697" spans="8:8" x14ac:dyDescent="0.25">
      <c r="H3697" s="134"/>
    </row>
    <row r="3698" spans="8:8" x14ac:dyDescent="0.25">
      <c r="H3698" s="134"/>
    </row>
    <row r="3699" spans="8:8" x14ac:dyDescent="0.25">
      <c r="H3699" s="134"/>
    </row>
    <row r="3700" spans="8:8" x14ac:dyDescent="0.25">
      <c r="H3700" s="134"/>
    </row>
    <row r="3701" spans="8:8" x14ac:dyDescent="0.25">
      <c r="H3701" s="134"/>
    </row>
    <row r="3702" spans="8:8" x14ac:dyDescent="0.25">
      <c r="H3702" s="134"/>
    </row>
    <row r="3703" spans="8:8" x14ac:dyDescent="0.25">
      <c r="H3703" s="134"/>
    </row>
    <row r="3704" spans="8:8" x14ac:dyDescent="0.25">
      <c r="H3704" s="134"/>
    </row>
    <row r="3705" spans="8:8" x14ac:dyDescent="0.25">
      <c r="H3705" s="134"/>
    </row>
    <row r="3706" spans="8:8" x14ac:dyDescent="0.25">
      <c r="H3706" s="134"/>
    </row>
    <row r="3707" spans="8:8" x14ac:dyDescent="0.25">
      <c r="H3707" s="134"/>
    </row>
    <row r="3708" spans="8:8" x14ac:dyDescent="0.25">
      <c r="H3708" s="134"/>
    </row>
    <row r="3709" spans="8:8" x14ac:dyDescent="0.25">
      <c r="H3709" s="134"/>
    </row>
    <row r="3710" spans="8:8" x14ac:dyDescent="0.25">
      <c r="H3710" s="134"/>
    </row>
    <row r="3711" spans="8:8" x14ac:dyDescent="0.25">
      <c r="H3711" s="134"/>
    </row>
    <row r="3712" spans="8:8" x14ac:dyDescent="0.25">
      <c r="H3712" s="134"/>
    </row>
    <row r="3713" spans="8:8" x14ac:dyDescent="0.25">
      <c r="H3713" s="134"/>
    </row>
    <row r="3714" spans="8:8" x14ac:dyDescent="0.25">
      <c r="H3714" s="134"/>
    </row>
    <row r="3715" spans="8:8" x14ac:dyDescent="0.25">
      <c r="H3715" s="134"/>
    </row>
    <row r="3716" spans="8:8" x14ac:dyDescent="0.25">
      <c r="H3716" s="134"/>
    </row>
    <row r="3717" spans="8:8" x14ac:dyDescent="0.25">
      <c r="H3717" s="134"/>
    </row>
    <row r="3718" spans="8:8" x14ac:dyDescent="0.25">
      <c r="H3718" s="134"/>
    </row>
    <row r="3719" spans="8:8" x14ac:dyDescent="0.25">
      <c r="H3719" s="134"/>
    </row>
    <row r="3720" spans="8:8" x14ac:dyDescent="0.25">
      <c r="H3720" s="134"/>
    </row>
    <row r="3721" spans="8:8" x14ac:dyDescent="0.25">
      <c r="H3721" s="134"/>
    </row>
    <row r="3722" spans="8:8" x14ac:dyDescent="0.25">
      <c r="H3722" s="134"/>
    </row>
    <row r="3723" spans="8:8" x14ac:dyDescent="0.25">
      <c r="H3723" s="134"/>
    </row>
    <row r="3724" spans="8:8" x14ac:dyDescent="0.25">
      <c r="H3724" s="134"/>
    </row>
    <row r="3725" spans="8:8" x14ac:dyDescent="0.25">
      <c r="H3725" s="134"/>
    </row>
    <row r="3726" spans="8:8" x14ac:dyDescent="0.25">
      <c r="H3726" s="134"/>
    </row>
    <row r="3727" spans="8:8" x14ac:dyDescent="0.25">
      <c r="H3727" s="134"/>
    </row>
    <row r="3728" spans="8:8" x14ac:dyDescent="0.25">
      <c r="H3728" s="134"/>
    </row>
    <row r="3729" spans="8:8" x14ac:dyDescent="0.25">
      <c r="H3729" s="134"/>
    </row>
    <row r="3730" spans="8:8" x14ac:dyDescent="0.25">
      <c r="H3730" s="134"/>
    </row>
    <row r="3731" spans="8:8" x14ac:dyDescent="0.25">
      <c r="H3731" s="134"/>
    </row>
    <row r="3732" spans="8:8" x14ac:dyDescent="0.25">
      <c r="H3732" s="134"/>
    </row>
    <row r="3733" spans="8:8" x14ac:dyDescent="0.25">
      <c r="H3733" s="134"/>
    </row>
    <row r="3734" spans="8:8" x14ac:dyDescent="0.25">
      <c r="H3734" s="134"/>
    </row>
    <row r="3735" spans="8:8" x14ac:dyDescent="0.25">
      <c r="H3735" s="134"/>
    </row>
    <row r="3736" spans="8:8" x14ac:dyDescent="0.25">
      <c r="H3736" s="134"/>
    </row>
    <row r="3737" spans="8:8" x14ac:dyDescent="0.25">
      <c r="H3737" s="134"/>
    </row>
    <row r="3738" spans="8:8" x14ac:dyDescent="0.25">
      <c r="H3738" s="134"/>
    </row>
    <row r="3739" spans="8:8" x14ac:dyDescent="0.25">
      <c r="H3739" s="134"/>
    </row>
    <row r="3740" spans="8:8" x14ac:dyDescent="0.25">
      <c r="H3740" s="134"/>
    </row>
    <row r="3741" spans="8:8" x14ac:dyDescent="0.25">
      <c r="H3741" s="134"/>
    </row>
    <row r="3742" spans="8:8" x14ac:dyDescent="0.25">
      <c r="H3742" s="134"/>
    </row>
    <row r="3743" spans="8:8" x14ac:dyDescent="0.25">
      <c r="H3743" s="134"/>
    </row>
    <row r="3744" spans="8:8" x14ac:dyDescent="0.25">
      <c r="H3744" s="134"/>
    </row>
    <row r="3745" spans="8:8" x14ac:dyDescent="0.25">
      <c r="H3745" s="134"/>
    </row>
    <row r="3746" spans="8:8" x14ac:dyDescent="0.25">
      <c r="H3746" s="134"/>
    </row>
    <row r="3747" spans="8:8" x14ac:dyDescent="0.25">
      <c r="H3747" s="134"/>
    </row>
    <row r="3748" spans="8:8" x14ac:dyDescent="0.25">
      <c r="H3748" s="134"/>
    </row>
    <row r="3749" spans="8:8" x14ac:dyDescent="0.25">
      <c r="H3749" s="134"/>
    </row>
    <row r="3750" spans="8:8" x14ac:dyDescent="0.25">
      <c r="H3750" s="134"/>
    </row>
    <row r="3751" spans="8:8" x14ac:dyDescent="0.25">
      <c r="H3751" s="134"/>
    </row>
    <row r="3752" spans="8:8" x14ac:dyDescent="0.25">
      <c r="H3752" s="134"/>
    </row>
    <row r="3753" spans="8:8" x14ac:dyDescent="0.25">
      <c r="H3753" s="134"/>
    </row>
    <row r="3754" spans="8:8" x14ac:dyDescent="0.25">
      <c r="H3754" s="134"/>
    </row>
    <row r="3755" spans="8:8" x14ac:dyDescent="0.25">
      <c r="H3755" s="134"/>
    </row>
    <row r="3756" spans="8:8" x14ac:dyDescent="0.25">
      <c r="H3756" s="134"/>
    </row>
    <row r="3757" spans="8:8" x14ac:dyDescent="0.25">
      <c r="H3757" s="134"/>
    </row>
    <row r="3758" spans="8:8" x14ac:dyDescent="0.25">
      <c r="H3758" s="134"/>
    </row>
    <row r="3759" spans="8:8" x14ac:dyDescent="0.25">
      <c r="H3759" s="134"/>
    </row>
    <row r="3760" spans="8:8" x14ac:dyDescent="0.25">
      <c r="H3760" s="134"/>
    </row>
    <row r="3761" spans="8:8" x14ac:dyDescent="0.25">
      <c r="H3761" s="134"/>
    </row>
    <row r="3762" spans="8:8" x14ac:dyDescent="0.25">
      <c r="H3762" s="134"/>
    </row>
    <row r="3763" spans="8:8" x14ac:dyDescent="0.25">
      <c r="H3763" s="134"/>
    </row>
    <row r="3764" spans="8:8" x14ac:dyDescent="0.25">
      <c r="H3764" s="134"/>
    </row>
    <row r="3765" spans="8:8" x14ac:dyDescent="0.25">
      <c r="H3765" s="134"/>
    </row>
    <row r="3766" spans="8:8" x14ac:dyDescent="0.25">
      <c r="H3766" s="134"/>
    </row>
    <row r="3767" spans="8:8" x14ac:dyDescent="0.25">
      <c r="H3767" s="134"/>
    </row>
    <row r="3768" spans="8:8" x14ac:dyDescent="0.25">
      <c r="H3768" s="134"/>
    </row>
    <row r="3769" spans="8:8" x14ac:dyDescent="0.25">
      <c r="H3769" s="134"/>
    </row>
    <row r="3770" spans="8:8" x14ac:dyDescent="0.25">
      <c r="H3770" s="134"/>
    </row>
    <row r="3771" spans="8:8" x14ac:dyDescent="0.25">
      <c r="H3771" s="134"/>
    </row>
    <row r="3772" spans="8:8" x14ac:dyDescent="0.25">
      <c r="H3772" s="134"/>
    </row>
    <row r="3773" spans="8:8" x14ac:dyDescent="0.25">
      <c r="H3773" s="134"/>
    </row>
    <row r="3774" spans="8:8" x14ac:dyDescent="0.25">
      <c r="H3774" s="134"/>
    </row>
    <row r="3775" spans="8:8" x14ac:dyDescent="0.25">
      <c r="H3775" s="134"/>
    </row>
    <row r="3776" spans="8:8" x14ac:dyDescent="0.25">
      <c r="H3776" s="134"/>
    </row>
    <row r="3777" spans="8:8" x14ac:dyDescent="0.25">
      <c r="H3777" s="134"/>
    </row>
    <row r="3778" spans="8:8" x14ac:dyDescent="0.25">
      <c r="H3778" s="134"/>
    </row>
    <row r="3779" spans="8:8" x14ac:dyDescent="0.25">
      <c r="H3779" s="134"/>
    </row>
    <row r="3780" spans="8:8" x14ac:dyDescent="0.25">
      <c r="H3780" s="134"/>
    </row>
    <row r="3781" spans="8:8" x14ac:dyDescent="0.25">
      <c r="H3781" s="134"/>
    </row>
    <row r="3782" spans="8:8" x14ac:dyDescent="0.25">
      <c r="H3782" s="134"/>
    </row>
    <row r="3783" spans="8:8" x14ac:dyDescent="0.25">
      <c r="H3783" s="134"/>
    </row>
    <row r="3784" spans="8:8" x14ac:dyDescent="0.25">
      <c r="H3784" s="134"/>
    </row>
    <row r="3785" spans="8:8" x14ac:dyDescent="0.25">
      <c r="H3785" s="134"/>
    </row>
    <row r="3786" spans="8:8" x14ac:dyDescent="0.25">
      <c r="H3786" s="134"/>
    </row>
    <row r="3787" spans="8:8" x14ac:dyDescent="0.25">
      <c r="H3787" s="134"/>
    </row>
    <row r="3788" spans="8:8" x14ac:dyDescent="0.25">
      <c r="H3788" s="134"/>
    </row>
    <row r="3789" spans="8:8" x14ac:dyDescent="0.25">
      <c r="H3789" s="134"/>
    </row>
    <row r="3790" spans="8:8" x14ac:dyDescent="0.25">
      <c r="H3790" s="134"/>
    </row>
    <row r="3791" spans="8:8" x14ac:dyDescent="0.25">
      <c r="H3791" s="134"/>
    </row>
    <row r="3792" spans="8:8" x14ac:dyDescent="0.25">
      <c r="H3792" s="134"/>
    </row>
    <row r="3793" spans="8:8" x14ac:dyDescent="0.25">
      <c r="H3793" s="134"/>
    </row>
    <row r="3794" spans="8:8" x14ac:dyDescent="0.25">
      <c r="H3794" s="134"/>
    </row>
    <row r="3795" spans="8:8" x14ac:dyDescent="0.25">
      <c r="H3795" s="134"/>
    </row>
    <row r="3796" spans="8:8" x14ac:dyDescent="0.25">
      <c r="H3796" s="134"/>
    </row>
    <row r="3797" spans="8:8" x14ac:dyDescent="0.25">
      <c r="H3797" s="134"/>
    </row>
    <row r="3798" spans="8:8" x14ac:dyDescent="0.25">
      <c r="H3798" s="134"/>
    </row>
    <row r="3799" spans="8:8" x14ac:dyDescent="0.25">
      <c r="H3799" s="134"/>
    </row>
    <row r="3800" spans="8:8" x14ac:dyDescent="0.25">
      <c r="H3800" s="134"/>
    </row>
    <row r="3801" spans="8:8" x14ac:dyDescent="0.25">
      <c r="H3801" s="134"/>
    </row>
    <row r="3802" spans="8:8" x14ac:dyDescent="0.25">
      <c r="H3802" s="134"/>
    </row>
    <row r="3803" spans="8:8" x14ac:dyDescent="0.25">
      <c r="H3803" s="134"/>
    </row>
    <row r="3804" spans="8:8" x14ac:dyDescent="0.25">
      <c r="H3804" s="134"/>
    </row>
    <row r="3805" spans="8:8" x14ac:dyDescent="0.25">
      <c r="H3805" s="134"/>
    </row>
    <row r="3806" spans="8:8" x14ac:dyDescent="0.25">
      <c r="H3806" s="134"/>
    </row>
    <row r="3807" spans="8:8" x14ac:dyDescent="0.25">
      <c r="H3807" s="134"/>
    </row>
    <row r="3808" spans="8:8" x14ac:dyDescent="0.25">
      <c r="H3808" s="134"/>
    </row>
    <row r="3809" spans="8:8" x14ac:dyDescent="0.25">
      <c r="H3809" s="134"/>
    </row>
    <row r="3810" spans="8:8" x14ac:dyDescent="0.25">
      <c r="H3810" s="134"/>
    </row>
    <row r="3811" spans="8:8" x14ac:dyDescent="0.25">
      <c r="H3811" s="134"/>
    </row>
    <row r="3812" spans="8:8" x14ac:dyDescent="0.25">
      <c r="H3812" s="134"/>
    </row>
    <row r="3813" spans="8:8" x14ac:dyDescent="0.25">
      <c r="H3813" s="134"/>
    </row>
    <row r="3814" spans="8:8" x14ac:dyDescent="0.25">
      <c r="H3814" s="134"/>
    </row>
    <row r="3815" spans="8:8" x14ac:dyDescent="0.25">
      <c r="H3815" s="134"/>
    </row>
    <row r="3816" spans="8:8" x14ac:dyDescent="0.25">
      <c r="H3816" s="134"/>
    </row>
    <row r="3817" spans="8:8" x14ac:dyDescent="0.25">
      <c r="H3817" s="134"/>
    </row>
    <row r="3818" spans="8:8" x14ac:dyDescent="0.25">
      <c r="H3818" s="134"/>
    </row>
    <row r="3819" spans="8:8" x14ac:dyDescent="0.25">
      <c r="H3819" s="134"/>
    </row>
    <row r="3820" spans="8:8" x14ac:dyDescent="0.25">
      <c r="H3820" s="134"/>
    </row>
    <row r="3821" spans="8:8" x14ac:dyDescent="0.25">
      <c r="H3821" s="134"/>
    </row>
    <row r="3822" spans="8:8" x14ac:dyDescent="0.25">
      <c r="H3822" s="134"/>
    </row>
    <row r="3823" spans="8:8" x14ac:dyDescent="0.25">
      <c r="H3823" s="134"/>
    </row>
    <row r="3824" spans="8:8" x14ac:dyDescent="0.25">
      <c r="H3824" s="134"/>
    </row>
    <row r="3825" spans="8:8" x14ac:dyDescent="0.25">
      <c r="H3825" s="134"/>
    </row>
    <row r="3826" spans="8:8" x14ac:dyDescent="0.25">
      <c r="H3826" s="134"/>
    </row>
    <row r="3827" spans="8:8" x14ac:dyDescent="0.25">
      <c r="H3827" s="134"/>
    </row>
    <row r="3828" spans="8:8" x14ac:dyDescent="0.25">
      <c r="H3828" s="134"/>
    </row>
    <row r="3829" spans="8:8" x14ac:dyDescent="0.25">
      <c r="H3829" s="134"/>
    </row>
    <row r="3830" spans="8:8" x14ac:dyDescent="0.25">
      <c r="H3830" s="134"/>
    </row>
    <row r="3831" spans="8:8" x14ac:dyDescent="0.25">
      <c r="H3831" s="134"/>
    </row>
    <row r="3832" spans="8:8" x14ac:dyDescent="0.25">
      <c r="H3832" s="134"/>
    </row>
    <row r="3833" spans="8:8" x14ac:dyDescent="0.25">
      <c r="H3833" s="134"/>
    </row>
    <row r="3834" spans="8:8" x14ac:dyDescent="0.25">
      <c r="H3834" s="134"/>
    </row>
    <row r="3835" spans="8:8" x14ac:dyDescent="0.25">
      <c r="H3835" s="134"/>
    </row>
    <row r="3836" spans="8:8" x14ac:dyDescent="0.25">
      <c r="H3836" s="134"/>
    </row>
    <row r="3837" spans="8:8" x14ac:dyDescent="0.25">
      <c r="H3837" s="134"/>
    </row>
    <row r="3838" spans="8:8" x14ac:dyDescent="0.25">
      <c r="H3838" s="134"/>
    </row>
    <row r="3839" spans="8:8" x14ac:dyDescent="0.25">
      <c r="H3839" s="134"/>
    </row>
    <row r="3840" spans="8:8" x14ac:dyDescent="0.25">
      <c r="H3840" s="134"/>
    </row>
    <row r="3841" spans="8:8" x14ac:dyDescent="0.25">
      <c r="H3841" s="134"/>
    </row>
    <row r="3842" spans="8:8" x14ac:dyDescent="0.25">
      <c r="H3842" s="134"/>
    </row>
    <row r="3843" spans="8:8" x14ac:dyDescent="0.25">
      <c r="H3843" s="134"/>
    </row>
    <row r="3844" spans="8:8" x14ac:dyDescent="0.25">
      <c r="H3844" s="134"/>
    </row>
    <row r="3845" spans="8:8" x14ac:dyDescent="0.25">
      <c r="H3845" s="134"/>
    </row>
    <row r="3846" spans="8:8" x14ac:dyDescent="0.25">
      <c r="H3846" s="134"/>
    </row>
    <row r="3847" spans="8:8" x14ac:dyDescent="0.25">
      <c r="H3847" s="134"/>
    </row>
    <row r="3848" spans="8:8" x14ac:dyDescent="0.25">
      <c r="H3848" s="134"/>
    </row>
    <row r="3849" spans="8:8" x14ac:dyDescent="0.25">
      <c r="H3849" s="134"/>
    </row>
    <row r="3850" spans="8:8" x14ac:dyDescent="0.25">
      <c r="H3850" s="134"/>
    </row>
    <row r="3851" spans="8:8" x14ac:dyDescent="0.25">
      <c r="H3851" s="134"/>
    </row>
    <row r="3852" spans="8:8" x14ac:dyDescent="0.25">
      <c r="H3852" s="134"/>
    </row>
    <row r="3853" spans="8:8" x14ac:dyDescent="0.25">
      <c r="H3853" s="134"/>
    </row>
    <row r="3854" spans="8:8" x14ac:dyDescent="0.25">
      <c r="H3854" s="134"/>
    </row>
    <row r="3855" spans="8:8" x14ac:dyDescent="0.25">
      <c r="H3855" s="134"/>
    </row>
    <row r="3856" spans="8:8" x14ac:dyDescent="0.25">
      <c r="H3856" s="134"/>
    </row>
    <row r="3857" spans="8:8" x14ac:dyDescent="0.25">
      <c r="H3857" s="134"/>
    </row>
    <row r="3858" spans="8:8" x14ac:dyDescent="0.25">
      <c r="H3858" s="134"/>
    </row>
    <row r="3859" spans="8:8" x14ac:dyDescent="0.25">
      <c r="H3859" s="134"/>
    </row>
    <row r="3860" spans="8:8" x14ac:dyDescent="0.25">
      <c r="H3860" s="134"/>
    </row>
    <row r="3861" spans="8:8" x14ac:dyDescent="0.25">
      <c r="H3861" s="134"/>
    </row>
    <row r="3862" spans="8:8" x14ac:dyDescent="0.25">
      <c r="H3862" s="134"/>
    </row>
    <row r="3863" spans="8:8" x14ac:dyDescent="0.25">
      <c r="H3863" s="134"/>
    </row>
    <row r="3864" spans="8:8" x14ac:dyDescent="0.25">
      <c r="H3864" s="134"/>
    </row>
    <row r="3865" spans="8:8" x14ac:dyDescent="0.25">
      <c r="H3865" s="134"/>
    </row>
    <row r="3866" spans="8:8" x14ac:dyDescent="0.25">
      <c r="H3866" s="134"/>
    </row>
    <row r="3867" spans="8:8" x14ac:dyDescent="0.25">
      <c r="H3867" s="134"/>
    </row>
    <row r="3868" spans="8:8" x14ac:dyDescent="0.25">
      <c r="H3868" s="134"/>
    </row>
    <row r="3869" spans="8:8" x14ac:dyDescent="0.25">
      <c r="H3869" s="134"/>
    </row>
    <row r="3870" spans="8:8" x14ac:dyDescent="0.25">
      <c r="H3870" s="134"/>
    </row>
    <row r="3871" spans="8:8" x14ac:dyDescent="0.25">
      <c r="H3871" s="134"/>
    </row>
    <row r="3872" spans="8:8" x14ac:dyDescent="0.25">
      <c r="H3872" s="134"/>
    </row>
    <row r="3873" spans="8:8" x14ac:dyDescent="0.25">
      <c r="H3873" s="134"/>
    </row>
    <row r="3874" spans="8:8" x14ac:dyDescent="0.25">
      <c r="H3874" s="134"/>
    </row>
    <row r="3875" spans="8:8" x14ac:dyDescent="0.25">
      <c r="H3875" s="134"/>
    </row>
    <row r="3876" spans="8:8" x14ac:dyDescent="0.25">
      <c r="H3876" s="134"/>
    </row>
    <row r="3877" spans="8:8" x14ac:dyDescent="0.25">
      <c r="H3877" s="134"/>
    </row>
    <row r="3878" spans="8:8" x14ac:dyDescent="0.25">
      <c r="H3878" s="134"/>
    </row>
    <row r="3879" spans="8:8" x14ac:dyDescent="0.25">
      <c r="H3879" s="134"/>
    </row>
    <row r="3880" spans="8:8" x14ac:dyDescent="0.25">
      <c r="H3880" s="134"/>
    </row>
    <row r="3881" spans="8:8" x14ac:dyDescent="0.25">
      <c r="H3881" s="134"/>
    </row>
    <row r="3882" spans="8:8" x14ac:dyDescent="0.25">
      <c r="H3882" s="134"/>
    </row>
    <row r="3883" spans="8:8" x14ac:dyDescent="0.25">
      <c r="H3883" s="134"/>
    </row>
    <row r="3884" spans="8:8" x14ac:dyDescent="0.25">
      <c r="H3884" s="134"/>
    </row>
    <row r="3885" spans="8:8" x14ac:dyDescent="0.25">
      <c r="H3885" s="134"/>
    </row>
    <row r="3886" spans="8:8" x14ac:dyDescent="0.25">
      <c r="H3886" s="134"/>
    </row>
    <row r="3887" spans="8:8" x14ac:dyDescent="0.25">
      <c r="H3887" s="134"/>
    </row>
    <row r="3888" spans="8:8" x14ac:dyDescent="0.25">
      <c r="H3888" s="134"/>
    </row>
    <row r="3889" spans="8:8" x14ac:dyDescent="0.25">
      <c r="H3889" s="134"/>
    </row>
    <row r="3890" spans="8:8" x14ac:dyDescent="0.25">
      <c r="H3890" s="134"/>
    </row>
    <row r="3891" spans="8:8" x14ac:dyDescent="0.25">
      <c r="H3891" s="134"/>
    </row>
    <row r="3892" spans="8:8" x14ac:dyDescent="0.25">
      <c r="H3892" s="134"/>
    </row>
    <row r="3893" spans="8:8" x14ac:dyDescent="0.25">
      <c r="H3893" s="134"/>
    </row>
    <row r="3894" spans="8:8" x14ac:dyDescent="0.25">
      <c r="H3894" s="134"/>
    </row>
    <row r="3895" spans="8:8" x14ac:dyDescent="0.25">
      <c r="H3895" s="134"/>
    </row>
    <row r="3896" spans="8:8" x14ac:dyDescent="0.25">
      <c r="H3896" s="134"/>
    </row>
    <row r="3897" spans="8:8" x14ac:dyDescent="0.25">
      <c r="H3897" s="134"/>
    </row>
    <row r="3898" spans="8:8" x14ac:dyDescent="0.25">
      <c r="H3898" s="134"/>
    </row>
    <row r="3899" spans="8:8" x14ac:dyDescent="0.25">
      <c r="H3899" s="134"/>
    </row>
    <row r="3900" spans="8:8" x14ac:dyDescent="0.25">
      <c r="H3900" s="134"/>
    </row>
    <row r="3901" spans="8:8" x14ac:dyDescent="0.25">
      <c r="H3901" s="134"/>
    </row>
    <row r="3902" spans="8:8" x14ac:dyDescent="0.25">
      <c r="H3902" s="134"/>
    </row>
    <row r="3903" spans="8:8" x14ac:dyDescent="0.25">
      <c r="H3903" s="134"/>
    </row>
    <row r="3904" spans="8:8" x14ac:dyDescent="0.25">
      <c r="H3904" s="134"/>
    </row>
    <row r="3905" spans="8:8" x14ac:dyDescent="0.25">
      <c r="H3905" s="134"/>
    </row>
    <row r="3906" spans="8:8" x14ac:dyDescent="0.25">
      <c r="H3906" s="134"/>
    </row>
    <row r="3907" spans="8:8" x14ac:dyDescent="0.25">
      <c r="H3907" s="134"/>
    </row>
    <row r="3908" spans="8:8" x14ac:dyDescent="0.25">
      <c r="H3908" s="134"/>
    </row>
    <row r="3909" spans="8:8" x14ac:dyDescent="0.25">
      <c r="H3909" s="134"/>
    </row>
    <row r="3910" spans="8:8" x14ac:dyDescent="0.25">
      <c r="H3910" s="134"/>
    </row>
    <row r="3911" spans="8:8" x14ac:dyDescent="0.25">
      <c r="H3911" s="134"/>
    </row>
    <row r="3912" spans="8:8" x14ac:dyDescent="0.25">
      <c r="H3912" s="134"/>
    </row>
    <row r="3913" spans="8:8" x14ac:dyDescent="0.25">
      <c r="H3913" s="134"/>
    </row>
    <row r="3914" spans="8:8" x14ac:dyDescent="0.25">
      <c r="H3914" s="134"/>
    </row>
    <row r="3915" spans="8:8" x14ac:dyDescent="0.25">
      <c r="H3915" s="134"/>
    </row>
    <row r="3916" spans="8:8" x14ac:dyDescent="0.25">
      <c r="H3916" s="134"/>
    </row>
    <row r="3917" spans="8:8" x14ac:dyDescent="0.25">
      <c r="H3917" s="134"/>
    </row>
    <row r="3918" spans="8:8" x14ac:dyDescent="0.25">
      <c r="H3918" s="134"/>
    </row>
    <row r="3919" spans="8:8" x14ac:dyDescent="0.25">
      <c r="H3919" s="134"/>
    </row>
    <row r="3920" spans="8:8" x14ac:dyDescent="0.25">
      <c r="H3920" s="134"/>
    </row>
    <row r="3921" spans="8:8" x14ac:dyDescent="0.25">
      <c r="H3921" s="134"/>
    </row>
    <row r="3922" spans="8:8" x14ac:dyDescent="0.25">
      <c r="H3922" s="134"/>
    </row>
    <row r="3923" spans="8:8" x14ac:dyDescent="0.25">
      <c r="H3923" s="134"/>
    </row>
    <row r="3924" spans="8:8" x14ac:dyDescent="0.25">
      <c r="H3924" s="134"/>
    </row>
    <row r="3925" spans="8:8" x14ac:dyDescent="0.25">
      <c r="H3925" s="134"/>
    </row>
    <row r="3926" spans="8:8" x14ac:dyDescent="0.25">
      <c r="H3926" s="134"/>
    </row>
    <row r="3927" spans="8:8" x14ac:dyDescent="0.25">
      <c r="H3927" s="134"/>
    </row>
    <row r="3928" spans="8:8" x14ac:dyDescent="0.25">
      <c r="H3928" s="134"/>
    </row>
    <row r="3929" spans="8:8" x14ac:dyDescent="0.25">
      <c r="H3929" s="134"/>
    </row>
    <row r="3930" spans="8:8" x14ac:dyDescent="0.25">
      <c r="H3930" s="134"/>
    </row>
    <row r="3931" spans="8:8" x14ac:dyDescent="0.25">
      <c r="H3931" s="134"/>
    </row>
    <row r="3932" spans="8:8" x14ac:dyDescent="0.25">
      <c r="H3932" s="134"/>
    </row>
    <row r="3933" spans="8:8" x14ac:dyDescent="0.25">
      <c r="H3933" s="134"/>
    </row>
    <row r="3934" spans="8:8" x14ac:dyDescent="0.25">
      <c r="H3934" s="134"/>
    </row>
    <row r="3935" spans="8:8" x14ac:dyDescent="0.25">
      <c r="H3935" s="134"/>
    </row>
    <row r="3936" spans="8:8" x14ac:dyDescent="0.25">
      <c r="H3936" s="134"/>
    </row>
    <row r="3937" spans="8:8" x14ac:dyDescent="0.25">
      <c r="H3937" s="134"/>
    </row>
    <row r="3938" spans="8:8" x14ac:dyDescent="0.25">
      <c r="H3938" s="134"/>
    </row>
    <row r="3939" spans="8:8" x14ac:dyDescent="0.25">
      <c r="H3939" s="134"/>
    </row>
    <row r="3940" spans="8:8" x14ac:dyDescent="0.25">
      <c r="H3940" s="134"/>
    </row>
    <row r="3941" spans="8:8" x14ac:dyDescent="0.25">
      <c r="H3941" s="134"/>
    </row>
    <row r="3942" spans="8:8" x14ac:dyDescent="0.25">
      <c r="H3942" s="134"/>
    </row>
    <row r="3943" spans="8:8" x14ac:dyDescent="0.25">
      <c r="H3943" s="134"/>
    </row>
    <row r="3944" spans="8:8" x14ac:dyDescent="0.25">
      <c r="H3944" s="134"/>
    </row>
    <row r="3945" spans="8:8" x14ac:dyDescent="0.25">
      <c r="H3945" s="134"/>
    </row>
    <row r="3946" spans="8:8" x14ac:dyDescent="0.25">
      <c r="H3946" s="134"/>
    </row>
    <row r="3947" spans="8:8" x14ac:dyDescent="0.25">
      <c r="H3947" s="134"/>
    </row>
    <row r="3948" spans="8:8" x14ac:dyDescent="0.25">
      <c r="H3948" s="134"/>
    </row>
    <row r="3949" spans="8:8" x14ac:dyDescent="0.25">
      <c r="H3949" s="134"/>
    </row>
    <row r="3950" spans="8:8" x14ac:dyDescent="0.25">
      <c r="H3950" s="134"/>
    </row>
    <row r="3951" spans="8:8" x14ac:dyDescent="0.25">
      <c r="H3951" s="134"/>
    </row>
    <row r="3952" spans="8:8" x14ac:dyDescent="0.25">
      <c r="H3952" s="134"/>
    </row>
    <row r="3953" spans="8:8" x14ac:dyDescent="0.25">
      <c r="H3953" s="134"/>
    </row>
    <row r="3954" spans="8:8" x14ac:dyDescent="0.25">
      <c r="H3954" s="134"/>
    </row>
    <row r="3955" spans="8:8" x14ac:dyDescent="0.25">
      <c r="H3955" s="134"/>
    </row>
    <row r="3956" spans="8:8" x14ac:dyDescent="0.25">
      <c r="H3956" s="134"/>
    </row>
    <row r="3957" spans="8:8" x14ac:dyDescent="0.25">
      <c r="H3957" s="134"/>
    </row>
    <row r="3958" spans="8:8" x14ac:dyDescent="0.25">
      <c r="H3958" s="134"/>
    </row>
    <row r="3959" spans="8:8" x14ac:dyDescent="0.25">
      <c r="H3959" s="134"/>
    </row>
    <row r="3960" spans="8:8" x14ac:dyDescent="0.25">
      <c r="H3960" s="134"/>
    </row>
    <row r="3961" spans="8:8" x14ac:dyDescent="0.25">
      <c r="H3961" s="134"/>
    </row>
    <row r="3962" spans="8:8" x14ac:dyDescent="0.25">
      <c r="H3962" s="134"/>
    </row>
    <row r="3963" spans="8:8" x14ac:dyDescent="0.25">
      <c r="H3963" s="134"/>
    </row>
    <row r="3964" spans="8:8" x14ac:dyDescent="0.25">
      <c r="H3964" s="134"/>
    </row>
    <row r="3965" spans="8:8" x14ac:dyDescent="0.25">
      <c r="H3965" s="134"/>
    </row>
    <row r="3966" spans="8:8" x14ac:dyDescent="0.25">
      <c r="H3966" s="134"/>
    </row>
    <row r="3967" spans="8:8" x14ac:dyDescent="0.25">
      <c r="H3967" s="134"/>
    </row>
    <row r="3968" spans="8:8" x14ac:dyDescent="0.25">
      <c r="H3968" s="134"/>
    </row>
    <row r="3969" spans="8:8" x14ac:dyDescent="0.25">
      <c r="H3969" s="134"/>
    </row>
    <row r="3970" spans="8:8" x14ac:dyDescent="0.25">
      <c r="H3970" s="134"/>
    </row>
    <row r="3971" spans="8:8" x14ac:dyDescent="0.25">
      <c r="H3971" s="134"/>
    </row>
    <row r="3972" spans="8:8" x14ac:dyDescent="0.25">
      <c r="H3972" s="134"/>
    </row>
    <row r="3973" spans="8:8" x14ac:dyDescent="0.25">
      <c r="H3973" s="134"/>
    </row>
    <row r="3974" spans="8:8" x14ac:dyDescent="0.25">
      <c r="H3974" s="134"/>
    </row>
    <row r="3975" spans="8:8" x14ac:dyDescent="0.25">
      <c r="H3975" s="134"/>
    </row>
    <row r="3976" spans="8:8" x14ac:dyDescent="0.25">
      <c r="H3976" s="134"/>
    </row>
    <row r="3977" spans="8:8" x14ac:dyDescent="0.25">
      <c r="H3977" s="134"/>
    </row>
    <row r="3978" spans="8:8" x14ac:dyDescent="0.25">
      <c r="H3978" s="134"/>
    </row>
    <row r="3979" spans="8:8" x14ac:dyDescent="0.25">
      <c r="H3979" s="134"/>
    </row>
    <row r="3980" spans="8:8" x14ac:dyDescent="0.25">
      <c r="H3980" s="134"/>
    </row>
    <row r="3981" spans="8:8" x14ac:dyDescent="0.25">
      <c r="H3981" s="134"/>
    </row>
    <row r="3982" spans="8:8" x14ac:dyDescent="0.25">
      <c r="H3982" s="134"/>
    </row>
    <row r="3983" spans="8:8" x14ac:dyDescent="0.25">
      <c r="H3983" s="134"/>
    </row>
    <row r="3984" spans="8:8" x14ac:dyDescent="0.25">
      <c r="H3984" s="134"/>
    </row>
    <row r="3985" spans="8:8" x14ac:dyDescent="0.25">
      <c r="H3985" s="134"/>
    </row>
    <row r="3986" spans="8:8" x14ac:dyDescent="0.25">
      <c r="H3986" s="134"/>
    </row>
    <row r="3987" spans="8:8" x14ac:dyDescent="0.25">
      <c r="H3987" s="134"/>
    </row>
    <row r="3988" spans="8:8" x14ac:dyDescent="0.25">
      <c r="H3988" s="134"/>
    </row>
    <row r="3989" spans="8:8" x14ac:dyDescent="0.25">
      <c r="H3989" s="134"/>
    </row>
    <row r="3990" spans="8:8" x14ac:dyDescent="0.25">
      <c r="H3990" s="134"/>
    </row>
    <row r="3991" spans="8:8" x14ac:dyDescent="0.25">
      <c r="H3991" s="134"/>
    </row>
    <row r="3992" spans="8:8" x14ac:dyDescent="0.25">
      <c r="H3992" s="134"/>
    </row>
    <row r="3993" spans="8:8" x14ac:dyDescent="0.25">
      <c r="H3993" s="134"/>
    </row>
    <row r="3994" spans="8:8" x14ac:dyDescent="0.25">
      <c r="H3994" s="134"/>
    </row>
    <row r="3995" spans="8:8" x14ac:dyDescent="0.25">
      <c r="H3995" s="134"/>
    </row>
    <row r="3996" spans="8:8" x14ac:dyDescent="0.25">
      <c r="H3996" s="134"/>
    </row>
    <row r="3997" spans="8:8" x14ac:dyDescent="0.25">
      <c r="H3997" s="134"/>
    </row>
    <row r="3998" spans="8:8" x14ac:dyDescent="0.25">
      <c r="H3998" s="134"/>
    </row>
    <row r="3999" spans="8:8" x14ac:dyDescent="0.25">
      <c r="H3999" s="134"/>
    </row>
    <row r="4000" spans="8:8" x14ac:dyDescent="0.25">
      <c r="H4000" s="134"/>
    </row>
    <row r="4001" spans="8:8" x14ac:dyDescent="0.25">
      <c r="H4001" s="134"/>
    </row>
    <row r="4002" spans="8:8" x14ac:dyDescent="0.25">
      <c r="H4002" s="134"/>
    </row>
    <row r="4003" spans="8:8" x14ac:dyDescent="0.25">
      <c r="H4003" s="134"/>
    </row>
    <row r="4004" spans="8:8" x14ac:dyDescent="0.25">
      <c r="H4004" s="134"/>
    </row>
    <row r="4005" spans="8:8" x14ac:dyDescent="0.25">
      <c r="H4005" s="134"/>
    </row>
    <row r="4006" spans="8:8" x14ac:dyDescent="0.25">
      <c r="H4006" s="134"/>
    </row>
    <row r="4007" spans="8:8" x14ac:dyDescent="0.25">
      <c r="H4007" s="134"/>
    </row>
    <row r="4008" spans="8:8" x14ac:dyDescent="0.25">
      <c r="H4008" s="134"/>
    </row>
    <row r="4009" spans="8:8" x14ac:dyDescent="0.25">
      <c r="H4009" s="134"/>
    </row>
    <row r="4010" spans="8:8" x14ac:dyDescent="0.25">
      <c r="H4010" s="134"/>
    </row>
    <row r="4011" spans="8:8" x14ac:dyDescent="0.25">
      <c r="H4011" s="134"/>
    </row>
    <row r="4012" spans="8:8" x14ac:dyDescent="0.25">
      <c r="H4012" s="134"/>
    </row>
    <row r="4013" spans="8:8" x14ac:dyDescent="0.25">
      <c r="H4013" s="134"/>
    </row>
    <row r="4014" spans="8:8" x14ac:dyDescent="0.25">
      <c r="H4014" s="134"/>
    </row>
    <row r="4015" spans="8:8" x14ac:dyDescent="0.25">
      <c r="H4015" s="134"/>
    </row>
    <row r="4016" spans="8:8" x14ac:dyDescent="0.25">
      <c r="H4016" s="134"/>
    </row>
    <row r="4017" spans="8:8" x14ac:dyDescent="0.25">
      <c r="H4017" s="134"/>
    </row>
    <row r="4018" spans="8:8" x14ac:dyDescent="0.25">
      <c r="H4018" s="134"/>
    </row>
    <row r="4019" spans="8:8" x14ac:dyDescent="0.25">
      <c r="H4019" s="134"/>
    </row>
    <row r="4020" spans="8:8" x14ac:dyDescent="0.25">
      <c r="H4020" s="134"/>
    </row>
    <row r="4021" spans="8:8" x14ac:dyDescent="0.25">
      <c r="H4021" s="134"/>
    </row>
    <row r="4022" spans="8:8" x14ac:dyDescent="0.25">
      <c r="H4022" s="134"/>
    </row>
    <row r="4023" spans="8:8" x14ac:dyDescent="0.25">
      <c r="H4023" s="134"/>
    </row>
    <row r="4024" spans="8:8" x14ac:dyDescent="0.25">
      <c r="H4024" s="134"/>
    </row>
    <row r="4025" spans="8:8" x14ac:dyDescent="0.25">
      <c r="H4025" s="134"/>
    </row>
    <row r="4026" spans="8:8" x14ac:dyDescent="0.25">
      <c r="H4026" s="134"/>
    </row>
    <row r="4027" spans="8:8" x14ac:dyDescent="0.25">
      <c r="H4027" s="134"/>
    </row>
    <row r="4028" spans="8:8" x14ac:dyDescent="0.25">
      <c r="H4028" s="134"/>
    </row>
    <row r="4029" spans="8:8" x14ac:dyDescent="0.25">
      <c r="H4029" s="134"/>
    </row>
    <row r="4030" spans="8:8" x14ac:dyDescent="0.25">
      <c r="H4030" s="134"/>
    </row>
    <row r="4031" spans="8:8" x14ac:dyDescent="0.25">
      <c r="H4031" s="134"/>
    </row>
    <row r="4032" spans="8:8" x14ac:dyDescent="0.25">
      <c r="H4032" s="134"/>
    </row>
    <row r="4033" spans="8:8" x14ac:dyDescent="0.25">
      <c r="H4033" s="134"/>
    </row>
    <row r="4034" spans="8:8" x14ac:dyDescent="0.25">
      <c r="H4034" s="134"/>
    </row>
    <row r="4035" spans="8:8" x14ac:dyDescent="0.25">
      <c r="H4035" s="134"/>
    </row>
    <row r="4036" spans="8:8" x14ac:dyDescent="0.25">
      <c r="H4036" s="134"/>
    </row>
    <row r="4037" spans="8:8" x14ac:dyDescent="0.25">
      <c r="H4037" s="134"/>
    </row>
    <row r="4038" spans="8:8" x14ac:dyDescent="0.25">
      <c r="H4038" s="134"/>
    </row>
    <row r="4039" spans="8:8" x14ac:dyDescent="0.25">
      <c r="H4039" s="134"/>
    </row>
    <row r="4040" spans="8:8" x14ac:dyDescent="0.25">
      <c r="H4040" s="134"/>
    </row>
    <row r="4041" spans="8:8" x14ac:dyDescent="0.25">
      <c r="H4041" s="134"/>
    </row>
    <row r="4042" spans="8:8" x14ac:dyDescent="0.25">
      <c r="H4042" s="134"/>
    </row>
    <row r="4043" spans="8:8" x14ac:dyDescent="0.25">
      <c r="H4043" s="134"/>
    </row>
    <row r="4044" spans="8:8" x14ac:dyDescent="0.25">
      <c r="H4044" s="134"/>
    </row>
    <row r="4045" spans="8:8" x14ac:dyDescent="0.25">
      <c r="H4045" s="134"/>
    </row>
    <row r="4046" spans="8:8" x14ac:dyDescent="0.25">
      <c r="H4046" s="134"/>
    </row>
    <row r="4047" spans="8:8" x14ac:dyDescent="0.25">
      <c r="H4047" s="134"/>
    </row>
    <row r="4048" spans="8:8" x14ac:dyDescent="0.25">
      <c r="H4048" s="134"/>
    </row>
    <row r="4049" spans="8:8" x14ac:dyDescent="0.25">
      <c r="H4049" s="134"/>
    </row>
    <row r="4050" spans="8:8" x14ac:dyDescent="0.25">
      <c r="H4050" s="134"/>
    </row>
    <row r="4051" spans="8:8" x14ac:dyDescent="0.25">
      <c r="H4051" s="134"/>
    </row>
    <row r="4052" spans="8:8" x14ac:dyDescent="0.25">
      <c r="H4052" s="134"/>
    </row>
    <row r="4053" spans="8:8" x14ac:dyDescent="0.25">
      <c r="H4053" s="134"/>
    </row>
    <row r="4054" spans="8:8" x14ac:dyDescent="0.25">
      <c r="H4054" s="134"/>
    </row>
    <row r="4055" spans="8:8" x14ac:dyDescent="0.25">
      <c r="H4055" s="134"/>
    </row>
    <row r="4056" spans="8:8" x14ac:dyDescent="0.25">
      <c r="H4056" s="134"/>
    </row>
    <row r="4057" spans="8:8" x14ac:dyDescent="0.25">
      <c r="H4057" s="134"/>
    </row>
    <row r="4058" spans="8:8" x14ac:dyDescent="0.25">
      <c r="H4058" s="134"/>
    </row>
    <row r="4059" spans="8:8" x14ac:dyDescent="0.25">
      <c r="H4059" s="134"/>
    </row>
    <row r="4060" spans="8:8" x14ac:dyDescent="0.25">
      <c r="H4060" s="134"/>
    </row>
    <row r="4061" spans="8:8" x14ac:dyDescent="0.25">
      <c r="H4061" s="134"/>
    </row>
    <row r="4062" spans="8:8" x14ac:dyDescent="0.25">
      <c r="H4062" s="134"/>
    </row>
    <row r="4063" spans="8:8" x14ac:dyDescent="0.25">
      <c r="H4063" s="134"/>
    </row>
    <row r="4064" spans="8:8" x14ac:dyDescent="0.25">
      <c r="H4064" s="134"/>
    </row>
    <row r="4065" spans="8:8" x14ac:dyDescent="0.25">
      <c r="H4065" s="134"/>
    </row>
    <row r="4066" spans="8:8" x14ac:dyDescent="0.25">
      <c r="H4066" s="134"/>
    </row>
    <row r="4067" spans="8:8" x14ac:dyDescent="0.25">
      <c r="H4067" s="134"/>
    </row>
    <row r="4068" spans="8:8" x14ac:dyDescent="0.25">
      <c r="H4068" s="134"/>
    </row>
    <row r="4069" spans="8:8" x14ac:dyDescent="0.25">
      <c r="H4069" s="134"/>
    </row>
    <row r="4070" spans="8:8" x14ac:dyDescent="0.25">
      <c r="H4070" s="134"/>
    </row>
    <row r="4071" spans="8:8" x14ac:dyDescent="0.25">
      <c r="H4071" s="134"/>
    </row>
    <row r="4072" spans="8:8" x14ac:dyDescent="0.25">
      <c r="H4072" s="134"/>
    </row>
    <row r="4073" spans="8:8" x14ac:dyDescent="0.25">
      <c r="H4073" s="134"/>
    </row>
    <row r="4074" spans="8:8" x14ac:dyDescent="0.25">
      <c r="H4074" s="134"/>
    </row>
    <row r="4075" spans="8:8" x14ac:dyDescent="0.25">
      <c r="H4075" s="134"/>
    </row>
    <row r="4076" spans="8:8" x14ac:dyDescent="0.25">
      <c r="H4076" s="134"/>
    </row>
    <row r="4077" spans="8:8" x14ac:dyDescent="0.25">
      <c r="H4077" s="134"/>
    </row>
    <row r="4078" spans="8:8" x14ac:dyDescent="0.25">
      <c r="H4078" s="134"/>
    </row>
    <row r="4079" spans="8:8" x14ac:dyDescent="0.25">
      <c r="H4079" s="134"/>
    </row>
    <row r="4080" spans="8:8" x14ac:dyDescent="0.25">
      <c r="H4080" s="134"/>
    </row>
    <row r="4081" spans="8:8" x14ac:dyDescent="0.25">
      <c r="H4081" s="134"/>
    </row>
    <row r="4082" spans="8:8" x14ac:dyDescent="0.25">
      <c r="H4082" s="134"/>
    </row>
    <row r="4083" spans="8:8" x14ac:dyDescent="0.25">
      <c r="H4083" s="134"/>
    </row>
    <row r="4084" spans="8:8" x14ac:dyDescent="0.25">
      <c r="H4084" s="134"/>
    </row>
    <row r="4085" spans="8:8" x14ac:dyDescent="0.25">
      <c r="H4085" s="134"/>
    </row>
    <row r="4086" spans="8:8" x14ac:dyDescent="0.25">
      <c r="H4086" s="134"/>
    </row>
    <row r="4087" spans="8:8" x14ac:dyDescent="0.25">
      <c r="H4087" s="134"/>
    </row>
    <row r="4088" spans="8:8" x14ac:dyDescent="0.25">
      <c r="H4088" s="134"/>
    </row>
    <row r="4089" spans="8:8" x14ac:dyDescent="0.25">
      <c r="H4089" s="134"/>
    </row>
    <row r="4090" spans="8:8" x14ac:dyDescent="0.25">
      <c r="H4090" s="134"/>
    </row>
    <row r="4091" spans="8:8" x14ac:dyDescent="0.25">
      <c r="H4091" s="134"/>
    </row>
    <row r="4092" spans="8:8" x14ac:dyDescent="0.25">
      <c r="H4092" s="134"/>
    </row>
    <row r="4093" spans="8:8" x14ac:dyDescent="0.25">
      <c r="H4093" s="134"/>
    </row>
    <row r="4094" spans="8:8" x14ac:dyDescent="0.25">
      <c r="H4094" s="134"/>
    </row>
    <row r="4095" spans="8:8" x14ac:dyDescent="0.25">
      <c r="H4095" s="134"/>
    </row>
    <row r="4096" spans="8:8" x14ac:dyDescent="0.25">
      <c r="H4096" s="134"/>
    </row>
    <row r="4097" spans="8:8" x14ac:dyDescent="0.25">
      <c r="H4097" s="134"/>
    </row>
    <row r="4098" spans="8:8" x14ac:dyDescent="0.25">
      <c r="H4098" s="134"/>
    </row>
    <row r="4099" spans="8:8" x14ac:dyDescent="0.25">
      <c r="H4099" s="134"/>
    </row>
    <row r="4100" spans="8:8" x14ac:dyDescent="0.25">
      <c r="H4100" s="134"/>
    </row>
    <row r="4101" spans="8:8" x14ac:dyDescent="0.25">
      <c r="H4101" s="134"/>
    </row>
    <row r="4102" spans="8:8" x14ac:dyDescent="0.25">
      <c r="H4102" s="134"/>
    </row>
    <row r="4103" spans="8:8" x14ac:dyDescent="0.25">
      <c r="H4103" s="134"/>
    </row>
    <row r="4104" spans="8:8" x14ac:dyDescent="0.25">
      <c r="H4104" s="134"/>
    </row>
    <row r="4105" spans="8:8" x14ac:dyDescent="0.25">
      <c r="H4105" s="134"/>
    </row>
    <row r="4106" spans="8:8" x14ac:dyDescent="0.25">
      <c r="H4106" s="134"/>
    </row>
    <row r="4107" spans="8:8" x14ac:dyDescent="0.25">
      <c r="H4107" s="134"/>
    </row>
    <row r="4108" spans="8:8" x14ac:dyDescent="0.25">
      <c r="H4108" s="134"/>
    </row>
    <row r="4109" spans="8:8" x14ac:dyDescent="0.25">
      <c r="H4109" s="134"/>
    </row>
    <row r="4110" spans="8:8" x14ac:dyDescent="0.25">
      <c r="H4110" s="134"/>
    </row>
    <row r="4111" spans="8:8" x14ac:dyDescent="0.25">
      <c r="H4111" s="134"/>
    </row>
    <row r="4112" spans="8:8" x14ac:dyDescent="0.25">
      <c r="H4112" s="134"/>
    </row>
    <row r="4113" spans="8:8" x14ac:dyDescent="0.25">
      <c r="H4113" s="134"/>
    </row>
    <row r="4114" spans="8:8" x14ac:dyDescent="0.25">
      <c r="H4114" s="134"/>
    </row>
    <row r="4115" spans="8:8" x14ac:dyDescent="0.25">
      <c r="H4115" s="134"/>
    </row>
    <row r="4116" spans="8:8" x14ac:dyDescent="0.25">
      <c r="H4116" s="134"/>
    </row>
    <row r="4117" spans="8:8" x14ac:dyDescent="0.25">
      <c r="H4117" s="134"/>
    </row>
    <row r="4118" spans="8:8" x14ac:dyDescent="0.25">
      <c r="H4118" s="134"/>
    </row>
    <row r="4119" spans="8:8" x14ac:dyDescent="0.25">
      <c r="H4119" s="134"/>
    </row>
    <row r="4120" spans="8:8" x14ac:dyDescent="0.25">
      <c r="H4120" s="134"/>
    </row>
    <row r="4121" spans="8:8" x14ac:dyDescent="0.25">
      <c r="H4121" s="134"/>
    </row>
    <row r="4122" spans="8:8" x14ac:dyDescent="0.25">
      <c r="H4122" s="134"/>
    </row>
    <row r="4123" spans="8:8" x14ac:dyDescent="0.25">
      <c r="H4123" s="134"/>
    </row>
    <row r="4124" spans="8:8" x14ac:dyDescent="0.25">
      <c r="H4124" s="134"/>
    </row>
    <row r="4125" spans="8:8" x14ac:dyDescent="0.25">
      <c r="H4125" s="134"/>
    </row>
    <row r="4126" spans="8:8" x14ac:dyDescent="0.25">
      <c r="H4126" s="134"/>
    </row>
    <row r="4127" spans="8:8" x14ac:dyDescent="0.25">
      <c r="H4127" s="134"/>
    </row>
    <row r="4128" spans="8:8" x14ac:dyDescent="0.25">
      <c r="H4128" s="134"/>
    </row>
    <row r="4129" spans="8:8" x14ac:dyDescent="0.25">
      <c r="H4129" s="134"/>
    </row>
    <row r="4130" spans="8:8" x14ac:dyDescent="0.25">
      <c r="H4130" s="134"/>
    </row>
    <row r="4131" spans="8:8" x14ac:dyDescent="0.25">
      <c r="H4131" s="134"/>
    </row>
    <row r="4132" spans="8:8" x14ac:dyDescent="0.25">
      <c r="H4132" s="134"/>
    </row>
    <row r="4133" spans="8:8" x14ac:dyDescent="0.25">
      <c r="H4133" s="134"/>
    </row>
    <row r="4134" spans="8:8" x14ac:dyDescent="0.25">
      <c r="H4134" s="134"/>
    </row>
    <row r="4135" spans="8:8" x14ac:dyDescent="0.25">
      <c r="H4135" s="134"/>
    </row>
    <row r="4136" spans="8:8" x14ac:dyDescent="0.25">
      <c r="H4136" s="134"/>
    </row>
    <row r="4137" spans="8:8" x14ac:dyDescent="0.25">
      <c r="H4137" s="134"/>
    </row>
    <row r="4138" spans="8:8" x14ac:dyDescent="0.25">
      <c r="H4138" s="134"/>
    </row>
    <row r="4139" spans="8:8" x14ac:dyDescent="0.25">
      <c r="H4139" s="134"/>
    </row>
    <row r="4140" spans="8:8" x14ac:dyDescent="0.25">
      <c r="H4140" s="134"/>
    </row>
    <row r="4141" spans="8:8" x14ac:dyDescent="0.25">
      <c r="H4141" s="134"/>
    </row>
    <row r="4142" spans="8:8" x14ac:dyDescent="0.25">
      <c r="H4142" s="134"/>
    </row>
    <row r="4143" spans="8:8" x14ac:dyDescent="0.25">
      <c r="H4143" s="134"/>
    </row>
    <row r="4144" spans="8:8" x14ac:dyDescent="0.25">
      <c r="H4144" s="134"/>
    </row>
    <row r="4145" spans="8:8" x14ac:dyDescent="0.25">
      <c r="H4145" s="134"/>
    </row>
    <row r="4146" spans="8:8" x14ac:dyDescent="0.25">
      <c r="H4146" s="134"/>
    </row>
    <row r="4147" spans="8:8" x14ac:dyDescent="0.25">
      <c r="H4147" s="134"/>
    </row>
    <row r="4148" spans="8:8" x14ac:dyDescent="0.25">
      <c r="H4148" s="134"/>
    </row>
    <row r="4149" spans="8:8" x14ac:dyDescent="0.25">
      <c r="H4149" s="134"/>
    </row>
    <row r="4150" spans="8:8" x14ac:dyDescent="0.25">
      <c r="H4150" s="134"/>
    </row>
    <row r="4151" spans="8:8" x14ac:dyDescent="0.25">
      <c r="H4151" s="134"/>
    </row>
    <row r="4152" spans="8:8" x14ac:dyDescent="0.25">
      <c r="H4152" s="134"/>
    </row>
    <row r="4153" spans="8:8" x14ac:dyDescent="0.25">
      <c r="H4153" s="134"/>
    </row>
    <row r="4154" spans="8:8" x14ac:dyDescent="0.25">
      <c r="H4154" s="134"/>
    </row>
    <row r="4155" spans="8:8" x14ac:dyDescent="0.25">
      <c r="H4155" s="134"/>
    </row>
    <row r="4156" spans="8:8" x14ac:dyDescent="0.25">
      <c r="H4156" s="134"/>
    </row>
    <row r="4157" spans="8:8" x14ac:dyDescent="0.25">
      <c r="H4157" s="134"/>
    </row>
    <row r="4158" spans="8:8" x14ac:dyDescent="0.25">
      <c r="H4158" s="134"/>
    </row>
    <row r="4159" spans="8:8" x14ac:dyDescent="0.25">
      <c r="H4159" s="134"/>
    </row>
    <row r="4160" spans="8:8" x14ac:dyDescent="0.25">
      <c r="H4160" s="134"/>
    </row>
    <row r="4161" spans="8:8" x14ac:dyDescent="0.25">
      <c r="H4161" s="134"/>
    </row>
    <row r="4162" spans="8:8" x14ac:dyDescent="0.25">
      <c r="H4162" s="134"/>
    </row>
    <row r="4163" spans="8:8" x14ac:dyDescent="0.25">
      <c r="H4163" s="134"/>
    </row>
    <row r="4164" spans="8:8" x14ac:dyDescent="0.25">
      <c r="H4164" s="134"/>
    </row>
    <row r="4165" spans="8:8" x14ac:dyDescent="0.25">
      <c r="H4165" s="134"/>
    </row>
    <row r="4166" spans="8:8" x14ac:dyDescent="0.25">
      <c r="H4166" s="134"/>
    </row>
    <row r="4167" spans="8:8" x14ac:dyDescent="0.25">
      <c r="H4167" s="134"/>
    </row>
    <row r="4168" spans="8:8" x14ac:dyDescent="0.25">
      <c r="H4168" s="134"/>
    </row>
    <row r="4169" spans="8:8" x14ac:dyDescent="0.25">
      <c r="H4169" s="134"/>
    </row>
    <row r="4170" spans="8:8" x14ac:dyDescent="0.25">
      <c r="H4170" s="134"/>
    </row>
    <row r="4171" spans="8:8" x14ac:dyDescent="0.25">
      <c r="H4171" s="134"/>
    </row>
    <row r="4172" spans="8:8" x14ac:dyDescent="0.25">
      <c r="H4172" s="134"/>
    </row>
    <row r="4173" spans="8:8" x14ac:dyDescent="0.25">
      <c r="H4173" s="134"/>
    </row>
    <row r="4174" spans="8:8" x14ac:dyDescent="0.25">
      <c r="H4174" s="134"/>
    </row>
    <row r="4175" spans="8:8" x14ac:dyDescent="0.25">
      <c r="H4175" s="134"/>
    </row>
    <row r="4176" spans="8:8" x14ac:dyDescent="0.25">
      <c r="H4176" s="134"/>
    </row>
    <row r="4177" spans="8:8" x14ac:dyDescent="0.25">
      <c r="H4177" s="134"/>
    </row>
    <row r="4178" spans="8:8" x14ac:dyDescent="0.25">
      <c r="H4178" s="134"/>
    </row>
    <row r="4179" spans="8:8" x14ac:dyDescent="0.25">
      <c r="H4179" s="134"/>
    </row>
    <row r="4180" spans="8:8" x14ac:dyDescent="0.25">
      <c r="H4180" s="134"/>
    </row>
    <row r="4181" spans="8:8" x14ac:dyDescent="0.25">
      <c r="H4181" s="134"/>
    </row>
    <row r="4182" spans="8:8" x14ac:dyDescent="0.25">
      <c r="H4182" s="134"/>
    </row>
    <row r="4183" spans="8:8" x14ac:dyDescent="0.25">
      <c r="H4183" s="134"/>
    </row>
    <row r="4184" spans="8:8" x14ac:dyDescent="0.25">
      <c r="H4184" s="134"/>
    </row>
    <row r="4185" spans="8:8" x14ac:dyDescent="0.25">
      <c r="H4185" s="134"/>
    </row>
    <row r="4186" spans="8:8" x14ac:dyDescent="0.25">
      <c r="H4186" s="134"/>
    </row>
    <row r="4187" spans="8:8" x14ac:dyDescent="0.25">
      <c r="H4187" s="134"/>
    </row>
    <row r="4188" spans="8:8" x14ac:dyDescent="0.25">
      <c r="H4188" s="134"/>
    </row>
    <row r="4189" spans="8:8" x14ac:dyDescent="0.25">
      <c r="H4189" s="134"/>
    </row>
    <row r="4190" spans="8:8" x14ac:dyDescent="0.25">
      <c r="H4190" s="134"/>
    </row>
    <row r="4191" spans="8:8" x14ac:dyDescent="0.25">
      <c r="H4191" s="134"/>
    </row>
    <row r="4192" spans="8:8" x14ac:dyDescent="0.25">
      <c r="H4192" s="134"/>
    </row>
    <row r="4193" spans="8:8" x14ac:dyDescent="0.25">
      <c r="H4193" s="134"/>
    </row>
    <row r="4194" spans="8:8" x14ac:dyDescent="0.25">
      <c r="H4194" s="134"/>
    </row>
    <row r="4195" spans="8:8" x14ac:dyDescent="0.25">
      <c r="H4195" s="134"/>
    </row>
    <row r="4196" spans="8:8" x14ac:dyDescent="0.25">
      <c r="H4196" s="134"/>
    </row>
    <row r="4197" spans="8:8" x14ac:dyDescent="0.25">
      <c r="H4197" s="134"/>
    </row>
    <row r="4198" spans="8:8" x14ac:dyDescent="0.25">
      <c r="H4198" s="134"/>
    </row>
    <row r="4199" spans="8:8" x14ac:dyDescent="0.25">
      <c r="H4199" s="134"/>
    </row>
    <row r="4200" spans="8:8" x14ac:dyDescent="0.25">
      <c r="H4200" s="134"/>
    </row>
    <row r="4201" spans="8:8" x14ac:dyDescent="0.25">
      <c r="H4201" s="134"/>
    </row>
    <row r="4202" spans="8:8" x14ac:dyDescent="0.25">
      <c r="H4202" s="134"/>
    </row>
    <row r="4203" spans="8:8" x14ac:dyDescent="0.25">
      <c r="H4203" s="134"/>
    </row>
    <row r="4204" spans="8:8" x14ac:dyDescent="0.25">
      <c r="H4204" s="134"/>
    </row>
    <row r="4205" spans="8:8" x14ac:dyDescent="0.25">
      <c r="H4205" s="134"/>
    </row>
    <row r="4206" spans="8:8" x14ac:dyDescent="0.25">
      <c r="H4206" s="134"/>
    </row>
    <row r="4207" spans="8:8" x14ac:dyDescent="0.25">
      <c r="H4207" s="134"/>
    </row>
    <row r="4208" spans="8:8" x14ac:dyDescent="0.25">
      <c r="H4208" s="134"/>
    </row>
    <row r="4209" spans="8:8" x14ac:dyDescent="0.25">
      <c r="H4209" s="134"/>
    </row>
    <row r="4210" spans="8:8" x14ac:dyDescent="0.25">
      <c r="H4210" s="134"/>
    </row>
    <row r="4211" spans="8:8" x14ac:dyDescent="0.25">
      <c r="H4211" s="134"/>
    </row>
    <row r="4212" spans="8:8" x14ac:dyDescent="0.25">
      <c r="H4212" s="134"/>
    </row>
    <row r="4213" spans="8:8" x14ac:dyDescent="0.25">
      <c r="H4213" s="134"/>
    </row>
    <row r="4214" spans="8:8" x14ac:dyDescent="0.25">
      <c r="H4214" s="134"/>
    </row>
    <row r="4215" spans="8:8" x14ac:dyDescent="0.25">
      <c r="H4215" s="134"/>
    </row>
    <row r="4216" spans="8:8" x14ac:dyDescent="0.25">
      <c r="H4216" s="134"/>
    </row>
    <row r="4217" spans="8:8" x14ac:dyDescent="0.25">
      <c r="H4217" s="134"/>
    </row>
    <row r="4218" spans="8:8" x14ac:dyDescent="0.25">
      <c r="H4218" s="134"/>
    </row>
    <row r="4219" spans="8:8" x14ac:dyDescent="0.25">
      <c r="H4219" s="134"/>
    </row>
    <row r="4220" spans="8:8" x14ac:dyDescent="0.25">
      <c r="H4220" s="134"/>
    </row>
    <row r="4221" spans="8:8" x14ac:dyDescent="0.25">
      <c r="H4221" s="134"/>
    </row>
    <row r="4222" spans="8:8" x14ac:dyDescent="0.25">
      <c r="H4222" s="134"/>
    </row>
    <row r="4223" spans="8:8" x14ac:dyDescent="0.25">
      <c r="H4223" s="134"/>
    </row>
    <row r="4224" spans="8:8" x14ac:dyDescent="0.25">
      <c r="H4224" s="134"/>
    </row>
    <row r="4225" spans="8:8" x14ac:dyDescent="0.25">
      <c r="H4225" s="134"/>
    </row>
    <row r="4226" spans="8:8" x14ac:dyDescent="0.25">
      <c r="H4226" s="134"/>
    </row>
    <row r="4227" spans="8:8" x14ac:dyDescent="0.25">
      <c r="H4227" s="134"/>
    </row>
    <row r="4228" spans="8:8" x14ac:dyDescent="0.25">
      <c r="H4228" s="134"/>
    </row>
    <row r="4229" spans="8:8" x14ac:dyDescent="0.25">
      <c r="H4229" s="134"/>
    </row>
    <row r="4230" spans="8:8" x14ac:dyDescent="0.25">
      <c r="H4230" s="134"/>
    </row>
    <row r="4231" spans="8:8" x14ac:dyDescent="0.25">
      <c r="H4231" s="134"/>
    </row>
    <row r="4232" spans="8:8" x14ac:dyDescent="0.25">
      <c r="H4232" s="134"/>
    </row>
    <row r="4233" spans="8:8" x14ac:dyDescent="0.25">
      <c r="H4233" s="134"/>
    </row>
    <row r="4234" spans="8:8" x14ac:dyDescent="0.25">
      <c r="H4234" s="134"/>
    </row>
    <row r="4235" spans="8:8" x14ac:dyDescent="0.25">
      <c r="H4235" s="134"/>
    </row>
    <row r="4236" spans="8:8" x14ac:dyDescent="0.25">
      <c r="H4236" s="134"/>
    </row>
    <row r="4237" spans="8:8" x14ac:dyDescent="0.25">
      <c r="H4237" s="134"/>
    </row>
    <row r="4238" spans="8:8" x14ac:dyDescent="0.25">
      <c r="H4238" s="134"/>
    </row>
    <row r="4239" spans="8:8" x14ac:dyDescent="0.25">
      <c r="H4239" s="134"/>
    </row>
    <row r="4240" spans="8:8" x14ac:dyDescent="0.25">
      <c r="H4240" s="134"/>
    </row>
    <row r="4241" spans="8:8" x14ac:dyDescent="0.25">
      <c r="H4241" s="134"/>
    </row>
    <row r="4242" spans="8:8" x14ac:dyDescent="0.25">
      <c r="H4242" s="134"/>
    </row>
    <row r="4243" spans="8:8" x14ac:dyDescent="0.25">
      <c r="H4243" s="134"/>
    </row>
    <row r="4244" spans="8:8" x14ac:dyDescent="0.25">
      <c r="H4244" s="134"/>
    </row>
    <row r="4245" spans="8:8" x14ac:dyDescent="0.25">
      <c r="H4245" s="134"/>
    </row>
    <row r="4246" spans="8:8" x14ac:dyDescent="0.25">
      <c r="H4246" s="134"/>
    </row>
    <row r="4247" spans="8:8" x14ac:dyDescent="0.25">
      <c r="H4247" s="134"/>
    </row>
    <row r="4248" spans="8:8" x14ac:dyDescent="0.25">
      <c r="H4248" s="134"/>
    </row>
    <row r="4249" spans="8:8" x14ac:dyDescent="0.25">
      <c r="H4249" s="134"/>
    </row>
    <row r="4250" spans="8:8" x14ac:dyDescent="0.25">
      <c r="H4250" s="134"/>
    </row>
    <row r="4251" spans="8:8" x14ac:dyDescent="0.25">
      <c r="H4251" s="134"/>
    </row>
    <row r="4252" spans="8:8" x14ac:dyDescent="0.25">
      <c r="H4252" s="134"/>
    </row>
    <row r="4253" spans="8:8" x14ac:dyDescent="0.25">
      <c r="H4253" s="134"/>
    </row>
    <row r="4254" spans="8:8" x14ac:dyDescent="0.25">
      <c r="H4254" s="134"/>
    </row>
    <row r="4255" spans="8:8" x14ac:dyDescent="0.25">
      <c r="H4255" s="134"/>
    </row>
    <row r="4256" spans="8:8" x14ac:dyDescent="0.25">
      <c r="H4256" s="134"/>
    </row>
    <row r="4257" spans="8:8" x14ac:dyDescent="0.25">
      <c r="H4257" s="134"/>
    </row>
    <row r="4258" spans="8:8" x14ac:dyDescent="0.25">
      <c r="H4258" s="134"/>
    </row>
    <row r="4259" spans="8:8" x14ac:dyDescent="0.25">
      <c r="H4259" s="134"/>
    </row>
    <row r="4260" spans="8:8" x14ac:dyDescent="0.25">
      <c r="H4260" s="134"/>
    </row>
    <row r="4261" spans="8:8" x14ac:dyDescent="0.25">
      <c r="H4261" s="134"/>
    </row>
    <row r="4262" spans="8:8" x14ac:dyDescent="0.25">
      <c r="H4262" s="134"/>
    </row>
    <row r="4263" spans="8:8" x14ac:dyDescent="0.25">
      <c r="H4263" s="134"/>
    </row>
    <row r="4264" spans="8:8" x14ac:dyDescent="0.25">
      <c r="H4264" s="134"/>
    </row>
    <row r="4265" spans="8:8" x14ac:dyDescent="0.25">
      <c r="H4265" s="134"/>
    </row>
    <row r="4266" spans="8:8" x14ac:dyDescent="0.25">
      <c r="H4266" s="134"/>
    </row>
    <row r="4267" spans="8:8" x14ac:dyDescent="0.25">
      <c r="H4267" s="134"/>
    </row>
    <row r="4268" spans="8:8" x14ac:dyDescent="0.25">
      <c r="H4268" s="134"/>
    </row>
    <row r="4269" spans="8:8" x14ac:dyDescent="0.25">
      <c r="H4269" s="134"/>
    </row>
    <row r="4270" spans="8:8" x14ac:dyDescent="0.25">
      <c r="H4270" s="134"/>
    </row>
    <row r="4271" spans="8:8" x14ac:dyDescent="0.25">
      <c r="H4271" s="134"/>
    </row>
    <row r="4272" spans="8:8" x14ac:dyDescent="0.25">
      <c r="H4272" s="134"/>
    </row>
    <row r="4273" spans="8:8" x14ac:dyDescent="0.25">
      <c r="H4273" s="134"/>
    </row>
    <row r="4274" spans="8:8" x14ac:dyDescent="0.25">
      <c r="H4274" s="134"/>
    </row>
    <row r="4275" spans="8:8" x14ac:dyDescent="0.25">
      <c r="H4275" s="134"/>
    </row>
    <row r="4276" spans="8:8" x14ac:dyDescent="0.25">
      <c r="H4276" s="134"/>
    </row>
    <row r="4277" spans="8:8" x14ac:dyDescent="0.25">
      <c r="H4277" s="134"/>
    </row>
    <row r="4278" spans="8:8" x14ac:dyDescent="0.25">
      <c r="H4278" s="134"/>
    </row>
    <row r="4279" spans="8:8" x14ac:dyDescent="0.25">
      <c r="H4279" s="134"/>
    </row>
    <row r="4280" spans="8:8" x14ac:dyDescent="0.25">
      <c r="H4280" s="134"/>
    </row>
    <row r="4281" spans="8:8" x14ac:dyDescent="0.25">
      <c r="H4281" s="134"/>
    </row>
    <row r="4282" spans="8:8" x14ac:dyDescent="0.25">
      <c r="H4282" s="134"/>
    </row>
    <row r="4283" spans="8:8" x14ac:dyDescent="0.25">
      <c r="H4283" s="134"/>
    </row>
    <row r="4284" spans="8:8" x14ac:dyDescent="0.25">
      <c r="H4284" s="134"/>
    </row>
    <row r="4285" spans="8:8" x14ac:dyDescent="0.25">
      <c r="H4285" s="134"/>
    </row>
    <row r="4286" spans="8:8" x14ac:dyDescent="0.25">
      <c r="H4286" s="134"/>
    </row>
    <row r="4287" spans="8:8" x14ac:dyDescent="0.25">
      <c r="H4287" s="134"/>
    </row>
    <row r="4288" spans="8:8" x14ac:dyDescent="0.25">
      <c r="H4288" s="134"/>
    </row>
    <row r="4289" spans="8:8" x14ac:dyDescent="0.25">
      <c r="H4289" s="134"/>
    </row>
    <row r="4290" spans="8:8" x14ac:dyDescent="0.25">
      <c r="H4290" s="134"/>
    </row>
    <row r="4291" spans="8:8" x14ac:dyDescent="0.25">
      <c r="H4291" s="134"/>
    </row>
    <row r="4292" spans="8:8" x14ac:dyDescent="0.25">
      <c r="H4292" s="134"/>
    </row>
    <row r="4293" spans="8:8" x14ac:dyDescent="0.25">
      <c r="H4293" s="134"/>
    </row>
    <row r="4294" spans="8:8" x14ac:dyDescent="0.25">
      <c r="H4294" s="134"/>
    </row>
    <row r="4295" spans="8:8" x14ac:dyDescent="0.25">
      <c r="H4295" s="134"/>
    </row>
    <row r="4296" spans="8:8" x14ac:dyDescent="0.25">
      <c r="H4296" s="134"/>
    </row>
    <row r="4297" spans="8:8" x14ac:dyDescent="0.25">
      <c r="H4297" s="134"/>
    </row>
    <row r="4298" spans="8:8" x14ac:dyDescent="0.25">
      <c r="H4298" s="134"/>
    </row>
    <row r="4299" spans="8:8" x14ac:dyDescent="0.25">
      <c r="H4299" s="134"/>
    </row>
    <row r="4300" spans="8:8" x14ac:dyDescent="0.25">
      <c r="H4300" s="134"/>
    </row>
    <row r="4301" spans="8:8" x14ac:dyDescent="0.25">
      <c r="H4301" s="134"/>
    </row>
    <row r="4302" spans="8:8" x14ac:dyDescent="0.25">
      <c r="H4302" s="134"/>
    </row>
    <row r="4303" spans="8:8" x14ac:dyDescent="0.25">
      <c r="H4303" s="134"/>
    </row>
    <row r="4304" spans="8:8" x14ac:dyDescent="0.25">
      <c r="H4304" s="134"/>
    </row>
    <row r="4305" spans="8:8" x14ac:dyDescent="0.25">
      <c r="H4305" s="134"/>
    </row>
    <row r="4306" spans="8:8" x14ac:dyDescent="0.25">
      <c r="H4306" s="134"/>
    </row>
    <row r="4307" spans="8:8" x14ac:dyDescent="0.25">
      <c r="H4307" s="134"/>
    </row>
    <row r="4308" spans="8:8" x14ac:dyDescent="0.25">
      <c r="H4308" s="134"/>
    </row>
    <row r="4309" spans="8:8" x14ac:dyDescent="0.25">
      <c r="H4309" s="134"/>
    </row>
    <row r="4310" spans="8:8" x14ac:dyDescent="0.25">
      <c r="H4310" s="134"/>
    </row>
    <row r="4311" spans="8:8" x14ac:dyDescent="0.25">
      <c r="H4311" s="134"/>
    </row>
    <row r="4312" spans="8:8" x14ac:dyDescent="0.25">
      <c r="H4312" s="134"/>
    </row>
    <row r="4313" spans="8:8" x14ac:dyDescent="0.25">
      <c r="H4313" s="134"/>
    </row>
    <row r="4314" spans="8:8" x14ac:dyDescent="0.25">
      <c r="H4314" s="134"/>
    </row>
    <row r="4315" spans="8:8" x14ac:dyDescent="0.25">
      <c r="H4315" s="134"/>
    </row>
    <row r="4316" spans="8:8" x14ac:dyDescent="0.25">
      <c r="H4316" s="134"/>
    </row>
    <row r="4317" spans="8:8" x14ac:dyDescent="0.25">
      <c r="H4317" s="134"/>
    </row>
    <row r="4318" spans="8:8" x14ac:dyDescent="0.25">
      <c r="H4318" s="134"/>
    </row>
    <row r="4319" spans="8:8" x14ac:dyDescent="0.25">
      <c r="H4319" s="134"/>
    </row>
    <row r="4320" spans="8:8" x14ac:dyDescent="0.25">
      <c r="H4320" s="134"/>
    </row>
    <row r="4321" spans="8:8" x14ac:dyDescent="0.25">
      <c r="H4321" s="134"/>
    </row>
    <row r="4322" spans="8:8" x14ac:dyDescent="0.25">
      <c r="H4322" s="134"/>
    </row>
    <row r="4323" spans="8:8" x14ac:dyDescent="0.25">
      <c r="H4323" s="134"/>
    </row>
    <row r="4324" spans="8:8" x14ac:dyDescent="0.25">
      <c r="H4324" s="134"/>
    </row>
    <row r="4325" spans="8:8" x14ac:dyDescent="0.25">
      <c r="H4325" s="134"/>
    </row>
    <row r="4326" spans="8:8" x14ac:dyDescent="0.25">
      <c r="H4326" s="134"/>
    </row>
    <row r="4327" spans="8:8" x14ac:dyDescent="0.25">
      <c r="H4327" s="134"/>
    </row>
    <row r="4328" spans="8:8" x14ac:dyDescent="0.25">
      <c r="H4328" s="134"/>
    </row>
    <row r="4329" spans="8:8" x14ac:dyDescent="0.25">
      <c r="H4329" s="134"/>
    </row>
    <row r="4330" spans="8:8" x14ac:dyDescent="0.25">
      <c r="H4330" s="134"/>
    </row>
    <row r="4331" spans="8:8" x14ac:dyDescent="0.25">
      <c r="H4331" s="134"/>
    </row>
    <row r="4332" spans="8:8" x14ac:dyDescent="0.25">
      <c r="H4332" s="134"/>
    </row>
    <row r="4333" spans="8:8" x14ac:dyDescent="0.25">
      <c r="H4333" s="134"/>
    </row>
    <row r="4334" spans="8:8" x14ac:dyDescent="0.25">
      <c r="H4334" s="134"/>
    </row>
    <row r="4335" spans="8:8" x14ac:dyDescent="0.25">
      <c r="H4335" s="134"/>
    </row>
    <row r="4336" spans="8:8" x14ac:dyDescent="0.25">
      <c r="H4336" s="134"/>
    </row>
    <row r="4337" spans="8:8" x14ac:dyDescent="0.25">
      <c r="H4337" s="134"/>
    </row>
    <row r="4338" spans="8:8" x14ac:dyDescent="0.25">
      <c r="H4338" s="134"/>
    </row>
    <row r="4339" spans="8:8" x14ac:dyDescent="0.25">
      <c r="H4339" s="134"/>
    </row>
    <row r="4340" spans="8:8" x14ac:dyDescent="0.25">
      <c r="H4340" s="134"/>
    </row>
    <row r="4341" spans="8:8" x14ac:dyDescent="0.25">
      <c r="H4341" s="134"/>
    </row>
    <row r="4342" spans="8:8" x14ac:dyDescent="0.25">
      <c r="H4342" s="134"/>
    </row>
    <row r="4343" spans="8:8" x14ac:dyDescent="0.25">
      <c r="H4343" s="134"/>
    </row>
    <row r="4344" spans="8:8" x14ac:dyDescent="0.25">
      <c r="H4344" s="134"/>
    </row>
    <row r="4345" spans="8:8" x14ac:dyDescent="0.25">
      <c r="H4345" s="134"/>
    </row>
    <row r="4346" spans="8:8" x14ac:dyDescent="0.25">
      <c r="H4346" s="134"/>
    </row>
    <row r="4347" spans="8:8" x14ac:dyDescent="0.25">
      <c r="H4347" s="134"/>
    </row>
    <row r="4348" spans="8:8" x14ac:dyDescent="0.25">
      <c r="H4348" s="134"/>
    </row>
    <row r="4349" spans="8:8" x14ac:dyDescent="0.25">
      <c r="H4349" s="134"/>
    </row>
    <row r="4350" spans="8:8" x14ac:dyDescent="0.25">
      <c r="H4350" s="134"/>
    </row>
    <row r="4351" spans="8:8" x14ac:dyDescent="0.25">
      <c r="H4351" s="134"/>
    </row>
    <row r="4352" spans="8:8" x14ac:dyDescent="0.25">
      <c r="H4352" s="134"/>
    </row>
    <row r="4353" spans="8:8" x14ac:dyDescent="0.25">
      <c r="H4353" s="134"/>
    </row>
    <row r="4354" spans="8:8" x14ac:dyDescent="0.25">
      <c r="H4354" s="134"/>
    </row>
    <row r="4355" spans="8:8" x14ac:dyDescent="0.25">
      <c r="H4355" s="134"/>
    </row>
    <row r="4356" spans="8:8" x14ac:dyDescent="0.25">
      <c r="H4356" s="134"/>
    </row>
    <row r="4357" spans="8:8" x14ac:dyDescent="0.25">
      <c r="H4357" s="134"/>
    </row>
    <row r="4358" spans="8:8" x14ac:dyDescent="0.25">
      <c r="H4358" s="134"/>
    </row>
    <row r="4359" spans="8:8" x14ac:dyDescent="0.25">
      <c r="H4359" s="134"/>
    </row>
    <row r="4360" spans="8:8" x14ac:dyDescent="0.25">
      <c r="H4360" s="134"/>
    </row>
    <row r="4361" spans="8:8" x14ac:dyDescent="0.25">
      <c r="H4361" s="134"/>
    </row>
    <row r="4362" spans="8:8" x14ac:dyDescent="0.25">
      <c r="H4362" s="134"/>
    </row>
    <row r="4363" spans="8:8" x14ac:dyDescent="0.25">
      <c r="H4363" s="134"/>
    </row>
    <row r="4364" spans="8:8" x14ac:dyDescent="0.25">
      <c r="H4364" s="134"/>
    </row>
    <row r="4365" spans="8:8" x14ac:dyDescent="0.25">
      <c r="H4365" s="134"/>
    </row>
    <row r="4366" spans="8:8" x14ac:dyDescent="0.25">
      <c r="H4366" s="134"/>
    </row>
    <row r="4367" spans="8:8" x14ac:dyDescent="0.25">
      <c r="H4367" s="134"/>
    </row>
    <row r="4368" spans="8:8" x14ac:dyDescent="0.25">
      <c r="H4368" s="134"/>
    </row>
    <row r="4369" spans="8:8" x14ac:dyDescent="0.25">
      <c r="H4369" s="134"/>
    </row>
    <row r="4370" spans="8:8" x14ac:dyDescent="0.25">
      <c r="H4370" s="134"/>
    </row>
    <row r="4371" spans="8:8" x14ac:dyDescent="0.25">
      <c r="H4371" s="134"/>
    </row>
    <row r="4372" spans="8:8" x14ac:dyDescent="0.25">
      <c r="H4372" s="134"/>
    </row>
    <row r="4373" spans="8:8" x14ac:dyDescent="0.25">
      <c r="H4373" s="134"/>
    </row>
    <row r="4374" spans="8:8" x14ac:dyDescent="0.25">
      <c r="H4374" s="134"/>
    </row>
    <row r="4375" spans="8:8" x14ac:dyDescent="0.25">
      <c r="H4375" s="134"/>
    </row>
    <row r="4376" spans="8:8" x14ac:dyDescent="0.25">
      <c r="H4376" s="134"/>
    </row>
    <row r="4377" spans="8:8" x14ac:dyDescent="0.25">
      <c r="H4377" s="134"/>
    </row>
    <row r="4378" spans="8:8" x14ac:dyDescent="0.25">
      <c r="H4378" s="134"/>
    </row>
    <row r="4379" spans="8:8" x14ac:dyDescent="0.25">
      <c r="H4379" s="134"/>
    </row>
    <row r="4380" spans="8:8" x14ac:dyDescent="0.25">
      <c r="H4380" s="134"/>
    </row>
    <row r="4381" spans="8:8" x14ac:dyDescent="0.25">
      <c r="H4381" s="134"/>
    </row>
    <row r="4382" spans="8:8" x14ac:dyDescent="0.25">
      <c r="H4382" s="134"/>
    </row>
    <row r="4383" spans="8:8" x14ac:dyDescent="0.25">
      <c r="H4383" s="134"/>
    </row>
    <row r="4384" spans="8:8" x14ac:dyDescent="0.25">
      <c r="H4384" s="134"/>
    </row>
    <row r="4385" spans="8:8" x14ac:dyDescent="0.25">
      <c r="H4385" s="134"/>
    </row>
    <row r="4386" spans="8:8" x14ac:dyDescent="0.25">
      <c r="H4386" s="134"/>
    </row>
    <row r="4387" spans="8:8" x14ac:dyDescent="0.25">
      <c r="H4387" s="134"/>
    </row>
    <row r="4388" spans="8:8" x14ac:dyDescent="0.25">
      <c r="H4388" s="134"/>
    </row>
    <row r="4389" spans="8:8" x14ac:dyDescent="0.25">
      <c r="H4389" s="134"/>
    </row>
    <row r="4390" spans="8:8" x14ac:dyDescent="0.25">
      <c r="H4390" s="134"/>
    </row>
    <row r="4391" spans="8:8" x14ac:dyDescent="0.25">
      <c r="H4391" s="134"/>
    </row>
    <row r="4392" spans="8:8" x14ac:dyDescent="0.25">
      <c r="H4392" s="134"/>
    </row>
    <row r="4393" spans="8:8" x14ac:dyDescent="0.25">
      <c r="H4393" s="134"/>
    </row>
    <row r="4394" spans="8:8" x14ac:dyDescent="0.25">
      <c r="H4394" s="134"/>
    </row>
    <row r="4395" spans="8:8" x14ac:dyDescent="0.25">
      <c r="H4395" s="134"/>
    </row>
    <row r="4396" spans="8:8" x14ac:dyDescent="0.25">
      <c r="H4396" s="134"/>
    </row>
    <row r="4397" spans="8:8" x14ac:dyDescent="0.25">
      <c r="H4397" s="134"/>
    </row>
    <row r="4398" spans="8:8" x14ac:dyDescent="0.25">
      <c r="H4398" s="134"/>
    </row>
    <row r="4399" spans="8:8" x14ac:dyDescent="0.25">
      <c r="H4399" s="134"/>
    </row>
    <row r="4400" spans="8:8" x14ac:dyDescent="0.25">
      <c r="H4400" s="134"/>
    </row>
    <row r="4401" spans="8:8" x14ac:dyDescent="0.25">
      <c r="H4401" s="134"/>
    </row>
    <row r="4402" spans="8:8" x14ac:dyDescent="0.25">
      <c r="H4402" s="134"/>
    </row>
    <row r="4403" spans="8:8" x14ac:dyDescent="0.25">
      <c r="H4403" s="134"/>
    </row>
    <row r="4404" spans="8:8" x14ac:dyDescent="0.25">
      <c r="H4404" s="134"/>
    </row>
    <row r="4405" spans="8:8" x14ac:dyDescent="0.25">
      <c r="H4405" s="134"/>
    </row>
    <row r="4406" spans="8:8" x14ac:dyDescent="0.25">
      <c r="H4406" s="134"/>
    </row>
    <row r="4407" spans="8:8" x14ac:dyDescent="0.25">
      <c r="H4407" s="134"/>
    </row>
    <row r="4408" spans="8:8" x14ac:dyDescent="0.25">
      <c r="H4408" s="134"/>
    </row>
    <row r="4409" spans="8:8" x14ac:dyDescent="0.25">
      <c r="H4409" s="134"/>
    </row>
    <row r="4410" spans="8:8" x14ac:dyDescent="0.25">
      <c r="H4410" s="134"/>
    </row>
    <row r="4411" spans="8:8" x14ac:dyDescent="0.25">
      <c r="H4411" s="134"/>
    </row>
    <row r="4412" spans="8:8" x14ac:dyDescent="0.25">
      <c r="H4412" s="134"/>
    </row>
    <row r="4413" spans="8:8" x14ac:dyDescent="0.25">
      <c r="H4413" s="134"/>
    </row>
    <row r="4414" spans="8:8" x14ac:dyDescent="0.25">
      <c r="H4414" s="134"/>
    </row>
    <row r="4415" spans="8:8" x14ac:dyDescent="0.25">
      <c r="H4415" s="134"/>
    </row>
    <row r="4416" spans="8:8" x14ac:dyDescent="0.25">
      <c r="H4416" s="134"/>
    </row>
    <row r="4417" spans="8:8" x14ac:dyDescent="0.25">
      <c r="H4417" s="134"/>
    </row>
    <row r="4418" spans="8:8" x14ac:dyDescent="0.25">
      <c r="H4418" s="134"/>
    </row>
    <row r="4419" spans="8:8" x14ac:dyDescent="0.25">
      <c r="H4419" s="134"/>
    </row>
    <row r="4420" spans="8:8" x14ac:dyDescent="0.25">
      <c r="H4420" s="134"/>
    </row>
    <row r="4421" spans="8:8" x14ac:dyDescent="0.25">
      <c r="H4421" s="134"/>
    </row>
    <row r="4422" spans="8:8" x14ac:dyDescent="0.25">
      <c r="H4422" s="134"/>
    </row>
    <row r="4423" spans="8:8" x14ac:dyDescent="0.25">
      <c r="H4423" s="134"/>
    </row>
    <row r="4424" spans="8:8" x14ac:dyDescent="0.25">
      <c r="H4424" s="134"/>
    </row>
    <row r="4425" spans="8:8" x14ac:dyDescent="0.25">
      <c r="H4425" s="134"/>
    </row>
    <row r="4426" spans="8:8" x14ac:dyDescent="0.25">
      <c r="H4426" s="134"/>
    </row>
    <row r="4427" spans="8:8" x14ac:dyDescent="0.25">
      <c r="H4427" s="134"/>
    </row>
    <row r="4428" spans="8:8" x14ac:dyDescent="0.25">
      <c r="H4428" s="134"/>
    </row>
    <row r="4429" spans="8:8" x14ac:dyDescent="0.25">
      <c r="H4429" s="134"/>
    </row>
    <row r="4430" spans="8:8" x14ac:dyDescent="0.25">
      <c r="H4430" s="134"/>
    </row>
    <row r="4431" spans="8:8" x14ac:dyDescent="0.25">
      <c r="H4431" s="134"/>
    </row>
    <row r="4432" spans="8:8" x14ac:dyDescent="0.25">
      <c r="H4432" s="134"/>
    </row>
    <row r="4433" spans="8:8" x14ac:dyDescent="0.25">
      <c r="H4433" s="134"/>
    </row>
    <row r="4434" spans="8:8" x14ac:dyDescent="0.25">
      <c r="H4434" s="134"/>
    </row>
    <row r="4435" spans="8:8" x14ac:dyDescent="0.25">
      <c r="H4435" s="134"/>
    </row>
    <row r="4436" spans="8:8" x14ac:dyDescent="0.25">
      <c r="H4436" s="134"/>
    </row>
    <row r="4437" spans="8:8" x14ac:dyDescent="0.25">
      <c r="H4437" s="134"/>
    </row>
    <row r="4438" spans="8:8" x14ac:dyDescent="0.25">
      <c r="H4438" s="134"/>
    </row>
    <row r="4439" spans="8:8" x14ac:dyDescent="0.25">
      <c r="H4439" s="134"/>
    </row>
    <row r="4440" spans="8:8" x14ac:dyDescent="0.25">
      <c r="H4440" s="134"/>
    </row>
    <row r="4441" spans="8:8" x14ac:dyDescent="0.25">
      <c r="H4441" s="134"/>
    </row>
    <row r="4442" spans="8:8" x14ac:dyDescent="0.25">
      <c r="H4442" s="134"/>
    </row>
    <row r="4443" spans="8:8" x14ac:dyDescent="0.25">
      <c r="H4443" s="134"/>
    </row>
    <row r="4444" spans="8:8" x14ac:dyDescent="0.25">
      <c r="H4444" s="134"/>
    </row>
    <row r="4445" spans="8:8" x14ac:dyDescent="0.25">
      <c r="H4445" s="134"/>
    </row>
    <row r="4446" spans="8:8" x14ac:dyDescent="0.25">
      <c r="H4446" s="134"/>
    </row>
    <row r="4447" spans="8:8" x14ac:dyDescent="0.25">
      <c r="H4447" s="134"/>
    </row>
    <row r="4448" spans="8:8" x14ac:dyDescent="0.25">
      <c r="H4448" s="134"/>
    </row>
    <row r="4449" spans="8:8" x14ac:dyDescent="0.25">
      <c r="H4449" s="134"/>
    </row>
    <row r="4450" spans="8:8" x14ac:dyDescent="0.25">
      <c r="H4450" s="134"/>
    </row>
    <row r="4451" spans="8:8" x14ac:dyDescent="0.25">
      <c r="H4451" s="134"/>
    </row>
    <row r="4452" spans="8:8" x14ac:dyDescent="0.25">
      <c r="H4452" s="134"/>
    </row>
    <row r="4453" spans="8:8" x14ac:dyDescent="0.25">
      <c r="H4453" s="134"/>
    </row>
    <row r="4454" spans="8:8" x14ac:dyDescent="0.25">
      <c r="H4454" s="134"/>
    </row>
    <row r="4455" spans="8:8" x14ac:dyDescent="0.25">
      <c r="H4455" s="134"/>
    </row>
    <row r="4456" spans="8:8" x14ac:dyDescent="0.25">
      <c r="H4456" s="134"/>
    </row>
    <row r="4457" spans="8:8" x14ac:dyDescent="0.25">
      <c r="H4457" s="134"/>
    </row>
    <row r="4458" spans="8:8" x14ac:dyDescent="0.25">
      <c r="H4458" s="134"/>
    </row>
    <row r="4459" spans="8:8" x14ac:dyDescent="0.25">
      <c r="H4459" s="134"/>
    </row>
    <row r="4460" spans="8:8" x14ac:dyDescent="0.25">
      <c r="H4460" s="134"/>
    </row>
    <row r="4461" spans="8:8" x14ac:dyDescent="0.25">
      <c r="H4461" s="134"/>
    </row>
    <row r="4462" spans="8:8" x14ac:dyDescent="0.25">
      <c r="H4462" s="134"/>
    </row>
    <row r="4463" spans="8:8" x14ac:dyDescent="0.25">
      <c r="H4463" s="134"/>
    </row>
    <row r="4464" spans="8:8" x14ac:dyDescent="0.25">
      <c r="H4464" s="134"/>
    </row>
    <row r="4465" spans="8:8" x14ac:dyDescent="0.25">
      <c r="H4465" s="134"/>
    </row>
    <row r="4466" spans="8:8" x14ac:dyDescent="0.25">
      <c r="H4466" s="134"/>
    </row>
    <row r="4467" spans="8:8" x14ac:dyDescent="0.25">
      <c r="H4467" s="134"/>
    </row>
    <row r="4468" spans="8:8" x14ac:dyDescent="0.25">
      <c r="H4468" s="134"/>
    </row>
    <row r="4469" spans="8:8" x14ac:dyDescent="0.25">
      <c r="H4469" s="134"/>
    </row>
    <row r="4470" spans="8:8" x14ac:dyDescent="0.25">
      <c r="H4470" s="134"/>
    </row>
    <row r="4471" spans="8:8" x14ac:dyDescent="0.25">
      <c r="H4471" s="134"/>
    </row>
    <row r="4472" spans="8:8" x14ac:dyDescent="0.25">
      <c r="H4472" s="134"/>
    </row>
    <row r="4473" spans="8:8" x14ac:dyDescent="0.25">
      <c r="H4473" s="134"/>
    </row>
    <row r="4474" spans="8:8" x14ac:dyDescent="0.25">
      <c r="H4474" s="134"/>
    </row>
    <row r="4475" spans="8:8" x14ac:dyDescent="0.25">
      <c r="H4475" s="134"/>
    </row>
    <row r="4476" spans="8:8" x14ac:dyDescent="0.25">
      <c r="H4476" s="134"/>
    </row>
    <row r="4477" spans="8:8" x14ac:dyDescent="0.25">
      <c r="H4477" s="134"/>
    </row>
    <row r="4478" spans="8:8" x14ac:dyDescent="0.25">
      <c r="H4478" s="134"/>
    </row>
    <row r="4479" spans="8:8" x14ac:dyDescent="0.25">
      <c r="H4479" s="134"/>
    </row>
    <row r="4480" spans="8:8" x14ac:dyDescent="0.25">
      <c r="H4480" s="134"/>
    </row>
    <row r="4481" spans="8:8" x14ac:dyDescent="0.25">
      <c r="H4481" s="134"/>
    </row>
    <row r="4482" spans="8:8" x14ac:dyDescent="0.25">
      <c r="H4482" s="134"/>
    </row>
    <row r="4483" spans="8:8" x14ac:dyDescent="0.25">
      <c r="H4483" s="134"/>
    </row>
    <row r="4484" spans="8:8" x14ac:dyDescent="0.25">
      <c r="H4484" s="134"/>
    </row>
    <row r="4485" spans="8:8" x14ac:dyDescent="0.25">
      <c r="H4485" s="134"/>
    </row>
    <row r="4486" spans="8:8" x14ac:dyDescent="0.25">
      <c r="H4486" s="134"/>
    </row>
    <row r="4487" spans="8:8" x14ac:dyDescent="0.25">
      <c r="H4487" s="134"/>
    </row>
    <row r="4488" spans="8:8" x14ac:dyDescent="0.25">
      <c r="H4488" s="134"/>
    </row>
    <row r="4489" spans="8:8" x14ac:dyDescent="0.25">
      <c r="H4489" s="134"/>
    </row>
    <row r="4490" spans="8:8" x14ac:dyDescent="0.25">
      <c r="H4490" s="134"/>
    </row>
    <row r="4491" spans="8:8" x14ac:dyDescent="0.25">
      <c r="H4491" s="134"/>
    </row>
    <row r="4492" spans="8:8" x14ac:dyDescent="0.25">
      <c r="H4492" s="134"/>
    </row>
    <row r="4493" spans="8:8" x14ac:dyDescent="0.25">
      <c r="H4493" s="134"/>
    </row>
    <row r="4494" spans="8:8" x14ac:dyDescent="0.25">
      <c r="H4494" s="134"/>
    </row>
    <row r="4495" spans="8:8" x14ac:dyDescent="0.25">
      <c r="H4495" s="134"/>
    </row>
    <row r="4496" spans="8:8" x14ac:dyDescent="0.25">
      <c r="H4496" s="134"/>
    </row>
    <row r="4497" spans="8:8" x14ac:dyDescent="0.25">
      <c r="H4497" s="134"/>
    </row>
    <row r="4498" spans="8:8" x14ac:dyDescent="0.25">
      <c r="H4498" s="134"/>
    </row>
    <row r="4499" spans="8:8" x14ac:dyDescent="0.25">
      <c r="H4499" s="134"/>
    </row>
    <row r="4500" spans="8:8" x14ac:dyDescent="0.25">
      <c r="H4500" s="134"/>
    </row>
    <row r="4501" spans="8:8" x14ac:dyDescent="0.25">
      <c r="H4501" s="134"/>
    </row>
    <row r="4502" spans="8:8" x14ac:dyDescent="0.25">
      <c r="H4502" s="134"/>
    </row>
    <row r="4503" spans="8:8" x14ac:dyDescent="0.25">
      <c r="H4503" s="134"/>
    </row>
    <row r="4504" spans="8:8" x14ac:dyDescent="0.25">
      <c r="H4504" s="134"/>
    </row>
    <row r="4505" spans="8:8" x14ac:dyDescent="0.25">
      <c r="H4505" s="134"/>
    </row>
    <row r="4506" spans="8:8" x14ac:dyDescent="0.25">
      <c r="H4506" s="134"/>
    </row>
    <row r="4507" spans="8:8" x14ac:dyDescent="0.25">
      <c r="H4507" s="134"/>
    </row>
    <row r="4508" spans="8:8" x14ac:dyDescent="0.25">
      <c r="H4508" s="134"/>
    </row>
    <row r="4509" spans="8:8" x14ac:dyDescent="0.25">
      <c r="H4509" s="134"/>
    </row>
    <row r="4510" spans="8:8" x14ac:dyDescent="0.25">
      <c r="H4510" s="134"/>
    </row>
    <row r="4511" spans="8:8" x14ac:dyDescent="0.25">
      <c r="H4511" s="134"/>
    </row>
    <row r="4512" spans="8:8" x14ac:dyDescent="0.25">
      <c r="H4512" s="134"/>
    </row>
    <row r="4513" spans="8:8" x14ac:dyDescent="0.25">
      <c r="H4513" s="134"/>
    </row>
    <row r="4514" spans="8:8" x14ac:dyDescent="0.25">
      <c r="H4514" s="134"/>
    </row>
    <row r="4515" spans="8:8" x14ac:dyDescent="0.25">
      <c r="H4515" s="134"/>
    </row>
    <row r="4516" spans="8:8" x14ac:dyDescent="0.25">
      <c r="H4516" s="134"/>
    </row>
    <row r="4517" spans="8:8" x14ac:dyDescent="0.25">
      <c r="H4517" s="134"/>
    </row>
    <row r="4518" spans="8:8" x14ac:dyDescent="0.25">
      <c r="H4518" s="134"/>
    </row>
    <row r="4519" spans="8:8" x14ac:dyDescent="0.25">
      <c r="H4519" s="134"/>
    </row>
    <row r="4520" spans="8:8" x14ac:dyDescent="0.25">
      <c r="H4520" s="134"/>
    </row>
    <row r="4521" spans="8:8" x14ac:dyDescent="0.25">
      <c r="H4521" s="134"/>
    </row>
    <row r="4522" spans="8:8" x14ac:dyDescent="0.25">
      <c r="H4522" s="134"/>
    </row>
    <row r="4523" spans="8:8" x14ac:dyDescent="0.25">
      <c r="H4523" s="134"/>
    </row>
    <row r="4524" spans="8:8" x14ac:dyDescent="0.25">
      <c r="H4524" s="134"/>
    </row>
    <row r="4525" spans="8:8" x14ac:dyDescent="0.25">
      <c r="H4525" s="134"/>
    </row>
    <row r="4526" spans="8:8" x14ac:dyDescent="0.25">
      <c r="H4526" s="134"/>
    </row>
    <row r="4527" spans="8:8" x14ac:dyDescent="0.25">
      <c r="H4527" s="134"/>
    </row>
    <row r="4528" spans="8:8" x14ac:dyDescent="0.25">
      <c r="H4528" s="134"/>
    </row>
    <row r="4529" spans="8:8" x14ac:dyDescent="0.25">
      <c r="H4529" s="134"/>
    </row>
    <row r="4530" spans="8:8" x14ac:dyDescent="0.25">
      <c r="H4530" s="134"/>
    </row>
    <row r="4531" spans="8:8" x14ac:dyDescent="0.25">
      <c r="H4531" s="134"/>
    </row>
    <row r="4532" spans="8:8" x14ac:dyDescent="0.25">
      <c r="H4532" s="134"/>
    </row>
    <row r="4533" spans="8:8" x14ac:dyDescent="0.25">
      <c r="H4533" s="134"/>
    </row>
    <row r="4534" spans="8:8" x14ac:dyDescent="0.25">
      <c r="H4534" s="134"/>
    </row>
    <row r="4535" spans="8:8" x14ac:dyDescent="0.25">
      <c r="H4535" s="134"/>
    </row>
    <row r="4536" spans="8:8" x14ac:dyDescent="0.25">
      <c r="H4536" s="134"/>
    </row>
    <row r="4537" spans="8:8" x14ac:dyDescent="0.25">
      <c r="H4537" s="134"/>
    </row>
    <row r="4538" spans="8:8" x14ac:dyDescent="0.25">
      <c r="H4538" s="134"/>
    </row>
    <row r="4539" spans="8:8" x14ac:dyDescent="0.25">
      <c r="H4539" s="134"/>
    </row>
    <row r="4540" spans="8:8" x14ac:dyDescent="0.25">
      <c r="H4540" s="134"/>
    </row>
    <row r="4541" spans="8:8" x14ac:dyDescent="0.25">
      <c r="H4541" s="134"/>
    </row>
    <row r="4542" spans="8:8" x14ac:dyDescent="0.25">
      <c r="H4542" s="134"/>
    </row>
    <row r="4543" spans="8:8" x14ac:dyDescent="0.25">
      <c r="H4543" s="134"/>
    </row>
    <row r="4544" spans="8:8" x14ac:dyDescent="0.25">
      <c r="H4544" s="134"/>
    </row>
    <row r="4545" spans="8:8" x14ac:dyDescent="0.25">
      <c r="H4545" s="134"/>
    </row>
    <row r="4546" spans="8:8" x14ac:dyDescent="0.25">
      <c r="H4546" s="134"/>
    </row>
    <row r="4547" spans="8:8" x14ac:dyDescent="0.25">
      <c r="H4547" s="134"/>
    </row>
    <row r="4548" spans="8:8" x14ac:dyDescent="0.25">
      <c r="H4548" s="134"/>
    </row>
    <row r="4549" spans="8:8" x14ac:dyDescent="0.25">
      <c r="H4549" s="134"/>
    </row>
    <row r="4550" spans="8:8" x14ac:dyDescent="0.25">
      <c r="H4550" s="134"/>
    </row>
    <row r="4551" spans="8:8" x14ac:dyDescent="0.25">
      <c r="H4551" s="134"/>
    </row>
    <row r="4552" spans="8:8" x14ac:dyDescent="0.25">
      <c r="H4552" s="134"/>
    </row>
    <row r="4553" spans="8:8" x14ac:dyDescent="0.25">
      <c r="H4553" s="134"/>
    </row>
    <row r="4554" spans="8:8" x14ac:dyDescent="0.25">
      <c r="H4554" s="134"/>
    </row>
    <row r="4555" spans="8:8" x14ac:dyDescent="0.25">
      <c r="H4555" s="134"/>
    </row>
    <row r="4556" spans="8:8" x14ac:dyDescent="0.25">
      <c r="H4556" s="134"/>
    </row>
    <row r="4557" spans="8:8" x14ac:dyDescent="0.25">
      <c r="H4557" s="134"/>
    </row>
    <row r="4558" spans="8:8" x14ac:dyDescent="0.25">
      <c r="H4558" s="134"/>
    </row>
    <row r="4559" spans="8:8" x14ac:dyDescent="0.25">
      <c r="H4559" s="134"/>
    </row>
    <row r="4560" spans="8:8" x14ac:dyDescent="0.25">
      <c r="H4560" s="134"/>
    </row>
    <row r="4561" spans="8:8" x14ac:dyDescent="0.25">
      <c r="H4561" s="134"/>
    </row>
    <row r="4562" spans="8:8" x14ac:dyDescent="0.25">
      <c r="H4562" s="134"/>
    </row>
    <row r="4563" spans="8:8" x14ac:dyDescent="0.25">
      <c r="H4563" s="134"/>
    </row>
    <row r="4564" spans="8:8" x14ac:dyDescent="0.25">
      <c r="H4564" s="134"/>
    </row>
    <row r="4565" spans="8:8" x14ac:dyDescent="0.25">
      <c r="H4565" s="134"/>
    </row>
    <row r="4566" spans="8:8" x14ac:dyDescent="0.25">
      <c r="H4566" s="134"/>
    </row>
    <row r="4567" spans="8:8" x14ac:dyDescent="0.25">
      <c r="H4567" s="134"/>
    </row>
    <row r="4568" spans="8:8" x14ac:dyDescent="0.25">
      <c r="H4568" s="134"/>
    </row>
    <row r="4569" spans="8:8" x14ac:dyDescent="0.25">
      <c r="H4569" s="134"/>
    </row>
    <row r="4570" spans="8:8" x14ac:dyDescent="0.25">
      <c r="H4570" s="134"/>
    </row>
    <row r="4571" spans="8:8" x14ac:dyDescent="0.25">
      <c r="H4571" s="134"/>
    </row>
    <row r="4572" spans="8:8" x14ac:dyDescent="0.25">
      <c r="H4572" s="134"/>
    </row>
    <row r="4573" spans="8:8" x14ac:dyDescent="0.25">
      <c r="H4573" s="134"/>
    </row>
    <row r="4574" spans="8:8" x14ac:dyDescent="0.25">
      <c r="H4574" s="134"/>
    </row>
    <row r="4575" spans="8:8" x14ac:dyDescent="0.25">
      <c r="H4575" s="134"/>
    </row>
    <row r="4576" spans="8:8" x14ac:dyDescent="0.25">
      <c r="H4576" s="134"/>
    </row>
    <row r="4577" spans="8:8" x14ac:dyDescent="0.25">
      <c r="H4577" s="134"/>
    </row>
    <row r="4578" spans="8:8" x14ac:dyDescent="0.25">
      <c r="H4578" s="134"/>
    </row>
    <row r="4579" spans="8:8" x14ac:dyDescent="0.25">
      <c r="H4579" s="134"/>
    </row>
    <row r="4580" spans="8:8" x14ac:dyDescent="0.25">
      <c r="H4580" s="134"/>
    </row>
    <row r="4581" spans="8:8" x14ac:dyDescent="0.25">
      <c r="H4581" s="134"/>
    </row>
    <row r="4582" spans="8:8" x14ac:dyDescent="0.25">
      <c r="H4582" s="134"/>
    </row>
    <row r="4583" spans="8:8" x14ac:dyDescent="0.25">
      <c r="H4583" s="134"/>
    </row>
    <row r="4584" spans="8:8" x14ac:dyDescent="0.25">
      <c r="H4584" s="134"/>
    </row>
    <row r="4585" spans="8:8" x14ac:dyDescent="0.25">
      <c r="H4585" s="134"/>
    </row>
    <row r="4586" spans="8:8" x14ac:dyDescent="0.25">
      <c r="H4586" s="134"/>
    </row>
    <row r="4587" spans="8:8" x14ac:dyDescent="0.25">
      <c r="H4587" s="134"/>
    </row>
    <row r="4588" spans="8:8" x14ac:dyDescent="0.25">
      <c r="H4588" s="134"/>
    </row>
    <row r="4589" spans="8:8" x14ac:dyDescent="0.25">
      <c r="H4589" s="134"/>
    </row>
    <row r="4590" spans="8:8" x14ac:dyDescent="0.25">
      <c r="H4590" s="134"/>
    </row>
    <row r="4591" spans="8:8" x14ac:dyDescent="0.25">
      <c r="H4591" s="134"/>
    </row>
    <row r="4592" spans="8:8" x14ac:dyDescent="0.25">
      <c r="H4592" s="134"/>
    </row>
    <row r="4593" spans="8:8" x14ac:dyDescent="0.25">
      <c r="H4593" s="134"/>
    </row>
    <row r="4594" spans="8:8" x14ac:dyDescent="0.25">
      <c r="H4594" s="134"/>
    </row>
    <row r="4595" spans="8:8" x14ac:dyDescent="0.25">
      <c r="H4595" s="134"/>
    </row>
    <row r="4596" spans="8:8" x14ac:dyDescent="0.25">
      <c r="H4596" s="134"/>
    </row>
    <row r="4597" spans="8:8" x14ac:dyDescent="0.25">
      <c r="H4597" s="134"/>
    </row>
    <row r="4598" spans="8:8" x14ac:dyDescent="0.25">
      <c r="H4598" s="134"/>
    </row>
    <row r="4599" spans="8:8" x14ac:dyDescent="0.25">
      <c r="H4599" s="134"/>
    </row>
    <row r="4600" spans="8:8" x14ac:dyDescent="0.25">
      <c r="H4600" s="134"/>
    </row>
    <row r="4601" spans="8:8" x14ac:dyDescent="0.25">
      <c r="H4601" s="134"/>
    </row>
    <row r="4602" spans="8:8" x14ac:dyDescent="0.25">
      <c r="H4602" s="134"/>
    </row>
    <row r="4603" spans="8:8" x14ac:dyDescent="0.25">
      <c r="H4603" s="134"/>
    </row>
    <row r="4604" spans="8:8" x14ac:dyDescent="0.25">
      <c r="H4604" s="134"/>
    </row>
    <row r="4605" spans="8:8" x14ac:dyDescent="0.25">
      <c r="H4605" s="134"/>
    </row>
    <row r="4606" spans="8:8" x14ac:dyDescent="0.25">
      <c r="H4606" s="134"/>
    </row>
    <row r="4607" spans="8:8" x14ac:dyDescent="0.25">
      <c r="H4607" s="134"/>
    </row>
    <row r="4608" spans="8:8" x14ac:dyDescent="0.25">
      <c r="H4608" s="134"/>
    </row>
    <row r="4609" spans="8:8" x14ac:dyDescent="0.25">
      <c r="H4609" s="134"/>
    </row>
    <row r="4610" spans="8:8" x14ac:dyDescent="0.25">
      <c r="H4610" s="134"/>
    </row>
    <row r="4611" spans="8:8" x14ac:dyDescent="0.25">
      <c r="H4611" s="134"/>
    </row>
    <row r="4612" spans="8:8" x14ac:dyDescent="0.25">
      <c r="H4612" s="134"/>
    </row>
    <row r="4613" spans="8:8" x14ac:dyDescent="0.25">
      <c r="H4613" s="134"/>
    </row>
    <row r="4614" spans="8:8" x14ac:dyDescent="0.25">
      <c r="H4614" s="134"/>
    </row>
    <row r="4615" spans="8:8" x14ac:dyDescent="0.25">
      <c r="H4615" s="134"/>
    </row>
    <row r="4616" spans="8:8" x14ac:dyDescent="0.25">
      <c r="H4616" s="134"/>
    </row>
    <row r="4617" spans="8:8" x14ac:dyDescent="0.25">
      <c r="H4617" s="134"/>
    </row>
    <row r="4618" spans="8:8" x14ac:dyDescent="0.25">
      <c r="H4618" s="134"/>
    </row>
    <row r="4619" spans="8:8" x14ac:dyDescent="0.25">
      <c r="H4619" s="134"/>
    </row>
    <row r="4620" spans="8:8" x14ac:dyDescent="0.25">
      <c r="H4620" s="134"/>
    </row>
    <row r="4621" spans="8:8" x14ac:dyDescent="0.25">
      <c r="H4621" s="134"/>
    </row>
    <row r="4622" spans="8:8" x14ac:dyDescent="0.25">
      <c r="H4622" s="134"/>
    </row>
    <row r="4623" spans="8:8" x14ac:dyDescent="0.25">
      <c r="H4623" s="134"/>
    </row>
    <row r="4624" spans="8:8" x14ac:dyDescent="0.25">
      <c r="H4624" s="134"/>
    </row>
    <row r="4625" spans="8:8" x14ac:dyDescent="0.25">
      <c r="H4625" s="134"/>
    </row>
    <row r="4626" spans="8:8" x14ac:dyDescent="0.25">
      <c r="H4626" s="134"/>
    </row>
    <row r="4627" spans="8:8" x14ac:dyDescent="0.25">
      <c r="H4627" s="134"/>
    </row>
    <row r="4628" spans="8:8" x14ac:dyDescent="0.25">
      <c r="H4628" s="134"/>
    </row>
    <row r="4629" spans="8:8" x14ac:dyDescent="0.25">
      <c r="H4629" s="134"/>
    </row>
    <row r="4630" spans="8:8" x14ac:dyDescent="0.25">
      <c r="H4630" s="134"/>
    </row>
    <row r="4631" spans="8:8" x14ac:dyDescent="0.25">
      <c r="H4631" s="134"/>
    </row>
    <row r="4632" spans="8:8" x14ac:dyDescent="0.25">
      <c r="H4632" s="134"/>
    </row>
    <row r="4633" spans="8:8" x14ac:dyDescent="0.25">
      <c r="H4633" s="134"/>
    </row>
    <row r="4634" spans="8:8" x14ac:dyDescent="0.25">
      <c r="H4634" s="134"/>
    </row>
    <row r="4635" spans="8:8" x14ac:dyDescent="0.25">
      <c r="H4635" s="134"/>
    </row>
    <row r="4636" spans="8:8" x14ac:dyDescent="0.25">
      <c r="H4636" s="134"/>
    </row>
    <row r="4637" spans="8:8" x14ac:dyDescent="0.25">
      <c r="H4637" s="134"/>
    </row>
    <row r="4638" spans="8:8" x14ac:dyDescent="0.25">
      <c r="H4638" s="134"/>
    </row>
    <row r="4639" spans="8:8" x14ac:dyDescent="0.25">
      <c r="H4639" s="134"/>
    </row>
    <row r="4640" spans="8:8" x14ac:dyDescent="0.25">
      <c r="H4640" s="134"/>
    </row>
    <row r="4641" spans="8:8" x14ac:dyDescent="0.25">
      <c r="H4641" s="134"/>
    </row>
    <row r="4642" spans="8:8" x14ac:dyDescent="0.25">
      <c r="H4642" s="134"/>
    </row>
    <row r="4643" spans="8:8" x14ac:dyDescent="0.25">
      <c r="H4643" s="134"/>
    </row>
    <row r="4644" spans="8:8" x14ac:dyDescent="0.25">
      <c r="H4644" s="134"/>
    </row>
    <row r="4645" spans="8:8" x14ac:dyDescent="0.25">
      <c r="H4645" s="134"/>
    </row>
    <row r="4646" spans="8:8" x14ac:dyDescent="0.25">
      <c r="H4646" s="134"/>
    </row>
    <row r="4647" spans="8:8" x14ac:dyDescent="0.25">
      <c r="H4647" s="134"/>
    </row>
    <row r="4648" spans="8:8" x14ac:dyDescent="0.25">
      <c r="H4648" s="134"/>
    </row>
    <row r="4649" spans="8:8" x14ac:dyDescent="0.25">
      <c r="H4649" s="134"/>
    </row>
    <row r="4650" spans="8:8" x14ac:dyDescent="0.25">
      <c r="H4650" s="134"/>
    </row>
    <row r="4651" spans="8:8" x14ac:dyDescent="0.25">
      <c r="H4651" s="134"/>
    </row>
    <row r="4652" spans="8:8" x14ac:dyDescent="0.25">
      <c r="H4652" s="134"/>
    </row>
    <row r="4653" spans="8:8" x14ac:dyDescent="0.25">
      <c r="H4653" s="134"/>
    </row>
    <row r="4654" spans="8:8" x14ac:dyDescent="0.25">
      <c r="H4654" s="134"/>
    </row>
    <row r="4655" spans="8:8" x14ac:dyDescent="0.25">
      <c r="H4655" s="134"/>
    </row>
    <row r="4656" spans="8:8" x14ac:dyDescent="0.25">
      <c r="H4656" s="134"/>
    </row>
    <row r="4657" spans="8:8" x14ac:dyDescent="0.25">
      <c r="H4657" s="134"/>
    </row>
    <row r="4658" spans="8:8" x14ac:dyDescent="0.25">
      <c r="H4658" s="134"/>
    </row>
    <row r="4659" spans="8:8" x14ac:dyDescent="0.25">
      <c r="H4659" s="134"/>
    </row>
    <row r="4660" spans="8:8" x14ac:dyDescent="0.25">
      <c r="H4660" s="134"/>
    </row>
    <row r="4661" spans="8:8" x14ac:dyDescent="0.25">
      <c r="H4661" s="134"/>
    </row>
    <row r="4662" spans="8:8" x14ac:dyDescent="0.25">
      <c r="H4662" s="134"/>
    </row>
    <row r="4663" spans="8:8" x14ac:dyDescent="0.25">
      <c r="H4663" s="134"/>
    </row>
    <row r="4664" spans="8:8" x14ac:dyDescent="0.25">
      <c r="H4664" s="134"/>
    </row>
    <row r="4665" spans="8:8" x14ac:dyDescent="0.25">
      <c r="H4665" s="134"/>
    </row>
    <row r="4666" spans="8:8" x14ac:dyDescent="0.25">
      <c r="H4666" s="134"/>
    </row>
    <row r="4667" spans="8:8" x14ac:dyDescent="0.25">
      <c r="H4667" s="134"/>
    </row>
    <row r="4668" spans="8:8" x14ac:dyDescent="0.25">
      <c r="H4668" s="134"/>
    </row>
    <row r="4669" spans="8:8" x14ac:dyDescent="0.25">
      <c r="H4669" s="134"/>
    </row>
    <row r="4670" spans="8:8" x14ac:dyDescent="0.25">
      <c r="H4670" s="134"/>
    </row>
    <row r="4671" spans="8:8" x14ac:dyDescent="0.25">
      <c r="H4671" s="134"/>
    </row>
    <row r="4672" spans="8:8" x14ac:dyDescent="0.25">
      <c r="H4672" s="134"/>
    </row>
    <row r="4673" spans="8:8" x14ac:dyDescent="0.25">
      <c r="H4673" s="134"/>
    </row>
    <row r="4674" spans="8:8" x14ac:dyDescent="0.25">
      <c r="H4674" s="134"/>
    </row>
    <row r="4675" spans="8:8" x14ac:dyDescent="0.25">
      <c r="H4675" s="134"/>
    </row>
    <row r="4676" spans="8:8" x14ac:dyDescent="0.25">
      <c r="H4676" s="134"/>
    </row>
    <row r="4677" spans="8:8" x14ac:dyDescent="0.25">
      <c r="H4677" s="134"/>
    </row>
    <row r="4678" spans="8:8" x14ac:dyDescent="0.25">
      <c r="H4678" s="134"/>
    </row>
    <row r="4679" spans="8:8" x14ac:dyDescent="0.25">
      <c r="H4679" s="134"/>
    </row>
    <row r="4680" spans="8:8" x14ac:dyDescent="0.25">
      <c r="H4680" s="134"/>
    </row>
    <row r="4681" spans="8:8" x14ac:dyDescent="0.25">
      <c r="H4681" s="134"/>
    </row>
    <row r="4682" spans="8:8" x14ac:dyDescent="0.25">
      <c r="H4682" s="134"/>
    </row>
    <row r="4683" spans="8:8" x14ac:dyDescent="0.25">
      <c r="H4683" s="134"/>
    </row>
    <row r="4684" spans="8:8" x14ac:dyDescent="0.25">
      <c r="H4684" s="134"/>
    </row>
    <row r="4685" spans="8:8" x14ac:dyDescent="0.25">
      <c r="H4685" s="134"/>
    </row>
    <row r="4686" spans="8:8" x14ac:dyDescent="0.25">
      <c r="H4686" s="134"/>
    </row>
    <row r="4687" spans="8:8" x14ac:dyDescent="0.25">
      <c r="H4687" s="134"/>
    </row>
    <row r="4688" spans="8:8" x14ac:dyDescent="0.25">
      <c r="H4688" s="134"/>
    </row>
    <row r="4689" spans="8:8" x14ac:dyDescent="0.25">
      <c r="H4689" s="134"/>
    </row>
    <row r="4690" spans="8:8" x14ac:dyDescent="0.25">
      <c r="H4690" s="134"/>
    </row>
    <row r="4691" spans="8:8" x14ac:dyDescent="0.25">
      <c r="H4691" s="134"/>
    </row>
    <row r="4692" spans="8:8" x14ac:dyDescent="0.25">
      <c r="H4692" s="134"/>
    </row>
    <row r="4693" spans="8:8" x14ac:dyDescent="0.25">
      <c r="H4693" s="134"/>
    </row>
    <row r="4694" spans="8:8" x14ac:dyDescent="0.25">
      <c r="H4694" s="134"/>
    </row>
    <row r="4695" spans="8:8" x14ac:dyDescent="0.25">
      <c r="H4695" s="134"/>
    </row>
    <row r="4696" spans="8:8" x14ac:dyDescent="0.25">
      <c r="H4696" s="134"/>
    </row>
    <row r="4697" spans="8:8" x14ac:dyDescent="0.25">
      <c r="H4697" s="134"/>
    </row>
    <row r="4698" spans="8:8" x14ac:dyDescent="0.25">
      <c r="H4698" s="134"/>
    </row>
    <row r="4699" spans="8:8" x14ac:dyDescent="0.25">
      <c r="H4699" s="134"/>
    </row>
    <row r="4700" spans="8:8" x14ac:dyDescent="0.25">
      <c r="H4700" s="134"/>
    </row>
    <row r="4701" spans="8:8" x14ac:dyDescent="0.25">
      <c r="H4701" s="134"/>
    </row>
    <row r="4702" spans="8:8" x14ac:dyDescent="0.25">
      <c r="H4702" s="134"/>
    </row>
    <row r="4703" spans="8:8" x14ac:dyDescent="0.25">
      <c r="H4703" s="134"/>
    </row>
    <row r="4704" spans="8:8" x14ac:dyDescent="0.25">
      <c r="H4704" s="134"/>
    </row>
    <row r="4705" spans="8:8" x14ac:dyDescent="0.25">
      <c r="H4705" s="134"/>
    </row>
    <row r="4706" spans="8:8" x14ac:dyDescent="0.25">
      <c r="H4706" s="134"/>
    </row>
    <row r="4707" spans="8:8" x14ac:dyDescent="0.25">
      <c r="H4707" s="134"/>
    </row>
    <row r="4708" spans="8:8" x14ac:dyDescent="0.25">
      <c r="H4708" s="134"/>
    </row>
    <row r="4709" spans="8:8" x14ac:dyDescent="0.25">
      <c r="H4709" s="134"/>
    </row>
    <row r="4710" spans="8:8" x14ac:dyDescent="0.25">
      <c r="H4710" s="134"/>
    </row>
    <row r="4711" spans="8:8" x14ac:dyDescent="0.25">
      <c r="H4711" s="134"/>
    </row>
    <row r="4712" spans="8:8" x14ac:dyDescent="0.25">
      <c r="H4712" s="134"/>
    </row>
    <row r="4713" spans="8:8" x14ac:dyDescent="0.25">
      <c r="H4713" s="134"/>
    </row>
    <row r="4714" spans="8:8" x14ac:dyDescent="0.25">
      <c r="H4714" s="134"/>
    </row>
    <row r="4715" spans="8:8" x14ac:dyDescent="0.25">
      <c r="H4715" s="134"/>
    </row>
    <row r="4716" spans="8:8" x14ac:dyDescent="0.25">
      <c r="H4716" s="134"/>
    </row>
    <row r="4717" spans="8:8" x14ac:dyDescent="0.25">
      <c r="H4717" s="134"/>
    </row>
    <row r="4718" spans="8:8" x14ac:dyDescent="0.25">
      <c r="H4718" s="134"/>
    </row>
    <row r="4719" spans="8:8" x14ac:dyDescent="0.25">
      <c r="H4719" s="134"/>
    </row>
    <row r="4720" spans="8:8" x14ac:dyDescent="0.25">
      <c r="H4720" s="134"/>
    </row>
    <row r="4721" spans="8:8" x14ac:dyDescent="0.25">
      <c r="H4721" s="134"/>
    </row>
    <row r="4722" spans="8:8" x14ac:dyDescent="0.25">
      <c r="H4722" s="134"/>
    </row>
    <row r="4723" spans="8:8" x14ac:dyDescent="0.25">
      <c r="H4723" s="134"/>
    </row>
    <row r="4724" spans="8:8" x14ac:dyDescent="0.25">
      <c r="H4724" s="134"/>
    </row>
    <row r="4725" spans="8:8" x14ac:dyDescent="0.25">
      <c r="H4725" s="134"/>
    </row>
    <row r="4726" spans="8:8" x14ac:dyDescent="0.25">
      <c r="H4726" s="134"/>
    </row>
    <row r="4727" spans="8:8" x14ac:dyDescent="0.25">
      <c r="H4727" s="134"/>
    </row>
    <row r="4728" spans="8:8" x14ac:dyDescent="0.25">
      <c r="H4728" s="134"/>
    </row>
    <row r="4729" spans="8:8" x14ac:dyDescent="0.25">
      <c r="H4729" s="134"/>
    </row>
    <row r="4730" spans="8:8" x14ac:dyDescent="0.25">
      <c r="H4730" s="134"/>
    </row>
    <row r="4731" spans="8:8" x14ac:dyDescent="0.25">
      <c r="H4731" s="134"/>
    </row>
    <row r="4732" spans="8:8" x14ac:dyDescent="0.25">
      <c r="H4732" s="134"/>
    </row>
    <row r="4733" spans="8:8" x14ac:dyDescent="0.25">
      <c r="H4733" s="134"/>
    </row>
    <row r="4734" spans="8:8" x14ac:dyDescent="0.25">
      <c r="H4734" s="134"/>
    </row>
    <row r="4735" spans="8:8" x14ac:dyDescent="0.25">
      <c r="H4735" s="134"/>
    </row>
    <row r="4736" spans="8:8" x14ac:dyDescent="0.25">
      <c r="H4736" s="134"/>
    </row>
    <row r="4737" spans="8:8" x14ac:dyDescent="0.25">
      <c r="H4737" s="134"/>
    </row>
    <row r="4738" spans="8:8" x14ac:dyDescent="0.25">
      <c r="H4738" s="134"/>
    </row>
    <row r="4739" spans="8:8" x14ac:dyDescent="0.25">
      <c r="H4739" s="134"/>
    </row>
    <row r="4740" spans="8:8" x14ac:dyDescent="0.25">
      <c r="H4740" s="134"/>
    </row>
    <row r="4741" spans="8:8" x14ac:dyDescent="0.25">
      <c r="H4741" s="134"/>
    </row>
    <row r="4742" spans="8:8" x14ac:dyDescent="0.25">
      <c r="H4742" s="134"/>
    </row>
    <row r="4743" spans="8:8" x14ac:dyDescent="0.25">
      <c r="H4743" s="134"/>
    </row>
    <row r="4744" spans="8:8" x14ac:dyDescent="0.25">
      <c r="H4744" s="134"/>
    </row>
    <row r="4745" spans="8:8" x14ac:dyDescent="0.25">
      <c r="H4745" s="134"/>
    </row>
    <row r="4746" spans="8:8" x14ac:dyDescent="0.25">
      <c r="H4746" s="134"/>
    </row>
    <row r="4747" spans="8:8" x14ac:dyDescent="0.25">
      <c r="H4747" s="134"/>
    </row>
    <row r="4748" spans="8:8" x14ac:dyDescent="0.25">
      <c r="H4748" s="134"/>
    </row>
    <row r="4749" spans="8:8" x14ac:dyDescent="0.25">
      <c r="H4749" s="134"/>
    </row>
    <row r="4750" spans="8:8" x14ac:dyDescent="0.25">
      <c r="H4750" s="134"/>
    </row>
    <row r="4751" spans="8:8" x14ac:dyDescent="0.25">
      <c r="H4751" s="134"/>
    </row>
    <row r="4752" spans="8:8" x14ac:dyDescent="0.25">
      <c r="H4752" s="134"/>
    </row>
    <row r="4753" spans="8:8" x14ac:dyDescent="0.25">
      <c r="H4753" s="134"/>
    </row>
    <row r="4754" spans="8:8" x14ac:dyDescent="0.25">
      <c r="H4754" s="134"/>
    </row>
    <row r="4755" spans="8:8" x14ac:dyDescent="0.25">
      <c r="H4755" s="134"/>
    </row>
    <row r="4756" spans="8:8" x14ac:dyDescent="0.25">
      <c r="H4756" s="134"/>
    </row>
    <row r="4757" spans="8:8" x14ac:dyDescent="0.25">
      <c r="H4757" s="134"/>
    </row>
    <row r="4758" spans="8:8" x14ac:dyDescent="0.25">
      <c r="H4758" s="134"/>
    </row>
    <row r="4759" spans="8:8" x14ac:dyDescent="0.25">
      <c r="H4759" s="134"/>
    </row>
    <row r="4760" spans="8:8" x14ac:dyDescent="0.25">
      <c r="H4760" s="134"/>
    </row>
    <row r="4761" spans="8:8" x14ac:dyDescent="0.25">
      <c r="H4761" s="134"/>
    </row>
    <row r="4762" spans="8:8" x14ac:dyDescent="0.25">
      <c r="H4762" s="134"/>
    </row>
    <row r="4763" spans="8:8" x14ac:dyDescent="0.25">
      <c r="H4763" s="134"/>
    </row>
    <row r="4764" spans="8:8" x14ac:dyDescent="0.25">
      <c r="H4764" s="134"/>
    </row>
    <row r="4765" spans="8:8" x14ac:dyDescent="0.25">
      <c r="H4765" s="134"/>
    </row>
    <row r="4766" spans="8:8" x14ac:dyDescent="0.25">
      <c r="H4766" s="134"/>
    </row>
    <row r="4767" spans="8:8" x14ac:dyDescent="0.25">
      <c r="H4767" s="134"/>
    </row>
    <row r="4768" spans="8:8" x14ac:dyDescent="0.25">
      <c r="H4768" s="134"/>
    </row>
    <row r="4769" spans="8:8" x14ac:dyDescent="0.25">
      <c r="H4769" s="134"/>
    </row>
    <row r="4770" spans="8:8" x14ac:dyDescent="0.25">
      <c r="H4770" s="134"/>
    </row>
    <row r="4771" spans="8:8" x14ac:dyDescent="0.25">
      <c r="H4771" s="134"/>
    </row>
    <row r="4772" spans="8:8" x14ac:dyDescent="0.25">
      <c r="H4772" s="134"/>
    </row>
    <row r="4773" spans="8:8" x14ac:dyDescent="0.25">
      <c r="H4773" s="134"/>
    </row>
    <row r="4774" spans="8:8" x14ac:dyDescent="0.25">
      <c r="H4774" s="134"/>
    </row>
    <row r="4775" spans="8:8" x14ac:dyDescent="0.25">
      <c r="H4775" s="134"/>
    </row>
    <row r="4776" spans="8:8" x14ac:dyDescent="0.25">
      <c r="H4776" s="134"/>
    </row>
    <row r="4777" spans="8:8" x14ac:dyDescent="0.25">
      <c r="H4777" s="134"/>
    </row>
    <row r="4778" spans="8:8" x14ac:dyDescent="0.25">
      <c r="H4778" s="134"/>
    </row>
    <row r="4779" spans="8:8" x14ac:dyDescent="0.25">
      <c r="H4779" s="134"/>
    </row>
    <row r="4780" spans="8:8" x14ac:dyDescent="0.25">
      <c r="H4780" s="134"/>
    </row>
    <row r="4781" spans="8:8" x14ac:dyDescent="0.25">
      <c r="H4781" s="134"/>
    </row>
    <row r="4782" spans="8:8" x14ac:dyDescent="0.25">
      <c r="H4782" s="134"/>
    </row>
    <row r="4783" spans="8:8" x14ac:dyDescent="0.25">
      <c r="H4783" s="134"/>
    </row>
    <row r="4784" spans="8:8" x14ac:dyDescent="0.25">
      <c r="H4784" s="134"/>
    </row>
    <row r="4785" spans="8:8" x14ac:dyDescent="0.25">
      <c r="H4785" s="134"/>
    </row>
    <row r="4786" spans="8:8" x14ac:dyDescent="0.25">
      <c r="H4786" s="134"/>
    </row>
    <row r="4787" spans="8:8" x14ac:dyDescent="0.25">
      <c r="H4787" s="134"/>
    </row>
    <row r="4788" spans="8:8" x14ac:dyDescent="0.25">
      <c r="H4788" s="134"/>
    </row>
    <row r="4789" spans="8:8" x14ac:dyDescent="0.25">
      <c r="H4789" s="134"/>
    </row>
    <row r="4790" spans="8:8" x14ac:dyDescent="0.25">
      <c r="H4790" s="134"/>
    </row>
    <row r="4791" spans="8:8" x14ac:dyDescent="0.25">
      <c r="H4791" s="134"/>
    </row>
    <row r="4792" spans="8:8" x14ac:dyDescent="0.25">
      <c r="H4792" s="134"/>
    </row>
    <row r="4793" spans="8:8" x14ac:dyDescent="0.25">
      <c r="H4793" s="134"/>
    </row>
    <row r="4794" spans="8:8" x14ac:dyDescent="0.25">
      <c r="H4794" s="134"/>
    </row>
    <row r="4795" spans="8:8" x14ac:dyDescent="0.25">
      <c r="H4795" s="134"/>
    </row>
    <row r="4796" spans="8:8" x14ac:dyDescent="0.25">
      <c r="H4796" s="134"/>
    </row>
    <row r="4797" spans="8:8" x14ac:dyDescent="0.25">
      <c r="H4797" s="134"/>
    </row>
    <row r="4798" spans="8:8" x14ac:dyDescent="0.25">
      <c r="H4798" s="134"/>
    </row>
    <row r="4799" spans="8:8" x14ac:dyDescent="0.25">
      <c r="H4799" s="134"/>
    </row>
    <row r="4800" spans="8:8" x14ac:dyDescent="0.25">
      <c r="H4800" s="134"/>
    </row>
    <row r="4801" spans="8:8" x14ac:dyDescent="0.25">
      <c r="H4801" s="134"/>
    </row>
    <row r="4802" spans="8:8" x14ac:dyDescent="0.25">
      <c r="H4802" s="134"/>
    </row>
    <row r="4803" spans="8:8" x14ac:dyDescent="0.25">
      <c r="H4803" s="134"/>
    </row>
    <row r="4804" spans="8:8" x14ac:dyDescent="0.25">
      <c r="H4804" s="134"/>
    </row>
    <row r="4805" spans="8:8" x14ac:dyDescent="0.25">
      <c r="H4805" s="134"/>
    </row>
    <row r="4806" spans="8:8" x14ac:dyDescent="0.25">
      <c r="H4806" s="134"/>
    </row>
    <row r="4807" spans="8:8" x14ac:dyDescent="0.25">
      <c r="H4807" s="134"/>
    </row>
    <row r="4808" spans="8:8" x14ac:dyDescent="0.25">
      <c r="H4808" s="134"/>
    </row>
    <row r="4809" spans="8:8" x14ac:dyDescent="0.25">
      <c r="H4809" s="134"/>
    </row>
    <row r="4810" spans="8:8" x14ac:dyDescent="0.25">
      <c r="H4810" s="134"/>
    </row>
    <row r="4811" spans="8:8" x14ac:dyDescent="0.25">
      <c r="H4811" s="134"/>
    </row>
    <row r="4812" spans="8:8" x14ac:dyDescent="0.25">
      <c r="H4812" s="134"/>
    </row>
    <row r="4813" spans="8:8" x14ac:dyDescent="0.25">
      <c r="H4813" s="134"/>
    </row>
    <row r="4814" spans="8:8" x14ac:dyDescent="0.25">
      <c r="H4814" s="134"/>
    </row>
    <row r="4815" spans="8:8" x14ac:dyDescent="0.25">
      <c r="H4815" s="134"/>
    </row>
    <row r="4816" spans="8:8" x14ac:dyDescent="0.25">
      <c r="H4816" s="134"/>
    </row>
    <row r="4817" spans="8:8" x14ac:dyDescent="0.25">
      <c r="H4817" s="134"/>
    </row>
    <row r="4818" spans="8:8" x14ac:dyDescent="0.25">
      <c r="H4818" s="134"/>
    </row>
    <row r="4819" spans="8:8" x14ac:dyDescent="0.25">
      <c r="H4819" s="134"/>
    </row>
    <row r="4820" spans="8:8" x14ac:dyDescent="0.25">
      <c r="H4820" s="134"/>
    </row>
    <row r="4821" spans="8:8" x14ac:dyDescent="0.25">
      <c r="H4821" s="134"/>
    </row>
    <row r="4822" spans="8:8" x14ac:dyDescent="0.25">
      <c r="H4822" s="134"/>
    </row>
    <row r="4823" spans="8:8" x14ac:dyDescent="0.25">
      <c r="H4823" s="134"/>
    </row>
    <row r="4824" spans="8:8" x14ac:dyDescent="0.25">
      <c r="H4824" s="134"/>
    </row>
    <row r="4825" spans="8:8" x14ac:dyDescent="0.25">
      <c r="H4825" s="134"/>
    </row>
    <row r="4826" spans="8:8" x14ac:dyDescent="0.25">
      <c r="H4826" s="134"/>
    </row>
    <row r="4827" spans="8:8" x14ac:dyDescent="0.25">
      <c r="H4827" s="134"/>
    </row>
    <row r="4828" spans="8:8" x14ac:dyDescent="0.25">
      <c r="H4828" s="134"/>
    </row>
    <row r="4829" spans="8:8" x14ac:dyDescent="0.25">
      <c r="H4829" s="134"/>
    </row>
    <row r="4830" spans="8:8" x14ac:dyDescent="0.25">
      <c r="H4830" s="134"/>
    </row>
    <row r="4831" spans="8:8" x14ac:dyDescent="0.25">
      <c r="H4831" s="134"/>
    </row>
    <row r="4832" spans="8:8" x14ac:dyDescent="0.25">
      <c r="H4832" s="134"/>
    </row>
    <row r="4833" spans="8:8" x14ac:dyDescent="0.25">
      <c r="H4833" s="134"/>
    </row>
    <row r="4834" spans="8:8" x14ac:dyDescent="0.25">
      <c r="H4834" s="134"/>
    </row>
    <row r="4835" spans="8:8" x14ac:dyDescent="0.25">
      <c r="H4835" s="134"/>
    </row>
    <row r="4836" spans="8:8" x14ac:dyDescent="0.25">
      <c r="H4836" s="134"/>
    </row>
    <row r="4837" spans="8:8" x14ac:dyDescent="0.25">
      <c r="H4837" s="134"/>
    </row>
    <row r="4838" spans="8:8" x14ac:dyDescent="0.25">
      <c r="H4838" s="134"/>
    </row>
    <row r="4839" spans="8:8" x14ac:dyDescent="0.25">
      <c r="H4839" s="134"/>
    </row>
    <row r="4840" spans="8:8" x14ac:dyDescent="0.25">
      <c r="H4840" s="134"/>
    </row>
    <row r="4841" spans="8:8" x14ac:dyDescent="0.25">
      <c r="H4841" s="134"/>
    </row>
    <row r="4842" spans="8:8" x14ac:dyDescent="0.25">
      <c r="H4842" s="134"/>
    </row>
    <row r="4843" spans="8:8" x14ac:dyDescent="0.25">
      <c r="H4843" s="134"/>
    </row>
    <row r="4844" spans="8:8" x14ac:dyDescent="0.25">
      <c r="H4844" s="134"/>
    </row>
    <row r="4845" spans="8:8" x14ac:dyDescent="0.25">
      <c r="H4845" s="134"/>
    </row>
    <row r="4846" spans="8:8" x14ac:dyDescent="0.25">
      <c r="H4846" s="134"/>
    </row>
    <row r="4847" spans="8:8" x14ac:dyDescent="0.25">
      <c r="H4847" s="134"/>
    </row>
    <row r="4848" spans="8:8" x14ac:dyDescent="0.25">
      <c r="H4848" s="134"/>
    </row>
    <row r="4849" spans="8:8" x14ac:dyDescent="0.25">
      <c r="H4849" s="134"/>
    </row>
    <row r="4850" spans="8:8" x14ac:dyDescent="0.25">
      <c r="H4850" s="134"/>
    </row>
    <row r="4851" spans="8:8" x14ac:dyDescent="0.25">
      <c r="H4851" s="134"/>
    </row>
    <row r="4852" spans="8:8" x14ac:dyDescent="0.25">
      <c r="H4852" s="134"/>
    </row>
    <row r="4853" spans="8:8" x14ac:dyDescent="0.25">
      <c r="H4853" s="134"/>
    </row>
    <row r="4854" spans="8:8" x14ac:dyDescent="0.25">
      <c r="H4854" s="134"/>
    </row>
    <row r="4855" spans="8:8" x14ac:dyDescent="0.25">
      <c r="H4855" s="134"/>
    </row>
    <row r="4856" spans="8:8" x14ac:dyDescent="0.25">
      <c r="H4856" s="134"/>
    </row>
    <row r="4857" spans="8:8" x14ac:dyDescent="0.25">
      <c r="H4857" s="134"/>
    </row>
    <row r="4858" spans="8:8" x14ac:dyDescent="0.25">
      <c r="H4858" s="134"/>
    </row>
    <row r="4859" spans="8:8" x14ac:dyDescent="0.25">
      <c r="H4859" s="134"/>
    </row>
    <row r="4860" spans="8:8" x14ac:dyDescent="0.25">
      <c r="H4860" s="134"/>
    </row>
    <row r="4861" spans="8:8" x14ac:dyDescent="0.25">
      <c r="H4861" s="134"/>
    </row>
    <row r="4862" spans="8:8" x14ac:dyDescent="0.25">
      <c r="H4862" s="134"/>
    </row>
    <row r="4863" spans="8:8" x14ac:dyDescent="0.25">
      <c r="H4863" s="134"/>
    </row>
    <row r="4864" spans="8:8" x14ac:dyDescent="0.25">
      <c r="H4864" s="134"/>
    </row>
    <row r="4865" spans="8:8" x14ac:dyDescent="0.25">
      <c r="H4865" s="134"/>
    </row>
    <row r="4866" spans="8:8" x14ac:dyDescent="0.25">
      <c r="H4866" s="134"/>
    </row>
    <row r="4867" spans="8:8" x14ac:dyDescent="0.25">
      <c r="H4867" s="134"/>
    </row>
    <row r="4868" spans="8:8" x14ac:dyDescent="0.25">
      <c r="H4868" s="134"/>
    </row>
    <row r="4869" spans="8:8" x14ac:dyDescent="0.25">
      <c r="H4869" s="134"/>
    </row>
    <row r="4870" spans="8:8" x14ac:dyDescent="0.25">
      <c r="H4870" s="134"/>
    </row>
    <row r="4871" spans="8:8" x14ac:dyDescent="0.25">
      <c r="H4871" s="134"/>
    </row>
    <row r="4872" spans="8:8" x14ac:dyDescent="0.25">
      <c r="H4872" s="134"/>
    </row>
    <row r="4873" spans="8:8" x14ac:dyDescent="0.25">
      <c r="H4873" s="134"/>
    </row>
    <row r="4874" spans="8:8" x14ac:dyDescent="0.25">
      <c r="H4874" s="134"/>
    </row>
    <row r="4875" spans="8:8" x14ac:dyDescent="0.25">
      <c r="H4875" s="134"/>
    </row>
    <row r="4876" spans="8:8" x14ac:dyDescent="0.25">
      <c r="H4876" s="134"/>
    </row>
    <row r="4877" spans="8:8" x14ac:dyDescent="0.25">
      <c r="H4877" s="134"/>
    </row>
    <row r="4878" spans="8:8" x14ac:dyDescent="0.25">
      <c r="H4878" s="134"/>
    </row>
    <row r="4879" spans="8:8" x14ac:dyDescent="0.25">
      <c r="H4879" s="134"/>
    </row>
    <row r="4880" spans="8:8" x14ac:dyDescent="0.25">
      <c r="H4880" s="134"/>
    </row>
    <row r="4881" spans="8:8" x14ac:dyDescent="0.25">
      <c r="H4881" s="134"/>
    </row>
    <row r="4882" spans="8:8" x14ac:dyDescent="0.25">
      <c r="H4882" s="134"/>
    </row>
    <row r="4883" spans="8:8" x14ac:dyDescent="0.25">
      <c r="H4883" s="134"/>
    </row>
    <row r="4884" spans="8:8" x14ac:dyDescent="0.25">
      <c r="H4884" s="134"/>
    </row>
    <row r="4885" spans="8:8" x14ac:dyDescent="0.25">
      <c r="H4885" s="134"/>
    </row>
    <row r="4886" spans="8:8" x14ac:dyDescent="0.25">
      <c r="H4886" s="134"/>
    </row>
    <row r="4887" spans="8:8" x14ac:dyDescent="0.25">
      <c r="H4887" s="134"/>
    </row>
    <row r="4888" spans="8:8" x14ac:dyDescent="0.25">
      <c r="H4888" s="134"/>
    </row>
    <row r="4889" spans="8:8" x14ac:dyDescent="0.25">
      <c r="H4889" s="134"/>
    </row>
    <row r="4890" spans="8:8" x14ac:dyDescent="0.25">
      <c r="H4890" s="134"/>
    </row>
    <row r="4891" spans="8:8" x14ac:dyDescent="0.25">
      <c r="H4891" s="134"/>
    </row>
    <row r="4892" spans="8:8" x14ac:dyDescent="0.25">
      <c r="H4892" s="134"/>
    </row>
    <row r="4893" spans="8:8" x14ac:dyDescent="0.25">
      <c r="H4893" s="134"/>
    </row>
    <row r="4894" spans="8:8" x14ac:dyDescent="0.25">
      <c r="H4894" s="134"/>
    </row>
    <row r="4895" spans="8:8" x14ac:dyDescent="0.25">
      <c r="H4895" s="134"/>
    </row>
    <row r="4896" spans="8:8" x14ac:dyDescent="0.25">
      <c r="H4896" s="134"/>
    </row>
    <row r="4897" spans="8:8" x14ac:dyDescent="0.25">
      <c r="H4897" s="134"/>
    </row>
    <row r="4898" spans="8:8" x14ac:dyDescent="0.25">
      <c r="H4898" s="134"/>
    </row>
    <row r="4899" spans="8:8" x14ac:dyDescent="0.25">
      <c r="H4899" s="134"/>
    </row>
    <row r="4900" spans="8:8" x14ac:dyDescent="0.25">
      <c r="H4900" s="134"/>
    </row>
    <row r="4901" spans="8:8" x14ac:dyDescent="0.25">
      <c r="H4901" s="134"/>
    </row>
    <row r="4902" spans="8:8" x14ac:dyDescent="0.25">
      <c r="H4902" s="134"/>
    </row>
    <row r="4903" spans="8:8" x14ac:dyDescent="0.25">
      <c r="H4903" s="134"/>
    </row>
    <row r="4904" spans="8:8" x14ac:dyDescent="0.25">
      <c r="H4904" s="134"/>
    </row>
    <row r="4905" spans="8:8" x14ac:dyDescent="0.25">
      <c r="H4905" s="134"/>
    </row>
    <row r="4906" spans="8:8" x14ac:dyDescent="0.25">
      <c r="H4906" s="134"/>
    </row>
    <row r="4907" spans="8:8" x14ac:dyDescent="0.25">
      <c r="H4907" s="134"/>
    </row>
    <row r="4908" spans="8:8" x14ac:dyDescent="0.25">
      <c r="H4908" s="134"/>
    </row>
    <row r="4909" spans="8:8" x14ac:dyDescent="0.25">
      <c r="H4909" s="134"/>
    </row>
    <row r="4910" spans="8:8" x14ac:dyDescent="0.25">
      <c r="H4910" s="134"/>
    </row>
    <row r="4911" spans="8:8" x14ac:dyDescent="0.25">
      <c r="H4911" s="134"/>
    </row>
    <row r="4912" spans="8:8" x14ac:dyDescent="0.25">
      <c r="H4912" s="134"/>
    </row>
    <row r="4913" spans="8:8" x14ac:dyDescent="0.25">
      <c r="H4913" s="134"/>
    </row>
    <row r="4914" spans="8:8" x14ac:dyDescent="0.25">
      <c r="H4914" s="134"/>
    </row>
    <row r="4915" spans="8:8" x14ac:dyDescent="0.25">
      <c r="H4915" s="134"/>
    </row>
    <row r="4916" spans="8:8" x14ac:dyDescent="0.25">
      <c r="H4916" s="134"/>
    </row>
    <row r="4917" spans="8:8" x14ac:dyDescent="0.25">
      <c r="H4917" s="134"/>
    </row>
    <row r="4918" spans="8:8" x14ac:dyDescent="0.25">
      <c r="H4918" s="134"/>
    </row>
    <row r="4919" spans="8:8" x14ac:dyDescent="0.25">
      <c r="H4919" s="134"/>
    </row>
    <row r="4920" spans="8:8" x14ac:dyDescent="0.25">
      <c r="H4920" s="134"/>
    </row>
    <row r="4921" spans="8:8" x14ac:dyDescent="0.25">
      <c r="H4921" s="134"/>
    </row>
    <row r="4922" spans="8:8" x14ac:dyDescent="0.25">
      <c r="H4922" s="134"/>
    </row>
    <row r="4923" spans="8:8" x14ac:dyDescent="0.25">
      <c r="H4923" s="134"/>
    </row>
    <row r="4924" spans="8:8" x14ac:dyDescent="0.25">
      <c r="H4924" s="134"/>
    </row>
    <row r="4925" spans="8:8" x14ac:dyDescent="0.25">
      <c r="H4925" s="134"/>
    </row>
    <row r="4926" spans="8:8" x14ac:dyDescent="0.25">
      <c r="H4926" s="134"/>
    </row>
    <row r="4927" spans="8:8" x14ac:dyDescent="0.25">
      <c r="H4927" s="134"/>
    </row>
    <row r="4928" spans="8:8" x14ac:dyDescent="0.25">
      <c r="H4928" s="134"/>
    </row>
    <row r="4929" spans="8:8" x14ac:dyDescent="0.25">
      <c r="H4929" s="134"/>
    </row>
    <row r="4930" spans="8:8" x14ac:dyDescent="0.25">
      <c r="H4930" s="134"/>
    </row>
    <row r="4931" spans="8:8" x14ac:dyDescent="0.25">
      <c r="H4931" s="134"/>
    </row>
    <row r="4932" spans="8:8" x14ac:dyDescent="0.25">
      <c r="H4932" s="134"/>
    </row>
    <row r="4933" spans="8:8" x14ac:dyDescent="0.25">
      <c r="H4933" s="134"/>
    </row>
    <row r="4934" spans="8:8" x14ac:dyDescent="0.25">
      <c r="H4934" s="134"/>
    </row>
    <row r="4935" spans="8:8" x14ac:dyDescent="0.25">
      <c r="H4935" s="134"/>
    </row>
    <row r="4936" spans="8:8" x14ac:dyDescent="0.25">
      <c r="H4936" s="134"/>
    </row>
    <row r="4937" spans="8:8" x14ac:dyDescent="0.25">
      <c r="H4937" s="134"/>
    </row>
    <row r="4938" spans="8:8" x14ac:dyDescent="0.25">
      <c r="H4938" s="134"/>
    </row>
    <row r="4939" spans="8:8" x14ac:dyDescent="0.25">
      <c r="H4939" s="134"/>
    </row>
    <row r="4940" spans="8:8" x14ac:dyDescent="0.25">
      <c r="H4940" s="134"/>
    </row>
    <row r="4941" spans="8:8" x14ac:dyDescent="0.25">
      <c r="H4941" s="134"/>
    </row>
    <row r="4942" spans="8:8" x14ac:dyDescent="0.25">
      <c r="H4942" s="134"/>
    </row>
    <row r="4943" spans="8:8" x14ac:dyDescent="0.25">
      <c r="H4943" s="134"/>
    </row>
    <row r="4944" spans="8:8" x14ac:dyDescent="0.25">
      <c r="H4944" s="134"/>
    </row>
    <row r="4945" spans="8:8" x14ac:dyDescent="0.25">
      <c r="H4945" s="134"/>
    </row>
    <row r="4946" spans="8:8" x14ac:dyDescent="0.25">
      <c r="H4946" s="134"/>
    </row>
    <row r="4947" spans="8:8" x14ac:dyDescent="0.25">
      <c r="H4947" s="134"/>
    </row>
    <row r="4948" spans="8:8" x14ac:dyDescent="0.25">
      <c r="H4948" s="134"/>
    </row>
    <row r="4949" spans="8:8" x14ac:dyDescent="0.25">
      <c r="H4949" s="134"/>
    </row>
    <row r="4950" spans="8:8" x14ac:dyDescent="0.25">
      <c r="H4950" s="134"/>
    </row>
    <row r="4951" spans="8:8" x14ac:dyDescent="0.25">
      <c r="H4951" s="134"/>
    </row>
    <row r="4952" spans="8:8" x14ac:dyDescent="0.25">
      <c r="H4952" s="134"/>
    </row>
    <row r="4953" spans="8:8" x14ac:dyDescent="0.25">
      <c r="H4953" s="134"/>
    </row>
    <row r="4954" spans="8:8" x14ac:dyDescent="0.25">
      <c r="H4954" s="134"/>
    </row>
    <row r="4955" spans="8:8" x14ac:dyDescent="0.25">
      <c r="H4955" s="134"/>
    </row>
    <row r="4956" spans="8:8" x14ac:dyDescent="0.25">
      <c r="H4956" s="134"/>
    </row>
    <row r="4957" spans="8:8" x14ac:dyDescent="0.25">
      <c r="H4957" s="134"/>
    </row>
    <row r="4958" spans="8:8" x14ac:dyDescent="0.25">
      <c r="H4958" s="134"/>
    </row>
    <row r="4959" spans="8:8" x14ac:dyDescent="0.25">
      <c r="H4959" s="134"/>
    </row>
    <row r="4960" spans="8:8" x14ac:dyDescent="0.25">
      <c r="H4960" s="134"/>
    </row>
    <row r="4961" spans="8:8" x14ac:dyDescent="0.25">
      <c r="H4961" s="134"/>
    </row>
    <row r="4962" spans="8:8" x14ac:dyDescent="0.25">
      <c r="H4962" s="134"/>
    </row>
    <row r="4963" spans="8:8" x14ac:dyDescent="0.25">
      <c r="H4963" s="134"/>
    </row>
    <row r="4964" spans="8:8" x14ac:dyDescent="0.25">
      <c r="H4964" s="134"/>
    </row>
    <row r="4965" spans="8:8" x14ac:dyDescent="0.25">
      <c r="H4965" s="134"/>
    </row>
    <row r="4966" spans="8:8" x14ac:dyDescent="0.25">
      <c r="H4966" s="134"/>
    </row>
    <row r="4967" spans="8:8" x14ac:dyDescent="0.25">
      <c r="H4967" s="134"/>
    </row>
    <row r="4968" spans="8:8" x14ac:dyDescent="0.25">
      <c r="H4968" s="134"/>
    </row>
    <row r="4969" spans="8:8" x14ac:dyDescent="0.25">
      <c r="H4969" s="134"/>
    </row>
    <row r="4970" spans="8:8" x14ac:dyDescent="0.25">
      <c r="H4970" s="134"/>
    </row>
    <row r="4971" spans="8:8" x14ac:dyDescent="0.25">
      <c r="H4971" s="134"/>
    </row>
    <row r="4972" spans="8:8" x14ac:dyDescent="0.25">
      <c r="H4972" s="134"/>
    </row>
    <row r="4973" spans="8:8" x14ac:dyDescent="0.25">
      <c r="H4973" s="134"/>
    </row>
    <row r="4974" spans="8:8" x14ac:dyDescent="0.25">
      <c r="H4974" s="134"/>
    </row>
    <row r="4975" spans="8:8" x14ac:dyDescent="0.25">
      <c r="H4975" s="134"/>
    </row>
    <row r="4976" spans="8:8" x14ac:dyDescent="0.25">
      <c r="H4976" s="134"/>
    </row>
    <row r="4977" spans="8:8" x14ac:dyDescent="0.25">
      <c r="H4977" s="134"/>
    </row>
    <row r="4978" spans="8:8" x14ac:dyDescent="0.25">
      <c r="H4978" s="134"/>
    </row>
    <row r="4979" spans="8:8" x14ac:dyDescent="0.25">
      <c r="H4979" s="134"/>
    </row>
    <row r="4980" spans="8:8" x14ac:dyDescent="0.25">
      <c r="H4980" s="134"/>
    </row>
    <row r="4981" spans="8:8" x14ac:dyDescent="0.25">
      <c r="H4981" s="134"/>
    </row>
    <row r="4982" spans="8:8" x14ac:dyDescent="0.25">
      <c r="H4982" s="134"/>
    </row>
    <row r="4983" spans="8:8" x14ac:dyDescent="0.25">
      <c r="H4983" s="134"/>
    </row>
    <row r="4984" spans="8:8" x14ac:dyDescent="0.25">
      <c r="H4984" s="134"/>
    </row>
    <row r="4985" spans="8:8" x14ac:dyDescent="0.25">
      <c r="H4985" s="134"/>
    </row>
    <row r="4986" spans="8:8" x14ac:dyDescent="0.25">
      <c r="H4986" s="134"/>
    </row>
    <row r="4987" spans="8:8" x14ac:dyDescent="0.25">
      <c r="H4987" s="134"/>
    </row>
    <row r="4988" spans="8:8" x14ac:dyDescent="0.25">
      <c r="H4988" s="134"/>
    </row>
    <row r="4989" spans="8:8" x14ac:dyDescent="0.25">
      <c r="H4989" s="134"/>
    </row>
    <row r="4990" spans="8:8" x14ac:dyDescent="0.25">
      <c r="H4990" s="134"/>
    </row>
    <row r="4991" spans="8:8" x14ac:dyDescent="0.25">
      <c r="H4991" s="134"/>
    </row>
    <row r="4992" spans="8:8" x14ac:dyDescent="0.25">
      <c r="H4992" s="134"/>
    </row>
    <row r="4993" spans="8:8" x14ac:dyDescent="0.25">
      <c r="H4993" s="134"/>
    </row>
    <row r="4994" spans="8:8" x14ac:dyDescent="0.25">
      <c r="H4994" s="134"/>
    </row>
    <row r="4995" spans="8:8" x14ac:dyDescent="0.25">
      <c r="H4995" s="134"/>
    </row>
    <row r="4996" spans="8:8" x14ac:dyDescent="0.25">
      <c r="H4996" s="134"/>
    </row>
    <row r="4997" spans="8:8" x14ac:dyDescent="0.25">
      <c r="H4997" s="134"/>
    </row>
    <row r="4998" spans="8:8" x14ac:dyDescent="0.25">
      <c r="H4998" s="134"/>
    </row>
    <row r="4999" spans="8:8" x14ac:dyDescent="0.25">
      <c r="H4999" s="134"/>
    </row>
    <row r="5000" spans="8:8" x14ac:dyDescent="0.25">
      <c r="H5000" s="134"/>
    </row>
    <row r="5001" spans="8:8" x14ac:dyDescent="0.25">
      <c r="H5001" s="134"/>
    </row>
    <row r="5002" spans="8:8" x14ac:dyDescent="0.25">
      <c r="H5002" s="134"/>
    </row>
    <row r="5003" spans="8:8" x14ac:dyDescent="0.25">
      <c r="H5003" s="134"/>
    </row>
    <row r="5004" spans="8:8" x14ac:dyDescent="0.25">
      <c r="H5004" s="134"/>
    </row>
    <row r="5005" spans="8:8" x14ac:dyDescent="0.25">
      <c r="H5005" s="134"/>
    </row>
    <row r="5006" spans="8:8" x14ac:dyDescent="0.25">
      <c r="H5006" s="134"/>
    </row>
    <row r="5007" spans="8:8" x14ac:dyDescent="0.25">
      <c r="H5007" s="134"/>
    </row>
    <row r="5008" spans="8:8" x14ac:dyDescent="0.25">
      <c r="H5008" s="134"/>
    </row>
    <row r="5009" spans="8:8" x14ac:dyDescent="0.25">
      <c r="H5009" s="134"/>
    </row>
    <row r="5010" spans="8:8" x14ac:dyDescent="0.25">
      <c r="H5010" s="134"/>
    </row>
    <row r="5011" spans="8:8" x14ac:dyDescent="0.25">
      <c r="H5011" s="134"/>
    </row>
    <row r="5012" spans="8:8" x14ac:dyDescent="0.25">
      <c r="H5012" s="134"/>
    </row>
    <row r="5013" spans="8:8" x14ac:dyDescent="0.25">
      <c r="H5013" s="134"/>
    </row>
    <row r="5014" spans="8:8" x14ac:dyDescent="0.25">
      <c r="H5014" s="134"/>
    </row>
    <row r="5015" spans="8:8" x14ac:dyDescent="0.25">
      <c r="H5015" s="134"/>
    </row>
    <row r="5016" spans="8:8" x14ac:dyDescent="0.25">
      <c r="H5016" s="134"/>
    </row>
    <row r="5017" spans="8:8" x14ac:dyDescent="0.25">
      <c r="H5017" s="134"/>
    </row>
    <row r="5018" spans="8:8" x14ac:dyDescent="0.25">
      <c r="H5018" s="134"/>
    </row>
    <row r="5019" spans="8:8" x14ac:dyDescent="0.25">
      <c r="H5019" s="134"/>
    </row>
    <row r="5020" spans="8:8" x14ac:dyDescent="0.25">
      <c r="H5020" s="134"/>
    </row>
    <row r="5021" spans="8:8" x14ac:dyDescent="0.25">
      <c r="H5021" s="134"/>
    </row>
    <row r="5022" spans="8:8" x14ac:dyDescent="0.25">
      <c r="H5022" s="134"/>
    </row>
    <row r="5023" spans="8:8" x14ac:dyDescent="0.25">
      <c r="H5023" s="134"/>
    </row>
    <row r="5024" spans="8:8" x14ac:dyDescent="0.25">
      <c r="H5024" s="134"/>
    </row>
    <row r="5025" spans="8:8" x14ac:dyDescent="0.25">
      <c r="H5025" s="134"/>
    </row>
    <row r="5026" spans="8:8" x14ac:dyDescent="0.25">
      <c r="H5026" s="134"/>
    </row>
    <row r="5027" spans="8:8" x14ac:dyDescent="0.25">
      <c r="H5027" s="134"/>
    </row>
    <row r="5028" spans="8:8" x14ac:dyDescent="0.25">
      <c r="H5028" s="134"/>
    </row>
    <row r="5029" spans="8:8" x14ac:dyDescent="0.25">
      <c r="H5029" s="134"/>
    </row>
    <row r="5030" spans="8:8" x14ac:dyDescent="0.25">
      <c r="H5030" s="134"/>
    </row>
    <row r="5031" spans="8:8" x14ac:dyDescent="0.25">
      <c r="H5031" s="134"/>
    </row>
    <row r="5032" spans="8:8" x14ac:dyDescent="0.25">
      <c r="H5032" s="134"/>
    </row>
    <row r="5033" spans="8:8" x14ac:dyDescent="0.25">
      <c r="H5033" s="134"/>
    </row>
    <row r="5034" spans="8:8" x14ac:dyDescent="0.25">
      <c r="H5034" s="134"/>
    </row>
    <row r="5035" spans="8:8" x14ac:dyDescent="0.25">
      <c r="H5035" s="134"/>
    </row>
    <row r="5036" spans="8:8" x14ac:dyDescent="0.25">
      <c r="H5036" s="134"/>
    </row>
    <row r="5037" spans="8:8" x14ac:dyDescent="0.25">
      <c r="H5037" s="134"/>
    </row>
    <row r="5038" spans="8:8" x14ac:dyDescent="0.25">
      <c r="H5038" s="134"/>
    </row>
    <row r="5039" spans="8:8" x14ac:dyDescent="0.25">
      <c r="H5039" s="134"/>
    </row>
    <row r="5040" spans="8:8" x14ac:dyDescent="0.25">
      <c r="H5040" s="134"/>
    </row>
    <row r="5041" spans="8:8" x14ac:dyDescent="0.25">
      <c r="H5041" s="134"/>
    </row>
    <row r="5042" spans="8:8" x14ac:dyDescent="0.25">
      <c r="H5042" s="134"/>
    </row>
    <row r="5043" spans="8:8" x14ac:dyDescent="0.25">
      <c r="H5043" s="134"/>
    </row>
    <row r="5044" spans="8:8" x14ac:dyDescent="0.25">
      <c r="H5044" s="134"/>
    </row>
    <row r="5045" spans="8:8" x14ac:dyDescent="0.25">
      <c r="H5045" s="134"/>
    </row>
    <row r="5046" spans="8:8" x14ac:dyDescent="0.25">
      <c r="H5046" s="134"/>
    </row>
    <row r="5047" spans="8:8" x14ac:dyDescent="0.25">
      <c r="H5047" s="134"/>
    </row>
    <row r="5048" spans="8:8" x14ac:dyDescent="0.25">
      <c r="H5048" s="134"/>
    </row>
    <row r="5049" spans="8:8" x14ac:dyDescent="0.25">
      <c r="H5049" s="134"/>
    </row>
    <row r="5050" spans="8:8" x14ac:dyDescent="0.25">
      <c r="H5050" s="134"/>
    </row>
    <row r="5051" spans="8:8" x14ac:dyDescent="0.25">
      <c r="H5051" s="134"/>
    </row>
    <row r="5052" spans="8:8" x14ac:dyDescent="0.25">
      <c r="H5052" s="134"/>
    </row>
    <row r="5053" spans="8:8" x14ac:dyDescent="0.25">
      <c r="H5053" s="134"/>
    </row>
    <row r="5054" spans="8:8" x14ac:dyDescent="0.25">
      <c r="H5054" s="134"/>
    </row>
    <row r="5055" spans="8:8" x14ac:dyDescent="0.25">
      <c r="H5055" s="134"/>
    </row>
    <row r="5056" spans="8:8" x14ac:dyDescent="0.25">
      <c r="H5056" s="134"/>
    </row>
    <row r="5057" spans="8:8" x14ac:dyDescent="0.25">
      <c r="H5057" s="134"/>
    </row>
    <row r="5058" spans="8:8" x14ac:dyDescent="0.25">
      <c r="H5058" s="134"/>
    </row>
    <row r="5059" spans="8:8" x14ac:dyDescent="0.25">
      <c r="H5059" s="134"/>
    </row>
    <row r="5060" spans="8:8" x14ac:dyDescent="0.25">
      <c r="H5060" s="134"/>
    </row>
    <row r="5061" spans="8:8" x14ac:dyDescent="0.25">
      <c r="H5061" s="134"/>
    </row>
    <row r="5062" spans="8:8" x14ac:dyDescent="0.25">
      <c r="H5062" s="134"/>
    </row>
    <row r="5063" spans="8:8" x14ac:dyDescent="0.25">
      <c r="H5063" s="134"/>
    </row>
    <row r="5064" spans="8:8" x14ac:dyDescent="0.25">
      <c r="H5064" s="134"/>
    </row>
    <row r="5065" spans="8:8" x14ac:dyDescent="0.25">
      <c r="H5065" s="134"/>
    </row>
    <row r="5066" spans="8:8" x14ac:dyDescent="0.25">
      <c r="H5066" s="134"/>
    </row>
    <row r="5067" spans="8:8" x14ac:dyDescent="0.25">
      <c r="H5067" s="134"/>
    </row>
    <row r="5068" spans="8:8" x14ac:dyDescent="0.25">
      <c r="H5068" s="134"/>
    </row>
    <row r="5069" spans="8:8" x14ac:dyDescent="0.25">
      <c r="H5069" s="134"/>
    </row>
    <row r="5070" spans="8:8" x14ac:dyDescent="0.25">
      <c r="H5070" s="134"/>
    </row>
    <row r="5071" spans="8:8" x14ac:dyDescent="0.25">
      <c r="H5071" s="134"/>
    </row>
    <row r="5072" spans="8:8" x14ac:dyDescent="0.25">
      <c r="H5072" s="134"/>
    </row>
    <row r="5073" spans="8:8" x14ac:dyDescent="0.25">
      <c r="H5073" s="134"/>
    </row>
    <row r="5074" spans="8:8" x14ac:dyDescent="0.25">
      <c r="H5074" s="134"/>
    </row>
    <row r="5075" spans="8:8" x14ac:dyDescent="0.25">
      <c r="H5075" s="134"/>
    </row>
    <row r="5076" spans="8:8" x14ac:dyDescent="0.25">
      <c r="H5076" s="134"/>
    </row>
    <row r="5077" spans="8:8" x14ac:dyDescent="0.25">
      <c r="H5077" s="134"/>
    </row>
    <row r="5078" spans="8:8" x14ac:dyDescent="0.25">
      <c r="H5078" s="134"/>
    </row>
    <row r="5079" spans="8:8" x14ac:dyDescent="0.25">
      <c r="H5079" s="134"/>
    </row>
    <row r="5080" spans="8:8" x14ac:dyDescent="0.25">
      <c r="H5080" s="134"/>
    </row>
    <row r="5081" spans="8:8" x14ac:dyDescent="0.25">
      <c r="H5081" s="134"/>
    </row>
    <row r="5082" spans="8:8" x14ac:dyDescent="0.25">
      <c r="H5082" s="134"/>
    </row>
    <row r="5083" spans="8:8" x14ac:dyDescent="0.25">
      <c r="H5083" s="134"/>
    </row>
    <row r="5084" spans="8:8" x14ac:dyDescent="0.25">
      <c r="H5084" s="134"/>
    </row>
    <row r="5085" spans="8:8" x14ac:dyDescent="0.25">
      <c r="H5085" s="134"/>
    </row>
    <row r="5086" spans="8:8" x14ac:dyDescent="0.25">
      <c r="H5086" s="134"/>
    </row>
    <row r="5087" spans="8:8" x14ac:dyDescent="0.25">
      <c r="H5087" s="134"/>
    </row>
    <row r="5088" spans="8:8" x14ac:dyDescent="0.25">
      <c r="H5088" s="134"/>
    </row>
    <row r="5089" spans="8:8" x14ac:dyDescent="0.25">
      <c r="H5089" s="134"/>
    </row>
    <row r="5090" spans="8:8" x14ac:dyDescent="0.25">
      <c r="H5090" s="134"/>
    </row>
    <row r="5091" spans="8:8" x14ac:dyDescent="0.25">
      <c r="H5091" s="134"/>
    </row>
    <row r="5092" spans="8:8" x14ac:dyDescent="0.25">
      <c r="H5092" s="134"/>
    </row>
    <row r="5093" spans="8:8" x14ac:dyDescent="0.25">
      <c r="H5093" s="134"/>
    </row>
    <row r="5094" spans="8:8" x14ac:dyDescent="0.25">
      <c r="H5094" s="134"/>
    </row>
    <row r="5095" spans="8:8" x14ac:dyDescent="0.25">
      <c r="H5095" s="134"/>
    </row>
    <row r="5096" spans="8:8" x14ac:dyDescent="0.25">
      <c r="H5096" s="134"/>
    </row>
    <row r="5097" spans="8:8" x14ac:dyDescent="0.25">
      <c r="H5097" s="134"/>
    </row>
    <row r="5098" spans="8:8" x14ac:dyDescent="0.25">
      <c r="H5098" s="134"/>
    </row>
    <row r="5099" spans="8:8" x14ac:dyDescent="0.25">
      <c r="H5099" s="134"/>
    </row>
    <row r="5100" spans="8:8" x14ac:dyDescent="0.25">
      <c r="H5100" s="134"/>
    </row>
    <row r="5101" spans="8:8" x14ac:dyDescent="0.25">
      <c r="H5101" s="134"/>
    </row>
    <row r="5102" spans="8:8" x14ac:dyDescent="0.25">
      <c r="H5102" s="134"/>
    </row>
    <row r="5103" spans="8:8" x14ac:dyDescent="0.25">
      <c r="H5103" s="134"/>
    </row>
    <row r="5104" spans="8:8" x14ac:dyDescent="0.25">
      <c r="H5104" s="134"/>
    </row>
    <row r="5105" spans="8:8" x14ac:dyDescent="0.25">
      <c r="H5105" s="134"/>
    </row>
    <row r="5106" spans="8:8" x14ac:dyDescent="0.25">
      <c r="H5106" s="134"/>
    </row>
    <row r="5107" spans="8:8" x14ac:dyDescent="0.25">
      <c r="H5107" s="134"/>
    </row>
    <row r="5108" spans="8:8" x14ac:dyDescent="0.25">
      <c r="H5108" s="134"/>
    </row>
    <row r="5109" spans="8:8" x14ac:dyDescent="0.25">
      <c r="H5109" s="134"/>
    </row>
    <row r="5110" spans="8:8" x14ac:dyDescent="0.25">
      <c r="H5110" s="134"/>
    </row>
    <row r="5111" spans="8:8" x14ac:dyDescent="0.25">
      <c r="H5111" s="134"/>
    </row>
    <row r="5112" spans="8:8" x14ac:dyDescent="0.25">
      <c r="H5112" s="134"/>
    </row>
    <row r="5113" spans="8:8" x14ac:dyDescent="0.25">
      <c r="H5113" s="134"/>
    </row>
    <row r="5114" spans="8:8" x14ac:dyDescent="0.25">
      <c r="H5114" s="134"/>
    </row>
    <row r="5115" spans="8:8" x14ac:dyDescent="0.25">
      <c r="H5115" s="134"/>
    </row>
    <row r="5116" spans="8:8" x14ac:dyDescent="0.25">
      <c r="H5116" s="134"/>
    </row>
    <row r="5117" spans="8:8" x14ac:dyDescent="0.25">
      <c r="H5117" s="134"/>
    </row>
    <row r="5118" spans="8:8" x14ac:dyDescent="0.25">
      <c r="H5118" s="134"/>
    </row>
    <row r="5119" spans="8:8" x14ac:dyDescent="0.25">
      <c r="H5119" s="134"/>
    </row>
    <row r="5120" spans="8:8" x14ac:dyDescent="0.25">
      <c r="H5120" s="134"/>
    </row>
    <row r="5121" spans="8:8" x14ac:dyDescent="0.25">
      <c r="H5121" s="134"/>
    </row>
    <row r="5122" spans="8:8" x14ac:dyDescent="0.25">
      <c r="H5122" s="134"/>
    </row>
    <row r="5123" spans="8:8" x14ac:dyDescent="0.25">
      <c r="H5123" s="134"/>
    </row>
    <row r="5124" spans="8:8" x14ac:dyDescent="0.25">
      <c r="H5124" s="134"/>
    </row>
    <row r="5125" spans="8:8" x14ac:dyDescent="0.25">
      <c r="H5125" s="134"/>
    </row>
    <row r="5126" spans="8:8" x14ac:dyDescent="0.25">
      <c r="H5126" s="134"/>
    </row>
    <row r="5127" spans="8:8" x14ac:dyDescent="0.25">
      <c r="H5127" s="134"/>
    </row>
    <row r="5128" spans="8:8" x14ac:dyDescent="0.25">
      <c r="H5128" s="134"/>
    </row>
    <row r="5129" spans="8:8" x14ac:dyDescent="0.25">
      <c r="H5129" s="134"/>
    </row>
    <row r="5130" spans="8:8" x14ac:dyDescent="0.25">
      <c r="H5130" s="134"/>
    </row>
    <row r="5131" spans="8:8" x14ac:dyDescent="0.25">
      <c r="H5131" s="134"/>
    </row>
    <row r="5132" spans="8:8" x14ac:dyDescent="0.25">
      <c r="H5132" s="134"/>
    </row>
    <row r="5133" spans="8:8" x14ac:dyDescent="0.25">
      <c r="H5133" s="134"/>
    </row>
    <row r="5134" spans="8:8" x14ac:dyDescent="0.25">
      <c r="H5134" s="134"/>
    </row>
    <row r="5135" spans="8:8" x14ac:dyDescent="0.25">
      <c r="H5135" s="134"/>
    </row>
    <row r="5136" spans="8:8" x14ac:dyDescent="0.25">
      <c r="H5136" s="134"/>
    </row>
    <row r="5137" spans="8:8" x14ac:dyDescent="0.25">
      <c r="H5137" s="134"/>
    </row>
    <row r="5138" spans="8:8" x14ac:dyDescent="0.25">
      <c r="H5138" s="134"/>
    </row>
    <row r="5139" spans="8:8" x14ac:dyDescent="0.25">
      <c r="H5139" s="134"/>
    </row>
    <row r="5140" spans="8:8" x14ac:dyDescent="0.25">
      <c r="H5140" s="134"/>
    </row>
    <row r="5141" spans="8:8" x14ac:dyDescent="0.25">
      <c r="H5141" s="134"/>
    </row>
    <row r="5142" spans="8:8" x14ac:dyDescent="0.25">
      <c r="H5142" s="134"/>
    </row>
    <row r="5143" spans="8:8" x14ac:dyDescent="0.25">
      <c r="H5143" s="134"/>
    </row>
    <row r="5144" spans="8:8" x14ac:dyDescent="0.25">
      <c r="H5144" s="134"/>
    </row>
    <row r="5145" spans="8:8" x14ac:dyDescent="0.25">
      <c r="H5145" s="134"/>
    </row>
    <row r="5146" spans="8:8" x14ac:dyDescent="0.25">
      <c r="H5146" s="134"/>
    </row>
    <row r="5147" spans="8:8" x14ac:dyDescent="0.25">
      <c r="H5147" s="134"/>
    </row>
    <row r="5148" spans="8:8" x14ac:dyDescent="0.25">
      <c r="H5148" s="134"/>
    </row>
    <row r="5149" spans="8:8" x14ac:dyDescent="0.25">
      <c r="H5149" s="134"/>
    </row>
    <row r="5150" spans="8:8" x14ac:dyDescent="0.25">
      <c r="H5150" s="134"/>
    </row>
    <row r="5151" spans="8:8" x14ac:dyDescent="0.25">
      <c r="H5151" s="134"/>
    </row>
    <row r="5152" spans="8:8" x14ac:dyDescent="0.25">
      <c r="H5152" s="134"/>
    </row>
    <row r="5153" spans="8:8" x14ac:dyDescent="0.25">
      <c r="H5153" s="134"/>
    </row>
    <row r="5154" spans="8:8" x14ac:dyDescent="0.25">
      <c r="H5154" s="134"/>
    </row>
    <row r="5155" spans="8:8" x14ac:dyDescent="0.25">
      <c r="H5155" s="134"/>
    </row>
    <row r="5156" spans="8:8" x14ac:dyDescent="0.25">
      <c r="H5156" s="134"/>
    </row>
    <row r="5157" spans="8:8" x14ac:dyDescent="0.25">
      <c r="H5157" s="134"/>
    </row>
    <row r="5158" spans="8:8" x14ac:dyDescent="0.25">
      <c r="H5158" s="134"/>
    </row>
    <row r="5159" spans="8:8" x14ac:dyDescent="0.25">
      <c r="H5159" s="134"/>
    </row>
    <row r="5160" spans="8:8" x14ac:dyDescent="0.25">
      <c r="H5160" s="134"/>
    </row>
    <row r="5161" spans="8:8" x14ac:dyDescent="0.25">
      <c r="H5161" s="134"/>
    </row>
    <row r="5162" spans="8:8" x14ac:dyDescent="0.25">
      <c r="H5162" s="134"/>
    </row>
    <row r="5163" spans="8:8" x14ac:dyDescent="0.25">
      <c r="H5163" s="134"/>
    </row>
    <row r="5164" spans="8:8" x14ac:dyDescent="0.25">
      <c r="H5164" s="134"/>
    </row>
    <row r="5165" spans="8:8" x14ac:dyDescent="0.25">
      <c r="H5165" s="134"/>
    </row>
    <row r="5166" spans="8:8" x14ac:dyDescent="0.25">
      <c r="H5166" s="134"/>
    </row>
    <row r="5167" spans="8:8" x14ac:dyDescent="0.25">
      <c r="H5167" s="134"/>
    </row>
    <row r="5168" spans="8:8" x14ac:dyDescent="0.25">
      <c r="H5168" s="134"/>
    </row>
    <row r="5169" spans="8:8" x14ac:dyDescent="0.25">
      <c r="H5169" s="134"/>
    </row>
    <row r="5170" spans="8:8" x14ac:dyDescent="0.25">
      <c r="H5170" s="134"/>
    </row>
    <row r="5171" spans="8:8" x14ac:dyDescent="0.25">
      <c r="H5171" s="134"/>
    </row>
    <row r="5172" spans="8:8" x14ac:dyDescent="0.25">
      <c r="H5172" s="134"/>
    </row>
    <row r="5173" spans="8:8" x14ac:dyDescent="0.25">
      <c r="H5173" s="134"/>
    </row>
    <row r="5174" spans="8:8" x14ac:dyDescent="0.25">
      <c r="H5174" s="134"/>
    </row>
    <row r="5175" spans="8:8" x14ac:dyDescent="0.25">
      <c r="H5175" s="134"/>
    </row>
    <row r="5176" spans="8:8" x14ac:dyDescent="0.25">
      <c r="H5176" s="134"/>
    </row>
    <row r="5177" spans="8:8" x14ac:dyDescent="0.25">
      <c r="H5177" s="134"/>
    </row>
    <row r="5178" spans="8:8" x14ac:dyDescent="0.25">
      <c r="H5178" s="134"/>
    </row>
    <row r="5179" spans="8:8" x14ac:dyDescent="0.25">
      <c r="H5179" s="134"/>
    </row>
    <row r="5180" spans="8:8" x14ac:dyDescent="0.25">
      <c r="H5180" s="134"/>
    </row>
    <row r="5181" spans="8:8" x14ac:dyDescent="0.25">
      <c r="H5181" s="134"/>
    </row>
    <row r="5182" spans="8:8" x14ac:dyDescent="0.25">
      <c r="H5182" s="134"/>
    </row>
    <row r="5183" spans="8:8" x14ac:dyDescent="0.25">
      <c r="H5183" s="134"/>
    </row>
    <row r="5184" spans="8:8" x14ac:dyDescent="0.25">
      <c r="H5184" s="134"/>
    </row>
    <row r="5185" spans="8:8" x14ac:dyDescent="0.25">
      <c r="H5185" s="134"/>
    </row>
    <row r="5186" spans="8:8" x14ac:dyDescent="0.25">
      <c r="H5186" s="134"/>
    </row>
    <row r="5187" spans="8:8" x14ac:dyDescent="0.25">
      <c r="H5187" s="134"/>
    </row>
    <row r="5188" spans="8:8" x14ac:dyDescent="0.25">
      <c r="H5188" s="134"/>
    </row>
    <row r="5189" spans="8:8" x14ac:dyDescent="0.25">
      <c r="H5189" s="134"/>
    </row>
    <row r="5190" spans="8:8" x14ac:dyDescent="0.25">
      <c r="H5190" s="134"/>
    </row>
    <row r="5191" spans="8:8" x14ac:dyDescent="0.25">
      <c r="H5191" s="134"/>
    </row>
    <row r="5192" spans="8:8" x14ac:dyDescent="0.25">
      <c r="H5192" s="134"/>
    </row>
    <row r="5193" spans="8:8" x14ac:dyDescent="0.25">
      <c r="H5193" s="134"/>
    </row>
    <row r="5194" spans="8:8" x14ac:dyDescent="0.25">
      <c r="H5194" s="134"/>
    </row>
    <row r="5195" spans="8:8" x14ac:dyDescent="0.25">
      <c r="H5195" s="134"/>
    </row>
    <row r="5196" spans="8:8" x14ac:dyDescent="0.25">
      <c r="H5196" s="134"/>
    </row>
    <row r="5197" spans="8:8" x14ac:dyDescent="0.25">
      <c r="H5197" s="134"/>
    </row>
    <row r="5198" spans="8:8" x14ac:dyDescent="0.25">
      <c r="H5198" s="134"/>
    </row>
    <row r="5199" spans="8:8" x14ac:dyDescent="0.25">
      <c r="H5199" s="134"/>
    </row>
    <row r="5200" spans="8:8" x14ac:dyDescent="0.25">
      <c r="H5200" s="134"/>
    </row>
    <row r="5201" spans="8:8" x14ac:dyDescent="0.25">
      <c r="H5201" s="134"/>
    </row>
    <row r="5202" spans="8:8" x14ac:dyDescent="0.25">
      <c r="H5202" s="134"/>
    </row>
    <row r="5203" spans="8:8" x14ac:dyDescent="0.25">
      <c r="H5203" s="134"/>
    </row>
    <row r="5204" spans="8:8" x14ac:dyDescent="0.25">
      <c r="H5204" s="134"/>
    </row>
    <row r="5205" spans="8:8" x14ac:dyDescent="0.25">
      <c r="H5205" s="134"/>
    </row>
    <row r="5206" spans="8:8" x14ac:dyDescent="0.25">
      <c r="H5206" s="134"/>
    </row>
    <row r="5207" spans="8:8" x14ac:dyDescent="0.25">
      <c r="H5207" s="134"/>
    </row>
    <row r="5208" spans="8:8" x14ac:dyDescent="0.25">
      <c r="H5208" s="134"/>
    </row>
    <row r="5209" spans="8:8" x14ac:dyDescent="0.25">
      <c r="H5209" s="134"/>
    </row>
    <row r="5210" spans="8:8" x14ac:dyDescent="0.25">
      <c r="H5210" s="134"/>
    </row>
    <row r="5211" spans="8:8" x14ac:dyDescent="0.25">
      <c r="H5211" s="134"/>
    </row>
    <row r="5212" spans="8:8" x14ac:dyDescent="0.25">
      <c r="H5212" s="134"/>
    </row>
    <row r="5213" spans="8:8" x14ac:dyDescent="0.25">
      <c r="H5213" s="134"/>
    </row>
    <row r="5214" spans="8:8" x14ac:dyDescent="0.25">
      <c r="H5214" s="134"/>
    </row>
    <row r="5215" spans="8:8" x14ac:dyDescent="0.25">
      <c r="H5215" s="134"/>
    </row>
    <row r="5216" spans="8:8" x14ac:dyDescent="0.25">
      <c r="H5216" s="134"/>
    </row>
    <row r="5217" spans="8:8" x14ac:dyDescent="0.25">
      <c r="H5217" s="134"/>
    </row>
    <row r="5218" spans="8:8" x14ac:dyDescent="0.25">
      <c r="H5218" s="134"/>
    </row>
    <row r="5219" spans="8:8" x14ac:dyDescent="0.25">
      <c r="H5219" s="134"/>
    </row>
    <row r="5220" spans="8:8" x14ac:dyDescent="0.25">
      <c r="H5220" s="134"/>
    </row>
    <row r="5221" spans="8:8" x14ac:dyDescent="0.25">
      <c r="H5221" s="134"/>
    </row>
    <row r="5222" spans="8:8" x14ac:dyDescent="0.25">
      <c r="H5222" s="134"/>
    </row>
    <row r="5223" spans="8:8" x14ac:dyDescent="0.25">
      <c r="H5223" s="134"/>
    </row>
    <row r="5224" spans="8:8" x14ac:dyDescent="0.25">
      <c r="H5224" s="134"/>
    </row>
    <row r="5225" spans="8:8" x14ac:dyDescent="0.25">
      <c r="H5225" s="134"/>
    </row>
    <row r="5226" spans="8:8" x14ac:dyDescent="0.25">
      <c r="H5226" s="134"/>
    </row>
    <row r="5227" spans="8:8" x14ac:dyDescent="0.25">
      <c r="H5227" s="134"/>
    </row>
    <row r="5228" spans="8:8" x14ac:dyDescent="0.25">
      <c r="H5228" s="134"/>
    </row>
    <row r="5229" spans="8:8" x14ac:dyDescent="0.25">
      <c r="H5229" s="134"/>
    </row>
    <row r="5230" spans="8:8" x14ac:dyDescent="0.25">
      <c r="H5230" s="134"/>
    </row>
    <row r="5231" spans="8:8" x14ac:dyDescent="0.25">
      <c r="H5231" s="134"/>
    </row>
    <row r="5232" spans="8:8" x14ac:dyDescent="0.25">
      <c r="H5232" s="134"/>
    </row>
    <row r="5233" spans="8:8" x14ac:dyDescent="0.25">
      <c r="H5233" s="134"/>
    </row>
    <row r="5234" spans="8:8" x14ac:dyDescent="0.25">
      <c r="H5234" s="134"/>
    </row>
    <row r="5235" spans="8:8" x14ac:dyDescent="0.25">
      <c r="H5235" s="134"/>
    </row>
    <row r="5236" spans="8:8" x14ac:dyDescent="0.25">
      <c r="H5236" s="134"/>
    </row>
    <row r="5237" spans="8:8" x14ac:dyDescent="0.25">
      <c r="H5237" s="134"/>
    </row>
    <row r="5238" spans="8:8" x14ac:dyDescent="0.25">
      <c r="H5238" s="134"/>
    </row>
    <row r="5239" spans="8:8" x14ac:dyDescent="0.25">
      <c r="H5239" s="134"/>
    </row>
    <row r="5240" spans="8:8" x14ac:dyDescent="0.25">
      <c r="H5240" s="134"/>
    </row>
    <row r="5241" spans="8:8" x14ac:dyDescent="0.25">
      <c r="H5241" s="134"/>
    </row>
    <row r="5242" spans="8:8" x14ac:dyDescent="0.25">
      <c r="H5242" s="134"/>
    </row>
    <row r="5243" spans="8:8" x14ac:dyDescent="0.25">
      <c r="H5243" s="134"/>
    </row>
    <row r="5244" spans="8:8" x14ac:dyDescent="0.25">
      <c r="H5244" s="134"/>
    </row>
    <row r="5245" spans="8:8" x14ac:dyDescent="0.25">
      <c r="H5245" s="134"/>
    </row>
    <row r="5246" spans="8:8" x14ac:dyDescent="0.25">
      <c r="H5246" s="134"/>
    </row>
    <row r="5247" spans="8:8" x14ac:dyDescent="0.25">
      <c r="H5247" s="134"/>
    </row>
    <row r="5248" spans="8:8" x14ac:dyDescent="0.25">
      <c r="H5248" s="134"/>
    </row>
    <row r="5249" spans="8:8" x14ac:dyDescent="0.25">
      <c r="H5249" s="134"/>
    </row>
    <row r="5250" spans="8:8" x14ac:dyDescent="0.25">
      <c r="H5250" s="134"/>
    </row>
    <row r="5251" spans="8:8" x14ac:dyDescent="0.25">
      <c r="H5251" s="134"/>
    </row>
    <row r="5252" spans="8:8" x14ac:dyDescent="0.25">
      <c r="H5252" s="134"/>
    </row>
    <row r="5253" spans="8:8" x14ac:dyDescent="0.25">
      <c r="H5253" s="134"/>
    </row>
    <row r="5254" spans="8:8" x14ac:dyDescent="0.25">
      <c r="H5254" s="134"/>
    </row>
    <row r="5255" spans="8:8" x14ac:dyDescent="0.25">
      <c r="H5255" s="134"/>
    </row>
    <row r="5256" spans="8:8" x14ac:dyDescent="0.25">
      <c r="H5256" s="134"/>
    </row>
    <row r="5257" spans="8:8" x14ac:dyDescent="0.25">
      <c r="H5257" s="134"/>
    </row>
    <row r="5258" spans="8:8" x14ac:dyDescent="0.25">
      <c r="H5258" s="134"/>
    </row>
    <row r="5259" spans="8:8" x14ac:dyDescent="0.25">
      <c r="H5259" s="134"/>
    </row>
    <row r="5260" spans="8:8" x14ac:dyDescent="0.25">
      <c r="H5260" s="134"/>
    </row>
    <row r="5261" spans="8:8" x14ac:dyDescent="0.25">
      <c r="H5261" s="134"/>
    </row>
    <row r="5262" spans="8:8" x14ac:dyDescent="0.25">
      <c r="H5262" s="134"/>
    </row>
    <row r="5263" spans="8:8" x14ac:dyDescent="0.25">
      <c r="H5263" s="134"/>
    </row>
    <row r="5264" spans="8:8" x14ac:dyDescent="0.25">
      <c r="H5264" s="134"/>
    </row>
    <row r="5265" spans="8:8" x14ac:dyDescent="0.25">
      <c r="H5265" s="134"/>
    </row>
    <row r="5266" spans="8:8" x14ac:dyDescent="0.25">
      <c r="H5266" s="134"/>
    </row>
    <row r="5267" spans="8:8" x14ac:dyDescent="0.25">
      <c r="H5267" s="134"/>
    </row>
    <row r="5268" spans="8:8" x14ac:dyDescent="0.25">
      <c r="H5268" s="134"/>
    </row>
    <row r="5269" spans="8:8" x14ac:dyDescent="0.25">
      <c r="H5269" s="134"/>
    </row>
    <row r="5270" spans="8:8" x14ac:dyDescent="0.25">
      <c r="H5270" s="134"/>
    </row>
    <row r="5271" spans="8:8" x14ac:dyDescent="0.25">
      <c r="H5271" s="134"/>
    </row>
    <row r="5272" spans="8:8" x14ac:dyDescent="0.25">
      <c r="H5272" s="134"/>
    </row>
    <row r="5273" spans="8:8" x14ac:dyDescent="0.25">
      <c r="H5273" s="134"/>
    </row>
    <row r="5274" spans="8:8" x14ac:dyDescent="0.25">
      <c r="H5274" s="134"/>
    </row>
    <row r="5275" spans="8:8" x14ac:dyDescent="0.25">
      <c r="H5275" s="134"/>
    </row>
    <row r="5276" spans="8:8" x14ac:dyDescent="0.25">
      <c r="H5276" s="134"/>
    </row>
    <row r="5277" spans="8:8" x14ac:dyDescent="0.25">
      <c r="H5277" s="134"/>
    </row>
    <row r="5278" spans="8:8" x14ac:dyDescent="0.25">
      <c r="H5278" s="134"/>
    </row>
    <row r="5279" spans="8:8" x14ac:dyDescent="0.25">
      <c r="H5279" s="134"/>
    </row>
    <row r="5280" spans="8:8" x14ac:dyDescent="0.25">
      <c r="H5280" s="134"/>
    </row>
    <row r="5281" spans="8:8" x14ac:dyDescent="0.25">
      <c r="H5281" s="134"/>
    </row>
    <row r="5282" spans="8:8" x14ac:dyDescent="0.25">
      <c r="H5282" s="134"/>
    </row>
    <row r="5283" spans="8:8" x14ac:dyDescent="0.25">
      <c r="H5283" s="134"/>
    </row>
    <row r="5284" spans="8:8" x14ac:dyDescent="0.25">
      <c r="H5284" s="134"/>
    </row>
    <row r="5285" spans="8:8" x14ac:dyDescent="0.25">
      <c r="H5285" s="134"/>
    </row>
    <row r="5286" spans="8:8" x14ac:dyDescent="0.25">
      <c r="H5286" s="134"/>
    </row>
    <row r="5287" spans="8:8" x14ac:dyDescent="0.25">
      <c r="H5287" s="134"/>
    </row>
    <row r="5288" spans="8:8" x14ac:dyDescent="0.25">
      <c r="H5288" s="134"/>
    </row>
    <row r="5289" spans="8:8" x14ac:dyDescent="0.25">
      <c r="H5289" s="134"/>
    </row>
    <row r="5290" spans="8:8" x14ac:dyDescent="0.25">
      <c r="H5290" s="134"/>
    </row>
    <row r="5291" spans="8:8" x14ac:dyDescent="0.25">
      <c r="H5291" s="134"/>
    </row>
    <row r="5292" spans="8:8" x14ac:dyDescent="0.25">
      <c r="H5292" s="134"/>
    </row>
    <row r="5293" spans="8:8" x14ac:dyDescent="0.25">
      <c r="H5293" s="134"/>
    </row>
    <row r="5294" spans="8:8" x14ac:dyDescent="0.25">
      <c r="H5294" s="134"/>
    </row>
    <row r="5295" spans="8:8" x14ac:dyDescent="0.25">
      <c r="H5295" s="134"/>
    </row>
    <row r="5296" spans="8:8" x14ac:dyDescent="0.25">
      <c r="H5296" s="134"/>
    </row>
    <row r="5297" spans="8:8" x14ac:dyDescent="0.25">
      <c r="H5297" s="134"/>
    </row>
    <row r="5298" spans="8:8" x14ac:dyDescent="0.25">
      <c r="H5298" s="134"/>
    </row>
    <row r="5299" spans="8:8" x14ac:dyDescent="0.25">
      <c r="H5299" s="134"/>
    </row>
    <row r="5300" spans="8:8" x14ac:dyDescent="0.25">
      <c r="H5300" s="134"/>
    </row>
    <row r="5301" spans="8:8" x14ac:dyDescent="0.25">
      <c r="H5301" s="134"/>
    </row>
    <row r="5302" spans="8:8" x14ac:dyDescent="0.25">
      <c r="H5302" s="134"/>
    </row>
    <row r="5303" spans="8:8" x14ac:dyDescent="0.25">
      <c r="H5303" s="134"/>
    </row>
    <row r="5304" spans="8:8" x14ac:dyDescent="0.25">
      <c r="H5304" s="134"/>
    </row>
    <row r="5305" spans="8:8" x14ac:dyDescent="0.25">
      <c r="H5305" s="134"/>
    </row>
    <row r="5306" spans="8:8" x14ac:dyDescent="0.25">
      <c r="H5306" s="134"/>
    </row>
    <row r="5307" spans="8:8" x14ac:dyDescent="0.25">
      <c r="H5307" s="134"/>
    </row>
    <row r="5308" spans="8:8" x14ac:dyDescent="0.25">
      <c r="H5308" s="134"/>
    </row>
    <row r="5309" spans="8:8" x14ac:dyDescent="0.25">
      <c r="H5309" s="134"/>
    </row>
    <row r="5310" spans="8:8" x14ac:dyDescent="0.25">
      <c r="H5310" s="134"/>
    </row>
    <row r="5311" spans="8:8" x14ac:dyDescent="0.25">
      <c r="H5311" s="134"/>
    </row>
    <row r="5312" spans="8:8" x14ac:dyDescent="0.25">
      <c r="H5312" s="134"/>
    </row>
    <row r="5313" spans="8:8" x14ac:dyDescent="0.25">
      <c r="H5313" s="134"/>
    </row>
    <row r="5314" spans="8:8" x14ac:dyDescent="0.25">
      <c r="H5314" s="134"/>
    </row>
    <row r="5315" spans="8:8" x14ac:dyDescent="0.25">
      <c r="H5315" s="134"/>
    </row>
    <row r="5316" spans="8:8" x14ac:dyDescent="0.25">
      <c r="H5316" s="134"/>
    </row>
    <row r="5317" spans="8:8" x14ac:dyDescent="0.25">
      <c r="H5317" s="134"/>
    </row>
    <row r="5318" spans="8:8" x14ac:dyDescent="0.25">
      <c r="H5318" s="134"/>
    </row>
    <row r="5319" spans="8:8" x14ac:dyDescent="0.25">
      <c r="H5319" s="134"/>
    </row>
    <row r="5320" spans="8:8" x14ac:dyDescent="0.25">
      <c r="H5320" s="134"/>
    </row>
    <row r="5321" spans="8:8" x14ac:dyDescent="0.25">
      <c r="H5321" s="134"/>
    </row>
    <row r="5322" spans="8:8" x14ac:dyDescent="0.25">
      <c r="H5322" s="134"/>
    </row>
    <row r="5323" spans="8:8" x14ac:dyDescent="0.25">
      <c r="H5323" s="134"/>
    </row>
    <row r="5324" spans="8:8" x14ac:dyDescent="0.25">
      <c r="H5324" s="134"/>
    </row>
    <row r="5325" spans="8:8" x14ac:dyDescent="0.25">
      <c r="H5325" s="134"/>
    </row>
    <row r="5326" spans="8:8" x14ac:dyDescent="0.25">
      <c r="H5326" s="134"/>
    </row>
    <row r="5327" spans="8:8" x14ac:dyDescent="0.25">
      <c r="H5327" s="134"/>
    </row>
    <row r="5328" spans="8:8" x14ac:dyDescent="0.25">
      <c r="H5328" s="134"/>
    </row>
    <row r="5329" spans="8:8" x14ac:dyDescent="0.25">
      <c r="H5329" s="134"/>
    </row>
    <row r="5330" spans="8:8" x14ac:dyDescent="0.25">
      <c r="H5330" s="134"/>
    </row>
    <row r="5331" spans="8:8" x14ac:dyDescent="0.25">
      <c r="H5331" s="134"/>
    </row>
    <row r="5332" spans="8:8" x14ac:dyDescent="0.25">
      <c r="H5332" s="134"/>
    </row>
    <row r="5333" spans="8:8" x14ac:dyDescent="0.25">
      <c r="H5333" s="134"/>
    </row>
    <row r="5334" spans="8:8" x14ac:dyDescent="0.25">
      <c r="H5334" s="134"/>
    </row>
    <row r="5335" spans="8:8" x14ac:dyDescent="0.25">
      <c r="H5335" s="134"/>
    </row>
    <row r="5336" spans="8:8" x14ac:dyDescent="0.25">
      <c r="H5336" s="134"/>
    </row>
    <row r="5337" spans="8:8" x14ac:dyDescent="0.25">
      <c r="H5337" s="134"/>
    </row>
    <row r="5338" spans="8:8" x14ac:dyDescent="0.25">
      <c r="H5338" s="134"/>
    </row>
    <row r="5339" spans="8:8" x14ac:dyDescent="0.25">
      <c r="H5339" s="134"/>
    </row>
    <row r="5340" spans="8:8" x14ac:dyDescent="0.25">
      <c r="H5340" s="134"/>
    </row>
    <row r="5341" spans="8:8" x14ac:dyDescent="0.25">
      <c r="H5341" s="134"/>
    </row>
    <row r="5342" spans="8:8" x14ac:dyDescent="0.25">
      <c r="H5342" s="134"/>
    </row>
    <row r="5343" spans="8:8" x14ac:dyDescent="0.25">
      <c r="H5343" s="134"/>
    </row>
    <row r="5344" spans="8:8" x14ac:dyDescent="0.25">
      <c r="H5344" s="134"/>
    </row>
    <row r="5345" spans="8:8" x14ac:dyDescent="0.25">
      <c r="H5345" s="134"/>
    </row>
    <row r="5346" spans="8:8" x14ac:dyDescent="0.25">
      <c r="H5346" s="134"/>
    </row>
    <row r="5347" spans="8:8" x14ac:dyDescent="0.25">
      <c r="H5347" s="134"/>
    </row>
    <row r="5348" spans="8:8" x14ac:dyDescent="0.25">
      <c r="H5348" s="134"/>
    </row>
    <row r="5349" spans="8:8" x14ac:dyDescent="0.25">
      <c r="H5349" s="134"/>
    </row>
    <row r="5350" spans="8:8" x14ac:dyDescent="0.25">
      <c r="H5350" s="134"/>
    </row>
    <row r="5351" spans="8:8" x14ac:dyDescent="0.25">
      <c r="H5351" s="134"/>
    </row>
    <row r="5352" spans="8:8" x14ac:dyDescent="0.25">
      <c r="H5352" s="134"/>
    </row>
    <row r="5353" spans="8:8" x14ac:dyDescent="0.25">
      <c r="H5353" s="134"/>
    </row>
    <row r="5354" spans="8:8" x14ac:dyDescent="0.25">
      <c r="H5354" s="134"/>
    </row>
    <row r="5355" spans="8:8" x14ac:dyDescent="0.25">
      <c r="H5355" s="134"/>
    </row>
    <row r="5356" spans="8:8" x14ac:dyDescent="0.25">
      <c r="H5356" s="134"/>
    </row>
    <row r="5357" spans="8:8" x14ac:dyDescent="0.25">
      <c r="H5357" s="134"/>
    </row>
    <row r="5358" spans="8:8" x14ac:dyDescent="0.25">
      <c r="H5358" s="134"/>
    </row>
    <row r="5359" spans="8:8" x14ac:dyDescent="0.25">
      <c r="H5359" s="134"/>
    </row>
    <row r="5360" spans="8:8" x14ac:dyDescent="0.25">
      <c r="H5360" s="134"/>
    </row>
    <row r="5361" spans="8:8" x14ac:dyDescent="0.25">
      <c r="H5361" s="134"/>
    </row>
    <row r="5362" spans="8:8" x14ac:dyDescent="0.25">
      <c r="H5362" s="134"/>
    </row>
    <row r="5363" spans="8:8" x14ac:dyDescent="0.25">
      <c r="H5363" s="134"/>
    </row>
    <row r="5364" spans="8:8" x14ac:dyDescent="0.25">
      <c r="H5364" s="134"/>
    </row>
    <row r="5365" spans="8:8" x14ac:dyDescent="0.25">
      <c r="H5365" s="134"/>
    </row>
    <row r="5366" spans="8:8" x14ac:dyDescent="0.25">
      <c r="H5366" s="134"/>
    </row>
    <row r="5367" spans="8:8" x14ac:dyDescent="0.25">
      <c r="H5367" s="134"/>
    </row>
    <row r="5368" spans="8:8" x14ac:dyDescent="0.25">
      <c r="H5368" s="134"/>
    </row>
    <row r="5369" spans="8:8" x14ac:dyDescent="0.25">
      <c r="H5369" s="134"/>
    </row>
    <row r="5370" spans="8:8" x14ac:dyDescent="0.25">
      <c r="H5370" s="134"/>
    </row>
    <row r="5371" spans="8:8" x14ac:dyDescent="0.25">
      <c r="H5371" s="134"/>
    </row>
    <row r="5372" spans="8:8" x14ac:dyDescent="0.25">
      <c r="H5372" s="134"/>
    </row>
    <row r="5373" spans="8:8" x14ac:dyDescent="0.25">
      <c r="H5373" s="134"/>
    </row>
    <row r="5374" spans="8:8" x14ac:dyDescent="0.25">
      <c r="H5374" s="134"/>
    </row>
    <row r="5375" spans="8:8" x14ac:dyDescent="0.25">
      <c r="H5375" s="134"/>
    </row>
    <row r="5376" spans="8:8" x14ac:dyDescent="0.25">
      <c r="H5376" s="134"/>
    </row>
    <row r="5377" spans="8:8" x14ac:dyDescent="0.25">
      <c r="H5377" s="134"/>
    </row>
    <row r="5378" spans="8:8" x14ac:dyDescent="0.25">
      <c r="H5378" s="134"/>
    </row>
    <row r="5379" spans="8:8" x14ac:dyDescent="0.25">
      <c r="H5379" s="134"/>
    </row>
    <row r="5380" spans="8:8" x14ac:dyDescent="0.25">
      <c r="H5380" s="134"/>
    </row>
    <row r="5381" spans="8:8" x14ac:dyDescent="0.25">
      <c r="H5381" s="134"/>
    </row>
    <row r="5382" spans="8:8" x14ac:dyDescent="0.25">
      <c r="H5382" s="134"/>
    </row>
    <row r="5383" spans="8:8" x14ac:dyDescent="0.25">
      <c r="H5383" s="134"/>
    </row>
    <row r="5384" spans="8:8" x14ac:dyDescent="0.25">
      <c r="H5384" s="134"/>
    </row>
    <row r="5385" spans="8:8" x14ac:dyDescent="0.25">
      <c r="H5385" s="134"/>
    </row>
    <row r="5386" spans="8:8" x14ac:dyDescent="0.25">
      <c r="H5386" s="134"/>
    </row>
    <row r="5387" spans="8:8" x14ac:dyDescent="0.25">
      <c r="H5387" s="134"/>
    </row>
    <row r="5388" spans="8:8" x14ac:dyDescent="0.25">
      <c r="H5388" s="134"/>
    </row>
    <row r="5389" spans="8:8" x14ac:dyDescent="0.25">
      <c r="H5389" s="134"/>
    </row>
    <row r="5390" spans="8:8" x14ac:dyDescent="0.25">
      <c r="H5390" s="134"/>
    </row>
    <row r="5391" spans="8:8" x14ac:dyDescent="0.25">
      <c r="H5391" s="134"/>
    </row>
    <row r="5392" spans="8:8" x14ac:dyDescent="0.25">
      <c r="H5392" s="134"/>
    </row>
    <row r="5393" spans="8:8" x14ac:dyDescent="0.25">
      <c r="H5393" s="134"/>
    </row>
    <row r="5394" spans="8:8" x14ac:dyDescent="0.25">
      <c r="H5394" s="134"/>
    </row>
    <row r="5395" spans="8:8" x14ac:dyDescent="0.25">
      <c r="H5395" s="134"/>
    </row>
    <row r="5396" spans="8:8" x14ac:dyDescent="0.25">
      <c r="H5396" s="134"/>
    </row>
    <row r="5397" spans="8:8" x14ac:dyDescent="0.25">
      <c r="H5397" s="134"/>
    </row>
    <row r="5398" spans="8:8" x14ac:dyDescent="0.25">
      <c r="H5398" s="134"/>
    </row>
    <row r="5399" spans="8:8" x14ac:dyDescent="0.25">
      <c r="H5399" s="134"/>
    </row>
    <row r="5400" spans="8:8" x14ac:dyDescent="0.25">
      <c r="H5400" s="134"/>
    </row>
    <row r="5401" spans="8:8" x14ac:dyDescent="0.25">
      <c r="H5401" s="134"/>
    </row>
    <row r="5402" spans="8:8" x14ac:dyDescent="0.25">
      <c r="H5402" s="134"/>
    </row>
    <row r="5403" spans="8:8" x14ac:dyDescent="0.25">
      <c r="H5403" s="134"/>
    </row>
    <row r="5404" spans="8:8" x14ac:dyDescent="0.25">
      <c r="H5404" s="134"/>
    </row>
    <row r="5405" spans="8:8" x14ac:dyDescent="0.25">
      <c r="H5405" s="134"/>
    </row>
    <row r="5406" spans="8:8" x14ac:dyDescent="0.25">
      <c r="H5406" s="134"/>
    </row>
    <row r="5407" spans="8:8" x14ac:dyDescent="0.25">
      <c r="H5407" s="134"/>
    </row>
    <row r="5408" spans="8:8" x14ac:dyDescent="0.25">
      <c r="H5408" s="134"/>
    </row>
    <row r="5409" spans="8:8" x14ac:dyDescent="0.25">
      <c r="H5409" s="134"/>
    </row>
    <row r="5410" spans="8:8" x14ac:dyDescent="0.25">
      <c r="H5410" s="134"/>
    </row>
    <row r="5411" spans="8:8" x14ac:dyDescent="0.25">
      <c r="H5411" s="134"/>
    </row>
    <row r="5412" spans="8:8" x14ac:dyDescent="0.25">
      <c r="H5412" s="134"/>
    </row>
    <row r="5413" spans="8:8" x14ac:dyDescent="0.25">
      <c r="H5413" s="134"/>
    </row>
    <row r="5414" spans="8:8" x14ac:dyDescent="0.25">
      <c r="H5414" s="134"/>
    </row>
    <row r="5415" spans="8:8" x14ac:dyDescent="0.25">
      <c r="H5415" s="134"/>
    </row>
    <row r="5416" spans="8:8" x14ac:dyDescent="0.25">
      <c r="H5416" s="134"/>
    </row>
    <row r="5417" spans="8:8" x14ac:dyDescent="0.25">
      <c r="H5417" s="134"/>
    </row>
    <row r="5418" spans="8:8" x14ac:dyDescent="0.25">
      <c r="H5418" s="134"/>
    </row>
    <row r="5419" spans="8:8" x14ac:dyDescent="0.25">
      <c r="H5419" s="134"/>
    </row>
    <row r="5420" spans="8:8" x14ac:dyDescent="0.25">
      <c r="H5420" s="134"/>
    </row>
    <row r="5421" spans="8:8" x14ac:dyDescent="0.25">
      <c r="H5421" s="134"/>
    </row>
    <row r="5422" spans="8:8" x14ac:dyDescent="0.25">
      <c r="H5422" s="134"/>
    </row>
    <row r="5423" spans="8:8" x14ac:dyDescent="0.25">
      <c r="H5423" s="134"/>
    </row>
    <row r="5424" spans="8:8" x14ac:dyDescent="0.25">
      <c r="H5424" s="134"/>
    </row>
    <row r="5425" spans="8:8" x14ac:dyDescent="0.25">
      <c r="H5425" s="134"/>
    </row>
    <row r="5426" spans="8:8" x14ac:dyDescent="0.25">
      <c r="H5426" s="134"/>
    </row>
    <row r="5427" spans="8:8" x14ac:dyDescent="0.25">
      <c r="H5427" s="134"/>
    </row>
    <row r="5428" spans="8:8" x14ac:dyDescent="0.25">
      <c r="H5428" s="134"/>
    </row>
    <row r="5429" spans="8:8" x14ac:dyDescent="0.25">
      <c r="H5429" s="134"/>
    </row>
    <row r="5430" spans="8:8" x14ac:dyDescent="0.25">
      <c r="H5430" s="134"/>
    </row>
    <row r="5431" spans="8:8" x14ac:dyDescent="0.25">
      <c r="H5431" s="134"/>
    </row>
    <row r="5432" spans="8:8" x14ac:dyDescent="0.25">
      <c r="H5432" s="134"/>
    </row>
    <row r="5433" spans="8:8" x14ac:dyDescent="0.25">
      <c r="H5433" s="134"/>
    </row>
    <row r="5434" spans="8:8" x14ac:dyDescent="0.25">
      <c r="H5434" s="134"/>
    </row>
    <row r="5435" spans="8:8" x14ac:dyDescent="0.25">
      <c r="H5435" s="134"/>
    </row>
    <row r="5436" spans="8:8" x14ac:dyDescent="0.25">
      <c r="H5436" s="134"/>
    </row>
    <row r="5437" spans="8:8" x14ac:dyDescent="0.25">
      <c r="H5437" s="134"/>
    </row>
    <row r="5438" spans="8:8" x14ac:dyDescent="0.25">
      <c r="H5438" s="134"/>
    </row>
    <row r="5439" spans="8:8" x14ac:dyDescent="0.25">
      <c r="H5439" s="134"/>
    </row>
    <row r="5440" spans="8:8" x14ac:dyDescent="0.25">
      <c r="H5440" s="134"/>
    </row>
    <row r="5441" spans="8:8" x14ac:dyDescent="0.25">
      <c r="H5441" s="134"/>
    </row>
    <row r="5442" spans="8:8" x14ac:dyDescent="0.25">
      <c r="H5442" s="134"/>
    </row>
    <row r="5443" spans="8:8" x14ac:dyDescent="0.25">
      <c r="H5443" s="134"/>
    </row>
    <row r="5444" spans="8:8" x14ac:dyDescent="0.25">
      <c r="H5444" s="134"/>
    </row>
    <row r="5445" spans="8:8" x14ac:dyDescent="0.25">
      <c r="H5445" s="134"/>
    </row>
    <row r="5446" spans="8:8" x14ac:dyDescent="0.25">
      <c r="H5446" s="134"/>
    </row>
    <row r="5447" spans="8:8" x14ac:dyDescent="0.25">
      <c r="H5447" s="134"/>
    </row>
    <row r="5448" spans="8:8" x14ac:dyDescent="0.25">
      <c r="H5448" s="134"/>
    </row>
    <row r="5449" spans="8:8" x14ac:dyDescent="0.25">
      <c r="H5449" s="134"/>
    </row>
    <row r="5450" spans="8:8" x14ac:dyDescent="0.25">
      <c r="H5450" s="134"/>
    </row>
    <row r="5451" spans="8:8" x14ac:dyDescent="0.25">
      <c r="H5451" s="134"/>
    </row>
    <row r="5452" spans="8:8" x14ac:dyDescent="0.25">
      <c r="H5452" s="134"/>
    </row>
    <row r="5453" spans="8:8" x14ac:dyDescent="0.25">
      <c r="H5453" s="134"/>
    </row>
    <row r="5454" spans="8:8" x14ac:dyDescent="0.25">
      <c r="H5454" s="134"/>
    </row>
    <row r="5455" spans="8:8" x14ac:dyDescent="0.25">
      <c r="H5455" s="134"/>
    </row>
    <row r="5456" spans="8:8" x14ac:dyDescent="0.25">
      <c r="H5456" s="134"/>
    </row>
    <row r="5457" spans="8:8" x14ac:dyDescent="0.25">
      <c r="H5457" s="134"/>
    </row>
    <row r="5458" spans="8:8" x14ac:dyDescent="0.25">
      <c r="H5458" s="134"/>
    </row>
    <row r="5459" spans="8:8" x14ac:dyDescent="0.25">
      <c r="H5459" s="134"/>
    </row>
    <row r="5460" spans="8:8" x14ac:dyDescent="0.25">
      <c r="H5460" s="134"/>
    </row>
    <row r="5461" spans="8:8" x14ac:dyDescent="0.25">
      <c r="H5461" s="134"/>
    </row>
    <row r="5462" spans="8:8" x14ac:dyDescent="0.25">
      <c r="H5462" s="134"/>
    </row>
    <row r="5463" spans="8:8" x14ac:dyDescent="0.25">
      <c r="H5463" s="134"/>
    </row>
    <row r="5464" spans="8:8" x14ac:dyDescent="0.25">
      <c r="H5464" s="134"/>
    </row>
    <row r="5465" spans="8:8" x14ac:dyDescent="0.25">
      <c r="H5465" s="134"/>
    </row>
    <row r="5466" spans="8:8" x14ac:dyDescent="0.25">
      <c r="H5466" s="134"/>
    </row>
    <row r="5467" spans="8:8" x14ac:dyDescent="0.25">
      <c r="H5467" s="134"/>
    </row>
    <row r="5468" spans="8:8" x14ac:dyDescent="0.25">
      <c r="H5468" s="134"/>
    </row>
    <row r="5469" spans="8:8" x14ac:dyDescent="0.25">
      <c r="H5469" s="134"/>
    </row>
    <row r="5470" spans="8:8" x14ac:dyDescent="0.25">
      <c r="H5470" s="134"/>
    </row>
    <row r="5471" spans="8:8" x14ac:dyDescent="0.25">
      <c r="H5471" s="134"/>
    </row>
    <row r="5472" spans="8:8" x14ac:dyDescent="0.25">
      <c r="H5472" s="134"/>
    </row>
    <row r="5473" spans="8:8" x14ac:dyDescent="0.25">
      <c r="H5473" s="134"/>
    </row>
    <row r="5474" spans="8:8" x14ac:dyDescent="0.25">
      <c r="H5474" s="134"/>
    </row>
    <row r="5475" spans="8:8" x14ac:dyDescent="0.25">
      <c r="H5475" s="134"/>
    </row>
    <row r="5476" spans="8:8" x14ac:dyDescent="0.25">
      <c r="H5476" s="134"/>
    </row>
    <row r="5477" spans="8:8" x14ac:dyDescent="0.25">
      <c r="H5477" s="134"/>
    </row>
    <row r="5478" spans="8:8" x14ac:dyDescent="0.25">
      <c r="H5478" s="134"/>
    </row>
    <row r="5479" spans="8:8" x14ac:dyDescent="0.25">
      <c r="H5479" s="134"/>
    </row>
    <row r="5480" spans="8:8" x14ac:dyDescent="0.25">
      <c r="H5480" s="134"/>
    </row>
    <row r="5481" spans="8:8" x14ac:dyDescent="0.25">
      <c r="H5481" s="134"/>
    </row>
    <row r="5482" spans="8:8" x14ac:dyDescent="0.25">
      <c r="H5482" s="134"/>
    </row>
    <row r="5483" spans="8:8" x14ac:dyDescent="0.25">
      <c r="H5483" s="134"/>
    </row>
    <row r="5484" spans="8:8" x14ac:dyDescent="0.25">
      <c r="H5484" s="134"/>
    </row>
    <row r="5485" spans="8:8" x14ac:dyDescent="0.25">
      <c r="H5485" s="134"/>
    </row>
    <row r="5486" spans="8:8" x14ac:dyDescent="0.25">
      <c r="H5486" s="134"/>
    </row>
    <row r="5487" spans="8:8" x14ac:dyDescent="0.25">
      <c r="H5487" s="134"/>
    </row>
    <row r="5488" spans="8:8" x14ac:dyDescent="0.25">
      <c r="H5488" s="134"/>
    </row>
    <row r="5489" spans="8:8" x14ac:dyDescent="0.25">
      <c r="H5489" s="134"/>
    </row>
    <row r="5490" spans="8:8" x14ac:dyDescent="0.25">
      <c r="H5490" s="134"/>
    </row>
    <row r="5491" spans="8:8" x14ac:dyDescent="0.25">
      <c r="H5491" s="134"/>
    </row>
    <row r="5492" spans="8:8" x14ac:dyDescent="0.25">
      <c r="H5492" s="134"/>
    </row>
    <row r="5493" spans="8:8" x14ac:dyDescent="0.25">
      <c r="H5493" s="134"/>
    </row>
    <row r="5494" spans="8:8" x14ac:dyDescent="0.25">
      <c r="H5494" s="134"/>
    </row>
    <row r="5495" spans="8:8" x14ac:dyDescent="0.25">
      <c r="H5495" s="134"/>
    </row>
    <row r="5496" spans="8:8" x14ac:dyDescent="0.25">
      <c r="H5496" s="134"/>
    </row>
    <row r="5497" spans="8:8" x14ac:dyDescent="0.25">
      <c r="H5497" s="134"/>
    </row>
    <row r="5498" spans="8:8" x14ac:dyDescent="0.25">
      <c r="H5498" s="134"/>
    </row>
    <row r="5499" spans="8:8" x14ac:dyDescent="0.25">
      <c r="H5499" s="134"/>
    </row>
    <row r="5500" spans="8:8" x14ac:dyDescent="0.25">
      <c r="H5500" s="134"/>
    </row>
    <row r="5501" spans="8:8" x14ac:dyDescent="0.25">
      <c r="H5501" s="134"/>
    </row>
    <row r="5502" spans="8:8" x14ac:dyDescent="0.25">
      <c r="H5502" s="134"/>
    </row>
    <row r="5503" spans="8:8" x14ac:dyDescent="0.25">
      <c r="H5503" s="134"/>
    </row>
    <row r="5504" spans="8:8" x14ac:dyDescent="0.25">
      <c r="H5504" s="134"/>
    </row>
    <row r="5505" spans="8:8" x14ac:dyDescent="0.25">
      <c r="H5505" s="134"/>
    </row>
    <row r="5506" spans="8:8" x14ac:dyDescent="0.25">
      <c r="H5506" s="134"/>
    </row>
    <row r="5507" spans="8:8" x14ac:dyDescent="0.25">
      <c r="H5507" s="134"/>
    </row>
    <row r="5508" spans="8:8" x14ac:dyDescent="0.25">
      <c r="H5508" s="134"/>
    </row>
    <row r="5509" spans="8:8" x14ac:dyDescent="0.25">
      <c r="H5509" s="134"/>
    </row>
    <row r="5510" spans="8:8" x14ac:dyDescent="0.25">
      <c r="H5510" s="134"/>
    </row>
    <row r="5511" spans="8:8" x14ac:dyDescent="0.25">
      <c r="H5511" s="134"/>
    </row>
    <row r="5512" spans="8:8" x14ac:dyDescent="0.25">
      <c r="H5512" s="134"/>
    </row>
    <row r="5513" spans="8:8" x14ac:dyDescent="0.25">
      <c r="H5513" s="134"/>
    </row>
    <row r="5514" spans="8:8" x14ac:dyDescent="0.25">
      <c r="H5514" s="134"/>
    </row>
    <row r="5515" spans="8:8" x14ac:dyDescent="0.25">
      <c r="H5515" s="134"/>
    </row>
    <row r="5516" spans="8:8" x14ac:dyDescent="0.25">
      <c r="H5516" s="134"/>
    </row>
    <row r="5517" spans="8:8" x14ac:dyDescent="0.25">
      <c r="H5517" s="134"/>
    </row>
    <row r="5518" spans="8:8" x14ac:dyDescent="0.25">
      <c r="H5518" s="134"/>
    </row>
    <row r="5519" spans="8:8" x14ac:dyDescent="0.25">
      <c r="H5519" s="134"/>
    </row>
    <row r="5520" spans="8:8" x14ac:dyDescent="0.25">
      <c r="H5520" s="134"/>
    </row>
    <row r="5521" spans="8:8" x14ac:dyDescent="0.25">
      <c r="H5521" s="134"/>
    </row>
    <row r="5522" spans="8:8" x14ac:dyDescent="0.25">
      <c r="H5522" s="134"/>
    </row>
    <row r="5523" spans="8:8" x14ac:dyDescent="0.25">
      <c r="H5523" s="134"/>
    </row>
    <row r="5524" spans="8:8" x14ac:dyDescent="0.25">
      <c r="H5524" s="134"/>
    </row>
    <row r="5525" spans="8:8" x14ac:dyDescent="0.25">
      <c r="H5525" s="134"/>
    </row>
    <row r="5526" spans="8:8" x14ac:dyDescent="0.25">
      <c r="H5526" s="134"/>
    </row>
    <row r="5527" spans="8:8" x14ac:dyDescent="0.25">
      <c r="H5527" s="134"/>
    </row>
    <row r="5528" spans="8:8" x14ac:dyDescent="0.25">
      <c r="H5528" s="134"/>
    </row>
    <row r="5529" spans="8:8" x14ac:dyDescent="0.25">
      <c r="H5529" s="134"/>
    </row>
    <row r="5530" spans="8:8" x14ac:dyDescent="0.25">
      <c r="H5530" s="134"/>
    </row>
    <row r="5531" spans="8:8" x14ac:dyDescent="0.25">
      <c r="H5531" s="134"/>
    </row>
    <row r="5532" spans="8:8" x14ac:dyDescent="0.25">
      <c r="H5532" s="134"/>
    </row>
    <row r="5533" spans="8:8" x14ac:dyDescent="0.25">
      <c r="H5533" s="134"/>
    </row>
    <row r="5534" spans="8:8" x14ac:dyDescent="0.25">
      <c r="H5534" s="134"/>
    </row>
    <row r="5535" spans="8:8" x14ac:dyDescent="0.25">
      <c r="H5535" s="134"/>
    </row>
    <row r="5536" spans="8:8" x14ac:dyDescent="0.25">
      <c r="H5536" s="134"/>
    </row>
    <row r="5537" spans="8:8" x14ac:dyDescent="0.25">
      <c r="H5537" s="134"/>
    </row>
    <row r="5538" spans="8:8" x14ac:dyDescent="0.25">
      <c r="H5538" s="134"/>
    </row>
    <row r="5539" spans="8:8" x14ac:dyDescent="0.25">
      <c r="H5539" s="134"/>
    </row>
    <row r="5540" spans="8:8" x14ac:dyDescent="0.25">
      <c r="H5540" s="134"/>
    </row>
    <row r="5541" spans="8:8" x14ac:dyDescent="0.25">
      <c r="H5541" s="134"/>
    </row>
    <row r="5542" spans="8:8" x14ac:dyDescent="0.25">
      <c r="H5542" s="134"/>
    </row>
    <row r="5543" spans="8:8" x14ac:dyDescent="0.25">
      <c r="H5543" s="134"/>
    </row>
    <row r="5544" spans="8:8" x14ac:dyDescent="0.25">
      <c r="H5544" s="134"/>
    </row>
    <row r="5545" spans="8:8" x14ac:dyDescent="0.25">
      <c r="H5545" s="134"/>
    </row>
    <row r="5546" spans="8:8" x14ac:dyDescent="0.25">
      <c r="H5546" s="134"/>
    </row>
    <row r="5547" spans="8:8" x14ac:dyDescent="0.25">
      <c r="H5547" s="134"/>
    </row>
    <row r="5548" spans="8:8" x14ac:dyDescent="0.25">
      <c r="H5548" s="134"/>
    </row>
    <row r="5549" spans="8:8" x14ac:dyDescent="0.25">
      <c r="H5549" s="134"/>
    </row>
    <row r="5550" spans="8:8" x14ac:dyDescent="0.25">
      <c r="H5550" s="134"/>
    </row>
    <row r="5551" spans="8:8" x14ac:dyDescent="0.25">
      <c r="H5551" s="134"/>
    </row>
    <row r="5552" spans="8:8" x14ac:dyDescent="0.25">
      <c r="H5552" s="134"/>
    </row>
    <row r="5553" spans="8:8" x14ac:dyDescent="0.25">
      <c r="H5553" s="134"/>
    </row>
    <row r="5554" spans="8:8" x14ac:dyDescent="0.25">
      <c r="H5554" s="134"/>
    </row>
    <row r="5555" spans="8:8" x14ac:dyDescent="0.25">
      <c r="H5555" s="134"/>
    </row>
    <row r="5556" spans="8:8" x14ac:dyDescent="0.25">
      <c r="H5556" s="134"/>
    </row>
    <row r="5557" spans="8:8" x14ac:dyDescent="0.25">
      <c r="H5557" s="134"/>
    </row>
    <row r="5558" spans="8:8" x14ac:dyDescent="0.25">
      <c r="H5558" s="134"/>
    </row>
    <row r="5559" spans="8:8" x14ac:dyDescent="0.25">
      <c r="H5559" s="134"/>
    </row>
    <row r="5560" spans="8:8" x14ac:dyDescent="0.25">
      <c r="H5560" s="134"/>
    </row>
    <row r="5561" spans="8:8" x14ac:dyDescent="0.25">
      <c r="H5561" s="134"/>
    </row>
    <row r="5562" spans="8:8" x14ac:dyDescent="0.25">
      <c r="H5562" s="134"/>
    </row>
    <row r="5563" spans="8:8" x14ac:dyDescent="0.25">
      <c r="H5563" s="134"/>
    </row>
    <row r="5564" spans="8:8" x14ac:dyDescent="0.25">
      <c r="H5564" s="134"/>
    </row>
    <row r="5565" spans="8:8" x14ac:dyDescent="0.25">
      <c r="H5565" s="134"/>
    </row>
    <row r="5566" spans="8:8" x14ac:dyDescent="0.25">
      <c r="H5566" s="134"/>
    </row>
    <row r="5567" spans="8:8" x14ac:dyDescent="0.25">
      <c r="H5567" s="134"/>
    </row>
    <row r="5568" spans="8:8" x14ac:dyDescent="0.25">
      <c r="H5568" s="134"/>
    </row>
    <row r="5569" spans="8:8" x14ac:dyDescent="0.25">
      <c r="H5569" s="134"/>
    </row>
    <row r="5570" spans="8:8" x14ac:dyDescent="0.25">
      <c r="H5570" s="134"/>
    </row>
    <row r="5571" spans="8:8" x14ac:dyDescent="0.25">
      <c r="H5571" s="134"/>
    </row>
    <row r="5572" spans="8:8" x14ac:dyDescent="0.25">
      <c r="H5572" s="134"/>
    </row>
    <row r="5573" spans="8:8" x14ac:dyDescent="0.25">
      <c r="H5573" s="134"/>
    </row>
    <row r="5574" spans="8:8" x14ac:dyDescent="0.25">
      <c r="H5574" s="134"/>
    </row>
    <row r="5575" spans="8:8" x14ac:dyDescent="0.25">
      <c r="H5575" s="134"/>
    </row>
    <row r="5576" spans="8:8" x14ac:dyDescent="0.25">
      <c r="H5576" s="134"/>
    </row>
    <row r="5577" spans="8:8" x14ac:dyDescent="0.25">
      <c r="H5577" s="134"/>
    </row>
    <row r="5578" spans="8:8" x14ac:dyDescent="0.25">
      <c r="H5578" s="134"/>
    </row>
    <row r="5579" spans="8:8" x14ac:dyDescent="0.25">
      <c r="H5579" s="134"/>
    </row>
    <row r="5580" spans="8:8" x14ac:dyDescent="0.25">
      <c r="H5580" s="134"/>
    </row>
    <row r="5581" spans="8:8" x14ac:dyDescent="0.25">
      <c r="H5581" s="134"/>
    </row>
    <row r="5582" spans="8:8" x14ac:dyDescent="0.25">
      <c r="H5582" s="134"/>
    </row>
    <row r="5583" spans="8:8" x14ac:dyDescent="0.25">
      <c r="H5583" s="134"/>
    </row>
    <row r="5584" spans="8:8" x14ac:dyDescent="0.25">
      <c r="H5584" s="134"/>
    </row>
    <row r="5585" spans="8:8" x14ac:dyDescent="0.25">
      <c r="H5585" s="134"/>
    </row>
    <row r="5586" spans="8:8" x14ac:dyDescent="0.25">
      <c r="H5586" s="134"/>
    </row>
    <row r="5587" spans="8:8" x14ac:dyDescent="0.25">
      <c r="H5587" s="134"/>
    </row>
    <row r="5588" spans="8:8" x14ac:dyDescent="0.25">
      <c r="H5588" s="134"/>
    </row>
    <row r="5589" spans="8:8" x14ac:dyDescent="0.25">
      <c r="H5589" s="134"/>
    </row>
    <row r="5590" spans="8:8" x14ac:dyDescent="0.25">
      <c r="H5590" s="134"/>
    </row>
    <row r="5591" spans="8:8" x14ac:dyDescent="0.25">
      <c r="H5591" s="134"/>
    </row>
    <row r="5592" spans="8:8" x14ac:dyDescent="0.25">
      <c r="H5592" s="134"/>
    </row>
    <row r="5593" spans="8:8" x14ac:dyDescent="0.25">
      <c r="H5593" s="134"/>
    </row>
    <row r="5594" spans="8:8" x14ac:dyDescent="0.25">
      <c r="H5594" s="134"/>
    </row>
    <row r="5595" spans="8:8" x14ac:dyDescent="0.25">
      <c r="H5595" s="134"/>
    </row>
    <row r="5596" spans="8:8" x14ac:dyDescent="0.25">
      <c r="H5596" s="134"/>
    </row>
    <row r="5597" spans="8:8" x14ac:dyDescent="0.25">
      <c r="H5597" s="134"/>
    </row>
    <row r="5598" spans="8:8" x14ac:dyDescent="0.25">
      <c r="H5598" s="134"/>
    </row>
    <row r="5599" spans="8:8" x14ac:dyDescent="0.25">
      <c r="H5599" s="134"/>
    </row>
    <row r="5600" spans="8:8" x14ac:dyDescent="0.25">
      <c r="H5600" s="134"/>
    </row>
    <row r="5601" spans="8:8" x14ac:dyDescent="0.25">
      <c r="H5601" s="134"/>
    </row>
    <row r="5602" spans="8:8" x14ac:dyDescent="0.25">
      <c r="H5602" s="134"/>
    </row>
    <row r="5603" spans="8:8" x14ac:dyDescent="0.25">
      <c r="H5603" s="134"/>
    </row>
    <row r="5604" spans="8:8" x14ac:dyDescent="0.25">
      <c r="H5604" s="134"/>
    </row>
    <row r="5605" spans="8:8" x14ac:dyDescent="0.25">
      <c r="H5605" s="134"/>
    </row>
    <row r="5606" spans="8:8" x14ac:dyDescent="0.25">
      <c r="H5606" s="134"/>
    </row>
    <row r="5607" spans="8:8" x14ac:dyDescent="0.25">
      <c r="H5607" s="134"/>
    </row>
    <row r="5608" spans="8:8" x14ac:dyDescent="0.25">
      <c r="H5608" s="134"/>
    </row>
    <row r="5609" spans="8:8" x14ac:dyDescent="0.25">
      <c r="H5609" s="134"/>
    </row>
    <row r="5610" spans="8:8" x14ac:dyDescent="0.25">
      <c r="H5610" s="134"/>
    </row>
    <row r="5611" spans="8:8" x14ac:dyDescent="0.25">
      <c r="H5611" s="134"/>
    </row>
    <row r="5612" spans="8:8" x14ac:dyDescent="0.25">
      <c r="H5612" s="134"/>
    </row>
    <row r="5613" spans="8:8" x14ac:dyDescent="0.25">
      <c r="H5613" s="134"/>
    </row>
    <row r="5614" spans="8:8" x14ac:dyDescent="0.25">
      <c r="H5614" s="134"/>
    </row>
    <row r="5615" spans="8:8" x14ac:dyDescent="0.25">
      <c r="H5615" s="134"/>
    </row>
    <row r="5616" spans="8:8" x14ac:dyDescent="0.25">
      <c r="H5616" s="134"/>
    </row>
    <row r="5617" spans="8:8" x14ac:dyDescent="0.25">
      <c r="H5617" s="134"/>
    </row>
    <row r="5618" spans="8:8" x14ac:dyDescent="0.25">
      <c r="H5618" s="134"/>
    </row>
    <row r="5619" spans="8:8" x14ac:dyDescent="0.25">
      <c r="H5619" s="134"/>
    </row>
    <row r="5620" spans="8:8" x14ac:dyDescent="0.25">
      <c r="H5620" s="134"/>
    </row>
    <row r="5621" spans="8:8" x14ac:dyDescent="0.25">
      <c r="H5621" s="134"/>
    </row>
    <row r="5622" spans="8:8" x14ac:dyDescent="0.25">
      <c r="H5622" s="134"/>
    </row>
    <row r="5623" spans="8:8" x14ac:dyDescent="0.25">
      <c r="H5623" s="134"/>
    </row>
    <row r="5624" spans="8:8" x14ac:dyDescent="0.25">
      <c r="H5624" s="134"/>
    </row>
    <row r="5625" spans="8:8" x14ac:dyDescent="0.25">
      <c r="H5625" s="134"/>
    </row>
    <row r="5626" spans="8:8" x14ac:dyDescent="0.25">
      <c r="H5626" s="134"/>
    </row>
    <row r="5627" spans="8:8" x14ac:dyDescent="0.25">
      <c r="H5627" s="134"/>
    </row>
    <row r="5628" spans="8:8" x14ac:dyDescent="0.25">
      <c r="H5628" s="134"/>
    </row>
    <row r="5629" spans="8:8" x14ac:dyDescent="0.25">
      <c r="H5629" s="134"/>
    </row>
    <row r="5630" spans="8:8" x14ac:dyDescent="0.25">
      <c r="H5630" s="134"/>
    </row>
    <row r="5631" spans="8:8" x14ac:dyDescent="0.25">
      <c r="H5631" s="134"/>
    </row>
    <row r="5632" spans="8:8" x14ac:dyDescent="0.25">
      <c r="H5632" s="134"/>
    </row>
    <row r="5633" spans="8:8" x14ac:dyDescent="0.25">
      <c r="H5633" s="134"/>
    </row>
    <row r="5634" spans="8:8" x14ac:dyDescent="0.25">
      <c r="H5634" s="134"/>
    </row>
    <row r="5635" spans="8:8" x14ac:dyDescent="0.25">
      <c r="H5635" s="134"/>
    </row>
    <row r="5636" spans="8:8" x14ac:dyDescent="0.25">
      <c r="H5636" s="134"/>
    </row>
    <row r="5637" spans="8:8" x14ac:dyDescent="0.25">
      <c r="H5637" s="134"/>
    </row>
    <row r="5638" spans="8:8" x14ac:dyDescent="0.25">
      <c r="H5638" s="134"/>
    </row>
    <row r="5639" spans="8:8" x14ac:dyDescent="0.25">
      <c r="H5639" s="134"/>
    </row>
    <row r="5640" spans="8:8" x14ac:dyDescent="0.25">
      <c r="H5640" s="134"/>
    </row>
    <row r="5641" spans="8:8" x14ac:dyDescent="0.25">
      <c r="H5641" s="134"/>
    </row>
    <row r="5642" spans="8:8" x14ac:dyDescent="0.25">
      <c r="H5642" s="134"/>
    </row>
    <row r="5643" spans="8:8" x14ac:dyDescent="0.25">
      <c r="H5643" s="134"/>
    </row>
    <row r="5644" spans="8:8" x14ac:dyDescent="0.25">
      <c r="H5644" s="134"/>
    </row>
    <row r="5645" spans="8:8" x14ac:dyDescent="0.25">
      <c r="H5645" s="134"/>
    </row>
    <row r="5646" spans="8:8" x14ac:dyDescent="0.25">
      <c r="H5646" s="134"/>
    </row>
    <row r="5647" spans="8:8" x14ac:dyDescent="0.25">
      <c r="H5647" s="134"/>
    </row>
    <row r="5648" spans="8:8" x14ac:dyDescent="0.25">
      <c r="H5648" s="134"/>
    </row>
    <row r="5649" spans="8:8" x14ac:dyDescent="0.25">
      <c r="H5649" s="134"/>
    </row>
    <row r="5650" spans="8:8" x14ac:dyDescent="0.25">
      <c r="H5650" s="134"/>
    </row>
    <row r="5651" spans="8:8" x14ac:dyDescent="0.25">
      <c r="H5651" s="134"/>
    </row>
    <row r="5652" spans="8:8" x14ac:dyDescent="0.25">
      <c r="H5652" s="134"/>
    </row>
    <row r="5653" spans="8:8" x14ac:dyDescent="0.25">
      <c r="H5653" s="134"/>
    </row>
    <row r="5654" spans="8:8" x14ac:dyDescent="0.25">
      <c r="H5654" s="134"/>
    </row>
    <row r="5655" spans="8:8" x14ac:dyDescent="0.25">
      <c r="H5655" s="134"/>
    </row>
    <row r="5656" spans="8:8" x14ac:dyDescent="0.25">
      <c r="H5656" s="134"/>
    </row>
    <row r="5657" spans="8:8" x14ac:dyDescent="0.25">
      <c r="H5657" s="134"/>
    </row>
    <row r="5658" spans="8:8" x14ac:dyDescent="0.25">
      <c r="H5658" s="134"/>
    </row>
    <row r="5659" spans="8:8" x14ac:dyDescent="0.25">
      <c r="H5659" s="134"/>
    </row>
    <row r="5660" spans="8:8" x14ac:dyDescent="0.25">
      <c r="H5660" s="134"/>
    </row>
    <row r="5661" spans="8:8" x14ac:dyDescent="0.25">
      <c r="H5661" s="134"/>
    </row>
    <row r="5662" spans="8:8" x14ac:dyDescent="0.25">
      <c r="H5662" s="134"/>
    </row>
    <row r="5663" spans="8:8" x14ac:dyDescent="0.25">
      <c r="H5663" s="134"/>
    </row>
    <row r="5664" spans="8:8" x14ac:dyDescent="0.25">
      <c r="H5664" s="134"/>
    </row>
    <row r="5665" spans="8:8" x14ac:dyDescent="0.25">
      <c r="H5665" s="134"/>
    </row>
    <row r="5666" spans="8:8" x14ac:dyDescent="0.25">
      <c r="H5666" s="134"/>
    </row>
    <row r="5667" spans="8:8" x14ac:dyDescent="0.25">
      <c r="H5667" s="134"/>
    </row>
    <row r="5668" spans="8:8" x14ac:dyDescent="0.25">
      <c r="H5668" s="134"/>
    </row>
    <row r="5669" spans="8:8" x14ac:dyDescent="0.25">
      <c r="H5669" s="134"/>
    </row>
    <row r="5670" spans="8:8" x14ac:dyDescent="0.25">
      <c r="H5670" s="134"/>
    </row>
    <row r="5671" spans="8:8" x14ac:dyDescent="0.25">
      <c r="H5671" s="134"/>
    </row>
    <row r="5672" spans="8:8" x14ac:dyDescent="0.25">
      <c r="H5672" s="134"/>
    </row>
    <row r="5673" spans="8:8" x14ac:dyDescent="0.25">
      <c r="H5673" s="134"/>
    </row>
    <row r="5674" spans="8:8" x14ac:dyDescent="0.25">
      <c r="H5674" s="134"/>
    </row>
    <row r="5675" spans="8:8" x14ac:dyDescent="0.25">
      <c r="H5675" s="134"/>
    </row>
    <row r="5676" spans="8:8" x14ac:dyDescent="0.25">
      <c r="H5676" s="134"/>
    </row>
    <row r="5677" spans="8:8" x14ac:dyDescent="0.25">
      <c r="H5677" s="134"/>
    </row>
    <row r="5678" spans="8:8" x14ac:dyDescent="0.25">
      <c r="H5678" s="134"/>
    </row>
    <row r="5679" spans="8:8" x14ac:dyDescent="0.25">
      <c r="H5679" s="134"/>
    </row>
    <row r="5680" spans="8:8" x14ac:dyDescent="0.25">
      <c r="H5680" s="134"/>
    </row>
    <row r="5681" spans="8:8" x14ac:dyDescent="0.25">
      <c r="H5681" s="134"/>
    </row>
    <row r="5682" spans="8:8" x14ac:dyDescent="0.25">
      <c r="H5682" s="134"/>
    </row>
    <row r="5683" spans="8:8" x14ac:dyDescent="0.25">
      <c r="H5683" s="134"/>
    </row>
    <row r="5684" spans="8:8" x14ac:dyDescent="0.25">
      <c r="H5684" s="134"/>
    </row>
    <row r="5685" spans="8:8" x14ac:dyDescent="0.25">
      <c r="H5685" s="134"/>
    </row>
    <row r="5686" spans="8:8" x14ac:dyDescent="0.25">
      <c r="H5686" s="134"/>
    </row>
    <row r="5687" spans="8:8" x14ac:dyDescent="0.25">
      <c r="H5687" s="134"/>
    </row>
    <row r="5688" spans="8:8" x14ac:dyDescent="0.25">
      <c r="H5688" s="134"/>
    </row>
    <row r="5689" spans="8:8" x14ac:dyDescent="0.25">
      <c r="H5689" s="134"/>
    </row>
    <row r="5690" spans="8:8" x14ac:dyDescent="0.25">
      <c r="H5690" s="134"/>
    </row>
    <row r="5691" spans="8:8" x14ac:dyDescent="0.25">
      <c r="H5691" s="134"/>
    </row>
    <row r="5692" spans="8:8" x14ac:dyDescent="0.25">
      <c r="H5692" s="134"/>
    </row>
    <row r="5693" spans="8:8" x14ac:dyDescent="0.25">
      <c r="H5693" s="134"/>
    </row>
    <row r="5694" spans="8:8" x14ac:dyDescent="0.25">
      <c r="H5694" s="134"/>
    </row>
    <row r="5695" spans="8:8" x14ac:dyDescent="0.25">
      <c r="H5695" s="134"/>
    </row>
    <row r="5696" spans="8:8" x14ac:dyDescent="0.25">
      <c r="H5696" s="134"/>
    </row>
    <row r="5697" spans="8:8" x14ac:dyDescent="0.25">
      <c r="H5697" s="134"/>
    </row>
    <row r="5698" spans="8:8" x14ac:dyDescent="0.25">
      <c r="H5698" s="134"/>
    </row>
    <row r="5699" spans="8:8" x14ac:dyDescent="0.25">
      <c r="H5699" s="134"/>
    </row>
    <row r="5700" spans="8:8" x14ac:dyDescent="0.25">
      <c r="H5700" s="134"/>
    </row>
    <row r="5701" spans="8:8" x14ac:dyDescent="0.25">
      <c r="H5701" s="134"/>
    </row>
    <row r="5702" spans="8:8" x14ac:dyDescent="0.25">
      <c r="H5702" s="134"/>
    </row>
    <row r="5703" spans="8:8" x14ac:dyDescent="0.25">
      <c r="H5703" s="134"/>
    </row>
    <row r="5704" spans="8:8" x14ac:dyDescent="0.25">
      <c r="H5704" s="134"/>
    </row>
    <row r="5705" spans="8:8" x14ac:dyDescent="0.25">
      <c r="H5705" s="134"/>
    </row>
    <row r="5706" spans="8:8" x14ac:dyDescent="0.25">
      <c r="H5706" s="134"/>
    </row>
    <row r="5707" spans="8:8" x14ac:dyDescent="0.25">
      <c r="H5707" s="134"/>
    </row>
    <row r="5708" spans="8:8" x14ac:dyDescent="0.25">
      <c r="H5708" s="134"/>
    </row>
    <row r="5709" spans="8:8" x14ac:dyDescent="0.25">
      <c r="H5709" s="134"/>
    </row>
    <row r="5710" spans="8:8" x14ac:dyDescent="0.25">
      <c r="H5710" s="134"/>
    </row>
    <row r="5711" spans="8:8" x14ac:dyDescent="0.25">
      <c r="H5711" s="134"/>
    </row>
    <row r="5712" spans="8:8" x14ac:dyDescent="0.25">
      <c r="H5712" s="134"/>
    </row>
    <row r="5713" spans="8:8" x14ac:dyDescent="0.25">
      <c r="H5713" s="134"/>
    </row>
    <row r="5714" spans="8:8" x14ac:dyDescent="0.25">
      <c r="H5714" s="134"/>
    </row>
    <row r="5715" spans="8:8" x14ac:dyDescent="0.25">
      <c r="H5715" s="134"/>
    </row>
    <row r="5716" spans="8:8" x14ac:dyDescent="0.25">
      <c r="H5716" s="134"/>
    </row>
    <row r="5717" spans="8:8" x14ac:dyDescent="0.25">
      <c r="H5717" s="134"/>
    </row>
    <row r="5718" spans="8:8" x14ac:dyDescent="0.25">
      <c r="H5718" s="134"/>
    </row>
    <row r="5719" spans="8:8" x14ac:dyDescent="0.25">
      <c r="H5719" s="134"/>
    </row>
    <row r="5720" spans="8:8" x14ac:dyDescent="0.25">
      <c r="H5720" s="134"/>
    </row>
    <row r="5721" spans="8:8" x14ac:dyDescent="0.25">
      <c r="H5721" s="134"/>
    </row>
    <row r="5722" spans="8:8" x14ac:dyDescent="0.25">
      <c r="H5722" s="134"/>
    </row>
    <row r="5723" spans="8:8" x14ac:dyDescent="0.25">
      <c r="H5723" s="134"/>
    </row>
    <row r="5724" spans="8:8" x14ac:dyDescent="0.25">
      <c r="H5724" s="134"/>
    </row>
    <row r="5725" spans="8:8" x14ac:dyDescent="0.25">
      <c r="H5725" s="134"/>
    </row>
    <row r="5726" spans="8:8" x14ac:dyDescent="0.25">
      <c r="H5726" s="134"/>
    </row>
    <row r="5727" spans="8:8" x14ac:dyDescent="0.25">
      <c r="H5727" s="134"/>
    </row>
    <row r="5728" spans="8:8" x14ac:dyDescent="0.25">
      <c r="H5728" s="134"/>
    </row>
    <row r="5729" spans="8:8" x14ac:dyDescent="0.25">
      <c r="H5729" s="134"/>
    </row>
    <row r="5730" spans="8:8" x14ac:dyDescent="0.25">
      <c r="H5730" s="134"/>
    </row>
    <row r="5731" spans="8:8" x14ac:dyDescent="0.25">
      <c r="H5731" s="134"/>
    </row>
    <row r="5732" spans="8:8" x14ac:dyDescent="0.25">
      <c r="H5732" s="134"/>
    </row>
    <row r="5733" spans="8:8" x14ac:dyDescent="0.25">
      <c r="H5733" s="134"/>
    </row>
    <row r="5734" spans="8:8" x14ac:dyDescent="0.25">
      <c r="H5734" s="134"/>
    </row>
    <row r="5735" spans="8:8" x14ac:dyDescent="0.25">
      <c r="H5735" s="134"/>
    </row>
    <row r="5736" spans="8:8" x14ac:dyDescent="0.25">
      <c r="H5736" s="134"/>
    </row>
    <row r="5737" spans="8:8" x14ac:dyDescent="0.25">
      <c r="H5737" s="134"/>
    </row>
    <row r="5738" spans="8:8" x14ac:dyDescent="0.25">
      <c r="H5738" s="134"/>
    </row>
    <row r="5739" spans="8:8" x14ac:dyDescent="0.25">
      <c r="H5739" s="134"/>
    </row>
    <row r="5740" spans="8:8" x14ac:dyDescent="0.25">
      <c r="H5740" s="134"/>
    </row>
    <row r="5741" spans="8:8" x14ac:dyDescent="0.25">
      <c r="H5741" s="134"/>
    </row>
    <row r="5742" spans="8:8" x14ac:dyDescent="0.25">
      <c r="H5742" s="134"/>
    </row>
    <row r="5743" spans="8:8" x14ac:dyDescent="0.25">
      <c r="H5743" s="134"/>
    </row>
    <row r="5744" spans="8:8" x14ac:dyDescent="0.25">
      <c r="H5744" s="134"/>
    </row>
    <row r="5745" spans="8:8" x14ac:dyDescent="0.25">
      <c r="H5745" s="134"/>
    </row>
    <row r="5746" spans="8:8" x14ac:dyDescent="0.25">
      <c r="H5746" s="134"/>
    </row>
    <row r="5747" spans="8:8" x14ac:dyDescent="0.25">
      <c r="H5747" s="134"/>
    </row>
    <row r="5748" spans="8:8" x14ac:dyDescent="0.25">
      <c r="H5748" s="134"/>
    </row>
    <row r="5749" spans="8:8" x14ac:dyDescent="0.25">
      <c r="H5749" s="134"/>
    </row>
    <row r="5750" spans="8:8" x14ac:dyDescent="0.25">
      <c r="H5750" s="134"/>
    </row>
    <row r="5751" spans="8:8" x14ac:dyDescent="0.25">
      <c r="H5751" s="134"/>
    </row>
    <row r="5752" spans="8:8" x14ac:dyDescent="0.25">
      <c r="H5752" s="134"/>
    </row>
    <row r="5753" spans="8:8" x14ac:dyDescent="0.25">
      <c r="H5753" s="134"/>
    </row>
    <row r="5754" spans="8:8" x14ac:dyDescent="0.25">
      <c r="H5754" s="134"/>
    </row>
    <row r="5755" spans="8:8" x14ac:dyDescent="0.25">
      <c r="H5755" s="134"/>
    </row>
    <row r="5756" spans="8:8" x14ac:dyDescent="0.25">
      <c r="H5756" s="134"/>
    </row>
    <row r="5757" spans="8:8" x14ac:dyDescent="0.25">
      <c r="H5757" s="134"/>
    </row>
    <row r="5758" spans="8:8" x14ac:dyDescent="0.25">
      <c r="H5758" s="134"/>
    </row>
    <row r="5759" spans="8:8" x14ac:dyDescent="0.25">
      <c r="H5759" s="134"/>
    </row>
    <row r="5760" spans="8:8" x14ac:dyDescent="0.25">
      <c r="H5760" s="134"/>
    </row>
    <row r="5761" spans="8:8" x14ac:dyDescent="0.25">
      <c r="H5761" s="134"/>
    </row>
    <row r="5762" spans="8:8" x14ac:dyDescent="0.25">
      <c r="H5762" s="134"/>
    </row>
    <row r="5763" spans="8:8" x14ac:dyDescent="0.25">
      <c r="H5763" s="134"/>
    </row>
    <row r="5764" spans="8:8" x14ac:dyDescent="0.25">
      <c r="H5764" s="134"/>
    </row>
    <row r="5765" spans="8:8" x14ac:dyDescent="0.25">
      <c r="H5765" s="134"/>
    </row>
    <row r="5766" spans="8:8" x14ac:dyDescent="0.25">
      <c r="H5766" s="134"/>
    </row>
    <row r="5767" spans="8:8" x14ac:dyDescent="0.25">
      <c r="H5767" s="134"/>
    </row>
    <row r="5768" spans="8:8" x14ac:dyDescent="0.25">
      <c r="H5768" s="134"/>
    </row>
    <row r="5769" spans="8:8" x14ac:dyDescent="0.25">
      <c r="H5769" s="134"/>
    </row>
    <row r="5770" spans="8:8" x14ac:dyDescent="0.25">
      <c r="H5770" s="134"/>
    </row>
    <row r="5771" spans="8:8" x14ac:dyDescent="0.25">
      <c r="H5771" s="134"/>
    </row>
    <row r="5772" spans="8:8" x14ac:dyDescent="0.25">
      <c r="H5772" s="134"/>
    </row>
    <row r="5773" spans="8:8" x14ac:dyDescent="0.25">
      <c r="H5773" s="134"/>
    </row>
    <row r="5774" spans="8:8" x14ac:dyDescent="0.25">
      <c r="H5774" s="134"/>
    </row>
    <row r="5775" spans="8:8" x14ac:dyDescent="0.25">
      <c r="H5775" s="134"/>
    </row>
    <row r="5776" spans="8:8" x14ac:dyDescent="0.25">
      <c r="H5776" s="134"/>
    </row>
    <row r="5777" spans="8:8" x14ac:dyDescent="0.25">
      <c r="H5777" s="134"/>
    </row>
    <row r="5778" spans="8:8" x14ac:dyDescent="0.25">
      <c r="H5778" s="134"/>
    </row>
    <row r="5779" spans="8:8" x14ac:dyDescent="0.25">
      <c r="H5779" s="134"/>
    </row>
    <row r="5780" spans="8:8" x14ac:dyDescent="0.25">
      <c r="H5780" s="134"/>
    </row>
    <row r="5781" spans="8:8" x14ac:dyDescent="0.25">
      <c r="H5781" s="134"/>
    </row>
    <row r="5782" spans="8:8" x14ac:dyDescent="0.25">
      <c r="H5782" s="134"/>
    </row>
    <row r="5783" spans="8:8" x14ac:dyDescent="0.25">
      <c r="H5783" s="134"/>
    </row>
    <row r="5784" spans="8:8" x14ac:dyDescent="0.25">
      <c r="H5784" s="134"/>
    </row>
    <row r="5785" spans="8:8" x14ac:dyDescent="0.25">
      <c r="H5785" s="134"/>
    </row>
    <row r="5786" spans="8:8" x14ac:dyDescent="0.25">
      <c r="H5786" s="134"/>
    </row>
    <row r="5787" spans="8:8" x14ac:dyDescent="0.25">
      <c r="H5787" s="134"/>
    </row>
    <row r="5788" spans="8:8" x14ac:dyDescent="0.25">
      <c r="H5788" s="134"/>
    </row>
    <row r="5789" spans="8:8" x14ac:dyDescent="0.25">
      <c r="H5789" s="134"/>
    </row>
    <row r="5790" spans="8:8" x14ac:dyDescent="0.25">
      <c r="H5790" s="134"/>
    </row>
    <row r="5791" spans="8:8" x14ac:dyDescent="0.25">
      <c r="H5791" s="134"/>
    </row>
    <row r="5792" spans="8:8" x14ac:dyDescent="0.25">
      <c r="H5792" s="134"/>
    </row>
    <row r="5793" spans="8:8" x14ac:dyDescent="0.25">
      <c r="H5793" s="134"/>
    </row>
    <row r="5794" spans="8:8" x14ac:dyDescent="0.25">
      <c r="H5794" s="134"/>
    </row>
    <row r="5795" spans="8:8" x14ac:dyDescent="0.25">
      <c r="H5795" s="134"/>
    </row>
    <row r="5796" spans="8:8" x14ac:dyDescent="0.25">
      <c r="H5796" s="134"/>
    </row>
    <row r="5797" spans="8:8" x14ac:dyDescent="0.25">
      <c r="H5797" s="134"/>
    </row>
    <row r="5798" spans="8:8" x14ac:dyDescent="0.25">
      <c r="H5798" s="134"/>
    </row>
    <row r="5799" spans="8:8" x14ac:dyDescent="0.25">
      <c r="H5799" s="134"/>
    </row>
    <row r="5800" spans="8:8" x14ac:dyDescent="0.25">
      <c r="H5800" s="134"/>
    </row>
    <row r="5801" spans="8:8" x14ac:dyDescent="0.25">
      <c r="H5801" s="134"/>
    </row>
    <row r="5802" spans="8:8" x14ac:dyDescent="0.25">
      <c r="H5802" s="134"/>
    </row>
    <row r="5803" spans="8:8" x14ac:dyDescent="0.25">
      <c r="H5803" s="134"/>
    </row>
    <row r="5804" spans="8:8" x14ac:dyDescent="0.25">
      <c r="H5804" s="134"/>
    </row>
    <row r="5805" spans="8:8" x14ac:dyDescent="0.25">
      <c r="H5805" s="134"/>
    </row>
    <row r="5806" spans="8:8" x14ac:dyDescent="0.25">
      <c r="H5806" s="134"/>
    </row>
    <row r="5807" spans="8:8" x14ac:dyDescent="0.25">
      <c r="H5807" s="134"/>
    </row>
    <row r="5808" spans="8:8" x14ac:dyDescent="0.25">
      <c r="H5808" s="134"/>
    </row>
    <row r="5809" spans="8:8" x14ac:dyDescent="0.25">
      <c r="H5809" s="134"/>
    </row>
    <row r="5810" spans="8:8" x14ac:dyDescent="0.25">
      <c r="H5810" s="134"/>
    </row>
    <row r="5811" spans="8:8" x14ac:dyDescent="0.25">
      <c r="H5811" s="134"/>
    </row>
    <row r="5812" spans="8:8" x14ac:dyDescent="0.25">
      <c r="H5812" s="134"/>
    </row>
    <row r="5813" spans="8:8" x14ac:dyDescent="0.25">
      <c r="H5813" s="134"/>
    </row>
    <row r="5814" spans="8:8" x14ac:dyDescent="0.25">
      <c r="H5814" s="134"/>
    </row>
    <row r="5815" spans="8:8" x14ac:dyDescent="0.25">
      <c r="H5815" s="134"/>
    </row>
    <row r="5816" spans="8:8" x14ac:dyDescent="0.25">
      <c r="H5816" s="134"/>
    </row>
    <row r="5817" spans="8:8" x14ac:dyDescent="0.25">
      <c r="H5817" s="134"/>
    </row>
    <row r="5818" spans="8:8" x14ac:dyDescent="0.25">
      <c r="H5818" s="134"/>
    </row>
    <row r="5819" spans="8:8" x14ac:dyDescent="0.25">
      <c r="H5819" s="134"/>
    </row>
    <row r="5820" spans="8:8" x14ac:dyDescent="0.25">
      <c r="H5820" s="134"/>
    </row>
    <row r="5821" spans="8:8" x14ac:dyDescent="0.25">
      <c r="H5821" s="134"/>
    </row>
    <row r="5822" spans="8:8" x14ac:dyDescent="0.25">
      <c r="H5822" s="134"/>
    </row>
    <row r="5823" spans="8:8" x14ac:dyDescent="0.25">
      <c r="H5823" s="134"/>
    </row>
    <row r="5824" spans="8:8" x14ac:dyDescent="0.25">
      <c r="H5824" s="134"/>
    </row>
    <row r="5825" spans="8:8" x14ac:dyDescent="0.25">
      <c r="H5825" s="134"/>
    </row>
    <row r="5826" spans="8:8" x14ac:dyDescent="0.25">
      <c r="H5826" s="134"/>
    </row>
    <row r="5827" spans="8:8" x14ac:dyDescent="0.25">
      <c r="H5827" s="134"/>
    </row>
    <row r="5828" spans="8:8" x14ac:dyDescent="0.25">
      <c r="H5828" s="134"/>
    </row>
    <row r="5829" spans="8:8" x14ac:dyDescent="0.25">
      <c r="H5829" s="134"/>
    </row>
    <row r="5830" spans="8:8" x14ac:dyDescent="0.25">
      <c r="H5830" s="134"/>
    </row>
    <row r="5831" spans="8:8" x14ac:dyDescent="0.25">
      <c r="H5831" s="134"/>
    </row>
    <row r="5832" spans="8:8" x14ac:dyDescent="0.25">
      <c r="H5832" s="134"/>
    </row>
    <row r="5833" spans="8:8" x14ac:dyDescent="0.25">
      <c r="H5833" s="134"/>
    </row>
    <row r="5834" spans="8:8" x14ac:dyDescent="0.25">
      <c r="H5834" s="134"/>
    </row>
    <row r="5835" spans="8:8" x14ac:dyDescent="0.25">
      <c r="H5835" s="134"/>
    </row>
    <row r="5836" spans="8:8" x14ac:dyDescent="0.25">
      <c r="H5836" s="134"/>
    </row>
    <row r="5837" spans="8:8" x14ac:dyDescent="0.25">
      <c r="H5837" s="134"/>
    </row>
    <row r="5838" spans="8:8" x14ac:dyDescent="0.25">
      <c r="H5838" s="134"/>
    </row>
    <row r="5839" spans="8:8" x14ac:dyDescent="0.25">
      <c r="H5839" s="134"/>
    </row>
    <row r="5840" spans="8:8" x14ac:dyDescent="0.25">
      <c r="H5840" s="134"/>
    </row>
    <row r="5841" spans="8:8" x14ac:dyDescent="0.25">
      <c r="H5841" s="134"/>
    </row>
    <row r="5842" spans="8:8" x14ac:dyDescent="0.25">
      <c r="H5842" s="134"/>
    </row>
    <row r="5843" spans="8:8" x14ac:dyDescent="0.25">
      <c r="H5843" s="134"/>
    </row>
    <row r="5844" spans="8:8" x14ac:dyDescent="0.25">
      <c r="H5844" s="134"/>
    </row>
    <row r="5845" spans="8:8" x14ac:dyDescent="0.25">
      <c r="H5845" s="134"/>
    </row>
    <row r="5846" spans="8:8" x14ac:dyDescent="0.25">
      <c r="H5846" s="134"/>
    </row>
    <row r="5847" spans="8:8" x14ac:dyDescent="0.25">
      <c r="H5847" s="134"/>
    </row>
    <row r="5848" spans="8:8" x14ac:dyDescent="0.25">
      <c r="H5848" s="134"/>
    </row>
    <row r="5849" spans="8:8" x14ac:dyDescent="0.25">
      <c r="H5849" s="134"/>
    </row>
    <row r="5850" spans="8:8" x14ac:dyDescent="0.25">
      <c r="H5850" s="134"/>
    </row>
    <row r="5851" spans="8:8" x14ac:dyDescent="0.25">
      <c r="H5851" s="134"/>
    </row>
    <row r="5852" spans="8:8" x14ac:dyDescent="0.25">
      <c r="H5852" s="134"/>
    </row>
    <row r="5853" spans="8:8" x14ac:dyDescent="0.25">
      <c r="H5853" s="134"/>
    </row>
    <row r="5854" spans="8:8" x14ac:dyDescent="0.25">
      <c r="H5854" s="134"/>
    </row>
    <row r="5855" spans="8:8" x14ac:dyDescent="0.25">
      <c r="H5855" s="134"/>
    </row>
    <row r="5856" spans="8:8" x14ac:dyDescent="0.25">
      <c r="H5856" s="134"/>
    </row>
    <row r="5857" spans="8:8" x14ac:dyDescent="0.25">
      <c r="H5857" s="134"/>
    </row>
    <row r="5858" spans="8:8" x14ac:dyDescent="0.25">
      <c r="H5858" s="134"/>
    </row>
    <row r="5859" spans="8:8" x14ac:dyDescent="0.25">
      <c r="H5859" s="134"/>
    </row>
    <row r="5860" spans="8:8" x14ac:dyDescent="0.25">
      <c r="H5860" s="134"/>
    </row>
    <row r="5861" spans="8:8" x14ac:dyDescent="0.25">
      <c r="H5861" s="134"/>
    </row>
    <row r="5862" spans="8:8" x14ac:dyDescent="0.25">
      <c r="H5862" s="134"/>
    </row>
    <row r="5863" spans="8:8" x14ac:dyDescent="0.25">
      <c r="H5863" s="134"/>
    </row>
    <row r="5864" spans="8:8" x14ac:dyDescent="0.25">
      <c r="H5864" s="134"/>
    </row>
    <row r="5865" spans="8:8" x14ac:dyDescent="0.25">
      <c r="H5865" s="134"/>
    </row>
    <row r="5866" spans="8:8" x14ac:dyDescent="0.25">
      <c r="H5866" s="134"/>
    </row>
    <row r="5867" spans="8:8" x14ac:dyDescent="0.25">
      <c r="H5867" s="134"/>
    </row>
    <row r="5868" spans="8:8" x14ac:dyDescent="0.25">
      <c r="H5868" s="134"/>
    </row>
    <row r="5869" spans="8:8" x14ac:dyDescent="0.25">
      <c r="H5869" s="134"/>
    </row>
    <row r="5870" spans="8:8" x14ac:dyDescent="0.25">
      <c r="H5870" s="134"/>
    </row>
    <row r="5871" spans="8:8" x14ac:dyDescent="0.25">
      <c r="H5871" s="134"/>
    </row>
    <row r="5872" spans="8:8" x14ac:dyDescent="0.25">
      <c r="H5872" s="134"/>
    </row>
    <row r="5873" spans="8:8" x14ac:dyDescent="0.25">
      <c r="H5873" s="134"/>
    </row>
    <row r="5874" spans="8:8" x14ac:dyDescent="0.25">
      <c r="H5874" s="134"/>
    </row>
    <row r="5875" spans="8:8" x14ac:dyDescent="0.25">
      <c r="H5875" s="134"/>
    </row>
    <row r="5876" spans="8:8" x14ac:dyDescent="0.25">
      <c r="H5876" s="134"/>
    </row>
    <row r="5877" spans="8:8" x14ac:dyDescent="0.25">
      <c r="H5877" s="134"/>
    </row>
    <row r="5878" spans="8:8" x14ac:dyDescent="0.25">
      <c r="H5878" s="134"/>
    </row>
    <row r="5879" spans="8:8" x14ac:dyDescent="0.25">
      <c r="H5879" s="134"/>
    </row>
    <row r="5880" spans="8:8" x14ac:dyDescent="0.25">
      <c r="H5880" s="134"/>
    </row>
    <row r="5881" spans="8:8" x14ac:dyDescent="0.25">
      <c r="H5881" s="134"/>
    </row>
    <row r="5882" spans="8:8" x14ac:dyDescent="0.25">
      <c r="H5882" s="134"/>
    </row>
    <row r="5883" spans="8:8" x14ac:dyDescent="0.25">
      <c r="H5883" s="134"/>
    </row>
    <row r="5884" spans="8:8" x14ac:dyDescent="0.25">
      <c r="H5884" s="134"/>
    </row>
    <row r="5885" spans="8:8" x14ac:dyDescent="0.25">
      <c r="H5885" s="134"/>
    </row>
    <row r="5886" spans="8:8" x14ac:dyDescent="0.25">
      <c r="H5886" s="134"/>
    </row>
    <row r="5887" spans="8:8" x14ac:dyDescent="0.25">
      <c r="H5887" s="134"/>
    </row>
    <row r="5888" spans="8:8" x14ac:dyDescent="0.25">
      <c r="H5888" s="134"/>
    </row>
    <row r="5889" spans="8:8" x14ac:dyDescent="0.25">
      <c r="H5889" s="134"/>
    </row>
    <row r="5890" spans="8:8" x14ac:dyDescent="0.25">
      <c r="H5890" s="134"/>
    </row>
    <row r="5891" spans="8:8" x14ac:dyDescent="0.25">
      <c r="H5891" s="134"/>
    </row>
    <row r="5892" spans="8:8" x14ac:dyDescent="0.25">
      <c r="H5892" s="134"/>
    </row>
    <row r="5893" spans="8:8" x14ac:dyDescent="0.25">
      <c r="H5893" s="134"/>
    </row>
    <row r="5894" spans="8:8" x14ac:dyDescent="0.25">
      <c r="H5894" s="134"/>
    </row>
    <row r="5895" spans="8:8" x14ac:dyDescent="0.25">
      <c r="H5895" s="134"/>
    </row>
    <row r="5896" spans="8:8" x14ac:dyDescent="0.25">
      <c r="H5896" s="134"/>
    </row>
    <row r="5897" spans="8:8" x14ac:dyDescent="0.25">
      <c r="H5897" s="134"/>
    </row>
    <row r="5898" spans="8:8" x14ac:dyDescent="0.25">
      <c r="H5898" s="134"/>
    </row>
    <row r="5899" spans="8:8" x14ac:dyDescent="0.25">
      <c r="H5899" s="134"/>
    </row>
    <row r="5900" spans="8:8" x14ac:dyDescent="0.25">
      <c r="H5900" s="134"/>
    </row>
    <row r="5901" spans="8:8" x14ac:dyDescent="0.25">
      <c r="H5901" s="134"/>
    </row>
    <row r="5902" spans="8:8" x14ac:dyDescent="0.25">
      <c r="H5902" s="134"/>
    </row>
    <row r="5903" spans="8:8" x14ac:dyDescent="0.25">
      <c r="H5903" s="134"/>
    </row>
    <row r="5904" spans="8:8" x14ac:dyDescent="0.25">
      <c r="H5904" s="134"/>
    </row>
    <row r="5905" spans="8:8" x14ac:dyDescent="0.25">
      <c r="H5905" s="134"/>
    </row>
    <row r="5906" spans="8:8" x14ac:dyDescent="0.25">
      <c r="H5906" s="134"/>
    </row>
    <row r="5907" spans="8:8" x14ac:dyDescent="0.25">
      <c r="H5907" s="134"/>
    </row>
    <row r="5908" spans="8:8" x14ac:dyDescent="0.25">
      <c r="H5908" s="134"/>
    </row>
    <row r="5909" spans="8:8" x14ac:dyDescent="0.25">
      <c r="H5909" s="134"/>
    </row>
    <row r="5910" spans="8:8" x14ac:dyDescent="0.25">
      <c r="H5910" s="134"/>
    </row>
    <row r="5911" spans="8:8" x14ac:dyDescent="0.25">
      <c r="H5911" s="134"/>
    </row>
    <row r="5912" spans="8:8" x14ac:dyDescent="0.25">
      <c r="H5912" s="134"/>
    </row>
    <row r="5913" spans="8:8" x14ac:dyDescent="0.25">
      <c r="H5913" s="134"/>
    </row>
    <row r="5914" spans="8:8" x14ac:dyDescent="0.25">
      <c r="H5914" s="134"/>
    </row>
    <row r="5915" spans="8:8" x14ac:dyDescent="0.25">
      <c r="H5915" s="134"/>
    </row>
    <row r="5916" spans="8:8" x14ac:dyDescent="0.25">
      <c r="H5916" s="134"/>
    </row>
    <row r="5917" spans="8:8" x14ac:dyDescent="0.25">
      <c r="H5917" s="134"/>
    </row>
    <row r="5918" spans="8:8" x14ac:dyDescent="0.25">
      <c r="H5918" s="134"/>
    </row>
    <row r="5919" spans="8:8" x14ac:dyDescent="0.25">
      <c r="H5919" s="134"/>
    </row>
    <row r="5920" spans="8:8" x14ac:dyDescent="0.25">
      <c r="H5920" s="134"/>
    </row>
    <row r="5921" spans="8:8" x14ac:dyDescent="0.25">
      <c r="H5921" s="134"/>
    </row>
    <row r="5922" spans="8:8" x14ac:dyDescent="0.25">
      <c r="H5922" s="134"/>
    </row>
    <row r="5923" spans="8:8" x14ac:dyDescent="0.25">
      <c r="H5923" s="134"/>
    </row>
    <row r="5924" spans="8:8" x14ac:dyDescent="0.25">
      <c r="H5924" s="134"/>
    </row>
    <row r="5925" spans="8:8" x14ac:dyDescent="0.25">
      <c r="H5925" s="134"/>
    </row>
    <row r="5926" spans="8:8" x14ac:dyDescent="0.25">
      <c r="H5926" s="134"/>
    </row>
    <row r="5927" spans="8:8" x14ac:dyDescent="0.25">
      <c r="H5927" s="134"/>
    </row>
    <row r="5928" spans="8:8" x14ac:dyDescent="0.25">
      <c r="H5928" s="134"/>
    </row>
    <row r="5929" spans="8:8" x14ac:dyDescent="0.25">
      <c r="H5929" s="134"/>
    </row>
    <row r="5930" spans="8:8" x14ac:dyDescent="0.25">
      <c r="H5930" s="134"/>
    </row>
    <row r="5931" spans="8:8" x14ac:dyDescent="0.25">
      <c r="H5931" s="134"/>
    </row>
    <row r="5932" spans="8:8" x14ac:dyDescent="0.25">
      <c r="H5932" s="134"/>
    </row>
    <row r="5933" spans="8:8" x14ac:dyDescent="0.25">
      <c r="H5933" s="134"/>
    </row>
    <row r="5934" spans="8:8" x14ac:dyDescent="0.25">
      <c r="H5934" s="134"/>
    </row>
    <row r="5935" spans="8:8" x14ac:dyDescent="0.25">
      <c r="H5935" s="134"/>
    </row>
    <row r="5936" spans="8:8" x14ac:dyDescent="0.25">
      <c r="H5936" s="134"/>
    </row>
    <row r="5937" spans="8:8" x14ac:dyDescent="0.25">
      <c r="H5937" s="134"/>
    </row>
    <row r="5938" spans="8:8" x14ac:dyDescent="0.25">
      <c r="H5938" s="134"/>
    </row>
    <row r="5939" spans="8:8" x14ac:dyDescent="0.25">
      <c r="H5939" s="134"/>
    </row>
    <row r="5940" spans="8:8" x14ac:dyDescent="0.25">
      <c r="H5940" s="134"/>
    </row>
    <row r="5941" spans="8:8" x14ac:dyDescent="0.25">
      <c r="H5941" s="134"/>
    </row>
    <row r="5942" spans="8:8" x14ac:dyDescent="0.25">
      <c r="H5942" s="134"/>
    </row>
    <row r="5943" spans="8:8" x14ac:dyDescent="0.25">
      <c r="H5943" s="134"/>
    </row>
    <row r="5944" spans="8:8" x14ac:dyDescent="0.25">
      <c r="H5944" s="134"/>
    </row>
    <row r="5945" spans="8:8" x14ac:dyDescent="0.25">
      <c r="H5945" s="134"/>
    </row>
    <row r="5946" spans="8:8" x14ac:dyDescent="0.25">
      <c r="H5946" s="134"/>
    </row>
    <row r="5947" spans="8:8" x14ac:dyDescent="0.25">
      <c r="H5947" s="134"/>
    </row>
    <row r="5948" spans="8:8" x14ac:dyDescent="0.25">
      <c r="H5948" s="134"/>
    </row>
    <row r="5949" spans="8:8" x14ac:dyDescent="0.25">
      <c r="H5949" s="134"/>
    </row>
    <row r="5950" spans="8:8" x14ac:dyDescent="0.25">
      <c r="H5950" s="134"/>
    </row>
    <row r="5951" spans="8:8" x14ac:dyDescent="0.25">
      <c r="H5951" s="134"/>
    </row>
    <row r="5952" spans="8:8" x14ac:dyDescent="0.25">
      <c r="H5952" s="134"/>
    </row>
    <row r="5953" spans="8:8" x14ac:dyDescent="0.25">
      <c r="H5953" s="134"/>
    </row>
    <row r="5954" spans="8:8" x14ac:dyDescent="0.25">
      <c r="H5954" s="134"/>
    </row>
    <row r="5955" spans="8:8" x14ac:dyDescent="0.25">
      <c r="H5955" s="134"/>
    </row>
    <row r="5956" spans="8:8" x14ac:dyDescent="0.25">
      <c r="H5956" s="134"/>
    </row>
    <row r="5957" spans="8:8" x14ac:dyDescent="0.25">
      <c r="H5957" s="134"/>
    </row>
    <row r="5958" spans="8:8" x14ac:dyDescent="0.25">
      <c r="H5958" s="134"/>
    </row>
    <row r="5959" spans="8:8" x14ac:dyDescent="0.25">
      <c r="H5959" s="134"/>
    </row>
    <row r="5960" spans="8:8" x14ac:dyDescent="0.25">
      <c r="H5960" s="134"/>
    </row>
    <row r="5961" spans="8:8" x14ac:dyDescent="0.25">
      <c r="H5961" s="134"/>
    </row>
    <row r="5962" spans="8:8" x14ac:dyDescent="0.25">
      <c r="H5962" s="134"/>
    </row>
    <row r="5963" spans="8:8" x14ac:dyDescent="0.25">
      <c r="H5963" s="134"/>
    </row>
    <row r="5964" spans="8:8" x14ac:dyDescent="0.25">
      <c r="H5964" s="134"/>
    </row>
    <row r="5965" spans="8:8" x14ac:dyDescent="0.25">
      <c r="H5965" s="134"/>
    </row>
    <row r="5966" spans="8:8" x14ac:dyDescent="0.25">
      <c r="H5966" s="134"/>
    </row>
    <row r="5967" spans="8:8" x14ac:dyDescent="0.25">
      <c r="H5967" s="134"/>
    </row>
    <row r="5968" spans="8:8" x14ac:dyDescent="0.25">
      <c r="H5968" s="134"/>
    </row>
    <row r="5969" spans="8:8" x14ac:dyDescent="0.25">
      <c r="H5969" s="134"/>
    </row>
    <row r="5970" spans="8:8" x14ac:dyDescent="0.25">
      <c r="H5970" s="134"/>
    </row>
    <row r="5971" spans="8:8" x14ac:dyDescent="0.25">
      <c r="H5971" s="134"/>
    </row>
    <row r="5972" spans="8:8" x14ac:dyDescent="0.25">
      <c r="H5972" s="134"/>
    </row>
    <row r="5973" spans="8:8" x14ac:dyDescent="0.25">
      <c r="H5973" s="134"/>
    </row>
    <row r="5974" spans="8:8" x14ac:dyDescent="0.25">
      <c r="H5974" s="134"/>
    </row>
    <row r="5975" spans="8:8" x14ac:dyDescent="0.25">
      <c r="H5975" s="134"/>
    </row>
    <row r="5976" spans="8:8" x14ac:dyDescent="0.25">
      <c r="H5976" s="134"/>
    </row>
    <row r="5977" spans="8:8" x14ac:dyDescent="0.25">
      <c r="H5977" s="134"/>
    </row>
    <row r="5978" spans="8:8" x14ac:dyDescent="0.25">
      <c r="H5978" s="134"/>
    </row>
    <row r="5979" spans="8:8" x14ac:dyDescent="0.25">
      <c r="H5979" s="134"/>
    </row>
    <row r="5980" spans="8:8" x14ac:dyDescent="0.25">
      <c r="H5980" s="134"/>
    </row>
    <row r="5981" spans="8:8" x14ac:dyDescent="0.25">
      <c r="H5981" s="134"/>
    </row>
    <row r="5982" spans="8:8" x14ac:dyDescent="0.25">
      <c r="H5982" s="134"/>
    </row>
    <row r="5983" spans="8:8" x14ac:dyDescent="0.25">
      <c r="H5983" s="134"/>
    </row>
    <row r="5984" spans="8:8" x14ac:dyDescent="0.25">
      <c r="H5984" s="134"/>
    </row>
    <row r="5985" spans="8:8" x14ac:dyDescent="0.25">
      <c r="H5985" s="134"/>
    </row>
    <row r="5986" spans="8:8" x14ac:dyDescent="0.25">
      <c r="H5986" s="134"/>
    </row>
    <row r="5987" spans="8:8" x14ac:dyDescent="0.25">
      <c r="H5987" s="134"/>
    </row>
    <row r="5988" spans="8:8" x14ac:dyDescent="0.25">
      <c r="H5988" s="134"/>
    </row>
    <row r="5989" spans="8:8" x14ac:dyDescent="0.25">
      <c r="H5989" s="134"/>
    </row>
    <row r="5990" spans="8:8" x14ac:dyDescent="0.25">
      <c r="H5990" s="134"/>
    </row>
    <row r="5991" spans="8:8" x14ac:dyDescent="0.25">
      <c r="H5991" s="134"/>
    </row>
    <row r="5992" spans="8:8" x14ac:dyDescent="0.25">
      <c r="H5992" s="134"/>
    </row>
    <row r="5993" spans="8:8" x14ac:dyDescent="0.25">
      <c r="H5993" s="134"/>
    </row>
    <row r="5994" spans="8:8" x14ac:dyDescent="0.25">
      <c r="H5994" s="134"/>
    </row>
    <row r="5995" spans="8:8" x14ac:dyDescent="0.25">
      <c r="H5995" s="134"/>
    </row>
    <row r="5996" spans="8:8" x14ac:dyDescent="0.25">
      <c r="H5996" s="134"/>
    </row>
    <row r="5997" spans="8:8" x14ac:dyDescent="0.25">
      <c r="H5997" s="134"/>
    </row>
    <row r="5998" spans="8:8" x14ac:dyDescent="0.25">
      <c r="H5998" s="134"/>
    </row>
    <row r="5999" spans="8:8" x14ac:dyDescent="0.25">
      <c r="H5999" s="134"/>
    </row>
    <row r="6000" spans="8:8" x14ac:dyDescent="0.25">
      <c r="H6000" s="134"/>
    </row>
    <row r="6001" spans="8:8" x14ac:dyDescent="0.25">
      <c r="H6001" s="134"/>
    </row>
    <row r="6002" spans="8:8" x14ac:dyDescent="0.25">
      <c r="H6002" s="134"/>
    </row>
    <row r="6003" spans="8:8" x14ac:dyDescent="0.25">
      <c r="H6003" s="134"/>
    </row>
    <row r="6004" spans="8:8" x14ac:dyDescent="0.25">
      <c r="H6004" s="134"/>
    </row>
    <row r="6005" spans="8:8" x14ac:dyDescent="0.25">
      <c r="H6005" s="134"/>
    </row>
    <row r="6006" spans="8:8" x14ac:dyDescent="0.25">
      <c r="H6006" s="134"/>
    </row>
    <row r="6007" spans="8:8" x14ac:dyDescent="0.25">
      <c r="H6007" s="134"/>
    </row>
    <row r="6008" spans="8:8" x14ac:dyDescent="0.25">
      <c r="H6008" s="134"/>
    </row>
    <row r="6009" spans="8:8" x14ac:dyDescent="0.25">
      <c r="H6009" s="134"/>
    </row>
    <row r="6010" spans="8:8" x14ac:dyDescent="0.25">
      <c r="H6010" s="134"/>
    </row>
    <row r="6011" spans="8:8" x14ac:dyDescent="0.25">
      <c r="H6011" s="134"/>
    </row>
    <row r="6012" spans="8:8" x14ac:dyDescent="0.25">
      <c r="H6012" s="134"/>
    </row>
    <row r="6013" spans="8:8" x14ac:dyDescent="0.25">
      <c r="H6013" s="134"/>
    </row>
    <row r="6014" spans="8:8" x14ac:dyDescent="0.25">
      <c r="H6014" s="134"/>
    </row>
    <row r="6015" spans="8:8" x14ac:dyDescent="0.25">
      <c r="H6015" s="134"/>
    </row>
    <row r="6016" spans="8:8" x14ac:dyDescent="0.25">
      <c r="H6016" s="134"/>
    </row>
    <row r="6017" spans="8:8" x14ac:dyDescent="0.25">
      <c r="H6017" s="134"/>
    </row>
    <row r="6018" spans="8:8" x14ac:dyDescent="0.25">
      <c r="H6018" s="134"/>
    </row>
    <row r="6019" spans="8:8" x14ac:dyDescent="0.25">
      <c r="H6019" s="134"/>
    </row>
    <row r="6020" spans="8:8" x14ac:dyDescent="0.25">
      <c r="H6020" s="134"/>
    </row>
    <row r="6021" spans="8:8" x14ac:dyDescent="0.25">
      <c r="H6021" s="134"/>
    </row>
    <row r="6022" spans="8:8" x14ac:dyDescent="0.25">
      <c r="H6022" s="134"/>
    </row>
    <row r="6023" spans="8:8" x14ac:dyDescent="0.25">
      <c r="H6023" s="134"/>
    </row>
    <row r="6024" spans="8:8" x14ac:dyDescent="0.25">
      <c r="H6024" s="134"/>
    </row>
    <row r="6025" spans="8:8" x14ac:dyDescent="0.25">
      <c r="H6025" s="134"/>
    </row>
    <row r="6026" spans="8:8" x14ac:dyDescent="0.25">
      <c r="H6026" s="134"/>
    </row>
    <row r="6027" spans="8:8" x14ac:dyDescent="0.25">
      <c r="H6027" s="134"/>
    </row>
    <row r="6028" spans="8:8" x14ac:dyDescent="0.25">
      <c r="H6028" s="134"/>
    </row>
    <row r="6029" spans="8:8" x14ac:dyDescent="0.25">
      <c r="H6029" s="134"/>
    </row>
    <row r="6030" spans="8:8" x14ac:dyDescent="0.25">
      <c r="H6030" s="134"/>
    </row>
    <row r="6031" spans="8:8" x14ac:dyDescent="0.25">
      <c r="H6031" s="134"/>
    </row>
    <row r="6032" spans="8:8" x14ac:dyDescent="0.25">
      <c r="H6032" s="134"/>
    </row>
    <row r="6033" spans="8:8" x14ac:dyDescent="0.25">
      <c r="H6033" s="134"/>
    </row>
    <row r="6034" spans="8:8" x14ac:dyDescent="0.25">
      <c r="H6034" s="134"/>
    </row>
    <row r="6035" spans="8:8" x14ac:dyDescent="0.25">
      <c r="H6035" s="134"/>
    </row>
    <row r="6036" spans="8:8" x14ac:dyDescent="0.25">
      <c r="H6036" s="134"/>
    </row>
    <row r="6037" spans="8:8" x14ac:dyDescent="0.25">
      <c r="H6037" s="134"/>
    </row>
    <row r="6038" spans="8:8" x14ac:dyDescent="0.25">
      <c r="H6038" s="134"/>
    </row>
    <row r="6039" spans="8:8" x14ac:dyDescent="0.25">
      <c r="H6039" s="134"/>
    </row>
    <row r="6040" spans="8:8" x14ac:dyDescent="0.25">
      <c r="H6040" s="134"/>
    </row>
    <row r="6041" spans="8:8" x14ac:dyDescent="0.25">
      <c r="H6041" s="134"/>
    </row>
    <row r="6042" spans="8:8" x14ac:dyDescent="0.25">
      <c r="H6042" s="134"/>
    </row>
    <row r="6043" spans="8:8" x14ac:dyDescent="0.25">
      <c r="H6043" s="134"/>
    </row>
    <row r="6044" spans="8:8" x14ac:dyDescent="0.25">
      <c r="H6044" s="134"/>
    </row>
    <row r="6045" spans="8:8" x14ac:dyDescent="0.25">
      <c r="H6045" s="134"/>
    </row>
    <row r="6046" spans="8:8" x14ac:dyDescent="0.25">
      <c r="H6046" s="134"/>
    </row>
    <row r="6047" spans="8:8" x14ac:dyDescent="0.25">
      <c r="H6047" s="134"/>
    </row>
    <row r="6048" spans="8:8" x14ac:dyDescent="0.25">
      <c r="H6048" s="134"/>
    </row>
    <row r="6049" spans="8:8" x14ac:dyDescent="0.25">
      <c r="H6049" s="134"/>
    </row>
    <row r="6050" spans="8:8" x14ac:dyDescent="0.25">
      <c r="H6050" s="134"/>
    </row>
    <row r="6051" spans="8:8" x14ac:dyDescent="0.25">
      <c r="H6051" s="134"/>
    </row>
    <row r="6052" spans="8:8" x14ac:dyDescent="0.25">
      <c r="H6052" s="134"/>
    </row>
    <row r="6053" spans="8:8" x14ac:dyDescent="0.25">
      <c r="H6053" s="134"/>
    </row>
    <row r="6054" spans="8:8" x14ac:dyDescent="0.25">
      <c r="H6054" s="134"/>
    </row>
    <row r="6055" spans="8:8" x14ac:dyDescent="0.25">
      <c r="H6055" s="134"/>
    </row>
    <row r="6056" spans="8:8" x14ac:dyDescent="0.25">
      <c r="H6056" s="134"/>
    </row>
    <row r="6057" spans="8:8" x14ac:dyDescent="0.25">
      <c r="H6057" s="134"/>
    </row>
    <row r="6058" spans="8:8" x14ac:dyDescent="0.25">
      <c r="H6058" s="134"/>
    </row>
    <row r="6059" spans="8:8" x14ac:dyDescent="0.25">
      <c r="H6059" s="134"/>
    </row>
    <row r="6060" spans="8:8" x14ac:dyDescent="0.25">
      <c r="H6060" s="134"/>
    </row>
    <row r="6061" spans="8:8" x14ac:dyDescent="0.25">
      <c r="H6061" s="134"/>
    </row>
    <row r="6062" spans="8:8" x14ac:dyDescent="0.25">
      <c r="H6062" s="134"/>
    </row>
    <row r="6063" spans="8:8" x14ac:dyDescent="0.25">
      <c r="H6063" s="134"/>
    </row>
    <row r="6064" spans="8:8" x14ac:dyDescent="0.25">
      <c r="H6064" s="134"/>
    </row>
    <row r="6065" spans="8:8" x14ac:dyDescent="0.25">
      <c r="H6065" s="134"/>
    </row>
    <row r="6066" spans="8:8" x14ac:dyDescent="0.25">
      <c r="H6066" s="134"/>
    </row>
    <row r="6067" spans="8:8" x14ac:dyDescent="0.25">
      <c r="H6067" s="134"/>
    </row>
    <row r="6068" spans="8:8" x14ac:dyDescent="0.25">
      <c r="H6068" s="134"/>
    </row>
    <row r="6069" spans="8:8" x14ac:dyDescent="0.25">
      <c r="H6069" s="134"/>
    </row>
    <row r="6070" spans="8:8" x14ac:dyDescent="0.25">
      <c r="H6070" s="134"/>
    </row>
    <row r="6071" spans="8:8" x14ac:dyDescent="0.25">
      <c r="H6071" s="134"/>
    </row>
    <row r="6072" spans="8:8" x14ac:dyDescent="0.25">
      <c r="H6072" s="134"/>
    </row>
    <row r="6073" spans="8:8" x14ac:dyDescent="0.25">
      <c r="H6073" s="134"/>
    </row>
    <row r="6074" spans="8:8" x14ac:dyDescent="0.25">
      <c r="H6074" s="134"/>
    </row>
    <row r="6075" spans="8:8" x14ac:dyDescent="0.25">
      <c r="H6075" s="134"/>
    </row>
    <row r="6076" spans="8:8" x14ac:dyDescent="0.25">
      <c r="H6076" s="134"/>
    </row>
    <row r="6077" spans="8:8" x14ac:dyDescent="0.25">
      <c r="H6077" s="134"/>
    </row>
    <row r="6078" spans="8:8" x14ac:dyDescent="0.25">
      <c r="H6078" s="134"/>
    </row>
    <row r="6079" spans="8:8" x14ac:dyDescent="0.25">
      <c r="H6079" s="134"/>
    </row>
    <row r="6080" spans="8:8" x14ac:dyDescent="0.25">
      <c r="H6080" s="134"/>
    </row>
    <row r="6081" spans="8:8" x14ac:dyDescent="0.25">
      <c r="H6081" s="134"/>
    </row>
    <row r="6082" spans="8:8" x14ac:dyDescent="0.25">
      <c r="H6082" s="134"/>
    </row>
    <row r="6083" spans="8:8" x14ac:dyDescent="0.25">
      <c r="H6083" s="134"/>
    </row>
    <row r="6084" spans="8:8" x14ac:dyDescent="0.25">
      <c r="H6084" s="134"/>
    </row>
    <row r="6085" spans="8:8" x14ac:dyDescent="0.25">
      <c r="H6085" s="134"/>
    </row>
    <row r="6086" spans="8:8" x14ac:dyDescent="0.25">
      <c r="H6086" s="134"/>
    </row>
    <row r="6087" spans="8:8" x14ac:dyDescent="0.25">
      <c r="H6087" s="134"/>
    </row>
    <row r="6088" spans="8:8" x14ac:dyDescent="0.25">
      <c r="H6088" s="134"/>
    </row>
    <row r="6089" spans="8:8" x14ac:dyDescent="0.25">
      <c r="H6089" s="134"/>
    </row>
    <row r="6090" spans="8:8" x14ac:dyDescent="0.25">
      <c r="H6090" s="134"/>
    </row>
    <row r="6091" spans="8:8" x14ac:dyDescent="0.25">
      <c r="H6091" s="134"/>
    </row>
    <row r="6092" spans="8:8" x14ac:dyDescent="0.25">
      <c r="H6092" s="134"/>
    </row>
    <row r="6093" spans="8:8" x14ac:dyDescent="0.25">
      <c r="H6093" s="134"/>
    </row>
    <row r="6094" spans="8:8" x14ac:dyDescent="0.25">
      <c r="H6094" s="134"/>
    </row>
    <row r="6095" spans="8:8" x14ac:dyDescent="0.25">
      <c r="H6095" s="134"/>
    </row>
    <row r="6096" spans="8:8" x14ac:dyDescent="0.25">
      <c r="H6096" s="134"/>
    </row>
    <row r="6097" spans="8:8" x14ac:dyDescent="0.25">
      <c r="H6097" s="134"/>
    </row>
    <row r="6098" spans="8:8" x14ac:dyDescent="0.25">
      <c r="H6098" s="134"/>
    </row>
    <row r="6099" spans="8:8" x14ac:dyDescent="0.25">
      <c r="H6099" s="134"/>
    </row>
    <row r="6100" spans="8:8" x14ac:dyDescent="0.25">
      <c r="H6100" s="134"/>
    </row>
    <row r="6101" spans="8:8" x14ac:dyDescent="0.25">
      <c r="H6101" s="134"/>
    </row>
    <row r="6102" spans="8:8" x14ac:dyDescent="0.25">
      <c r="H6102" s="134"/>
    </row>
    <row r="6103" spans="8:8" x14ac:dyDescent="0.25">
      <c r="H6103" s="134"/>
    </row>
    <row r="6104" spans="8:8" x14ac:dyDescent="0.25">
      <c r="H6104" s="134"/>
    </row>
    <row r="6105" spans="8:8" x14ac:dyDescent="0.25">
      <c r="H6105" s="134"/>
    </row>
    <row r="6106" spans="8:8" x14ac:dyDescent="0.25">
      <c r="H6106" s="134"/>
    </row>
    <row r="6107" spans="8:8" x14ac:dyDescent="0.25">
      <c r="H6107" s="134"/>
    </row>
    <row r="6108" spans="8:8" x14ac:dyDescent="0.25">
      <c r="H6108" s="134"/>
    </row>
    <row r="6109" spans="8:8" x14ac:dyDescent="0.25">
      <c r="H6109" s="134"/>
    </row>
    <row r="6110" spans="8:8" x14ac:dyDescent="0.25">
      <c r="H6110" s="134"/>
    </row>
    <row r="6111" spans="8:8" x14ac:dyDescent="0.25">
      <c r="H6111" s="134"/>
    </row>
    <row r="6112" spans="8:8" x14ac:dyDescent="0.25">
      <c r="H6112" s="134"/>
    </row>
    <row r="6113" spans="8:8" x14ac:dyDescent="0.25">
      <c r="H6113" s="134"/>
    </row>
    <row r="6114" spans="8:8" x14ac:dyDescent="0.25">
      <c r="H6114" s="134"/>
    </row>
    <row r="6115" spans="8:8" x14ac:dyDescent="0.25">
      <c r="H6115" s="134"/>
    </row>
    <row r="6116" spans="8:8" x14ac:dyDescent="0.25">
      <c r="H6116" s="134"/>
    </row>
    <row r="6117" spans="8:8" x14ac:dyDescent="0.25">
      <c r="H6117" s="134"/>
    </row>
    <row r="6118" spans="8:8" x14ac:dyDescent="0.25">
      <c r="H6118" s="134"/>
    </row>
    <row r="6119" spans="8:8" x14ac:dyDescent="0.25">
      <c r="H6119" s="134"/>
    </row>
    <row r="6120" spans="8:8" x14ac:dyDescent="0.25">
      <c r="H6120" s="134"/>
    </row>
    <row r="6121" spans="8:8" x14ac:dyDescent="0.25">
      <c r="H6121" s="134"/>
    </row>
    <row r="6122" spans="8:8" x14ac:dyDescent="0.25">
      <c r="H6122" s="134"/>
    </row>
    <row r="6123" spans="8:8" x14ac:dyDescent="0.25">
      <c r="H6123" s="134"/>
    </row>
    <row r="6124" spans="8:8" x14ac:dyDescent="0.25">
      <c r="H6124" s="134"/>
    </row>
    <row r="6125" spans="8:8" x14ac:dyDescent="0.25">
      <c r="H6125" s="134"/>
    </row>
    <row r="6126" spans="8:8" x14ac:dyDescent="0.25">
      <c r="H6126" s="134"/>
    </row>
    <row r="6127" spans="8:8" x14ac:dyDescent="0.25">
      <c r="H6127" s="134"/>
    </row>
    <row r="6128" spans="8:8" x14ac:dyDescent="0.25">
      <c r="H6128" s="134"/>
    </row>
    <row r="6129" spans="8:8" x14ac:dyDescent="0.25">
      <c r="H6129" s="134"/>
    </row>
    <row r="6130" spans="8:8" x14ac:dyDescent="0.25">
      <c r="H6130" s="134"/>
    </row>
    <row r="6131" spans="8:8" x14ac:dyDescent="0.25">
      <c r="H6131" s="134"/>
    </row>
    <row r="6132" spans="8:8" x14ac:dyDescent="0.25">
      <c r="H6132" s="134"/>
    </row>
    <row r="6133" spans="8:8" x14ac:dyDescent="0.25">
      <c r="H6133" s="134"/>
    </row>
    <row r="6134" spans="8:8" x14ac:dyDescent="0.25">
      <c r="H6134" s="134"/>
    </row>
    <row r="6135" spans="8:8" x14ac:dyDescent="0.25">
      <c r="H6135" s="134"/>
    </row>
    <row r="6136" spans="8:8" x14ac:dyDescent="0.25">
      <c r="H6136" s="134"/>
    </row>
    <row r="6137" spans="8:8" x14ac:dyDescent="0.25">
      <c r="H6137" s="134"/>
    </row>
    <row r="6138" spans="8:8" x14ac:dyDescent="0.25">
      <c r="H6138" s="134"/>
    </row>
    <row r="6139" spans="8:8" x14ac:dyDescent="0.25">
      <c r="H6139" s="134"/>
    </row>
    <row r="6140" spans="8:8" x14ac:dyDescent="0.25">
      <c r="H6140" s="134"/>
    </row>
    <row r="6141" spans="8:8" x14ac:dyDescent="0.25">
      <c r="H6141" s="134"/>
    </row>
    <row r="6142" spans="8:8" x14ac:dyDescent="0.25">
      <c r="H6142" s="134"/>
    </row>
    <row r="6143" spans="8:8" x14ac:dyDescent="0.25">
      <c r="H6143" s="134"/>
    </row>
    <row r="6144" spans="8:8" x14ac:dyDescent="0.25">
      <c r="H6144" s="134"/>
    </row>
    <row r="6145" spans="8:8" x14ac:dyDescent="0.25">
      <c r="H6145" s="134"/>
    </row>
    <row r="6146" spans="8:8" x14ac:dyDescent="0.25">
      <c r="H6146" s="134"/>
    </row>
    <row r="6147" spans="8:8" x14ac:dyDescent="0.25">
      <c r="H6147" s="134"/>
    </row>
    <row r="6148" spans="8:8" x14ac:dyDescent="0.25">
      <c r="H6148" s="134"/>
    </row>
    <row r="6149" spans="8:8" x14ac:dyDescent="0.25">
      <c r="H6149" s="134"/>
    </row>
    <row r="6150" spans="8:8" x14ac:dyDescent="0.25">
      <c r="H6150" s="134"/>
    </row>
    <row r="6151" spans="8:8" x14ac:dyDescent="0.25">
      <c r="H6151" s="134"/>
    </row>
    <row r="6152" spans="8:8" x14ac:dyDescent="0.25">
      <c r="H6152" s="134"/>
    </row>
    <row r="6153" spans="8:8" x14ac:dyDescent="0.25">
      <c r="H6153" s="134"/>
    </row>
    <row r="6154" spans="8:8" x14ac:dyDescent="0.25">
      <c r="H6154" s="134"/>
    </row>
    <row r="6155" spans="8:8" x14ac:dyDescent="0.25">
      <c r="H6155" s="134"/>
    </row>
    <row r="6156" spans="8:8" x14ac:dyDescent="0.25">
      <c r="H6156" s="134"/>
    </row>
    <row r="6157" spans="8:8" x14ac:dyDescent="0.25">
      <c r="H6157" s="134"/>
    </row>
    <row r="6158" spans="8:8" x14ac:dyDescent="0.25">
      <c r="H6158" s="134"/>
    </row>
    <row r="6159" spans="8:8" x14ac:dyDescent="0.25">
      <c r="H6159" s="134"/>
    </row>
    <row r="6160" spans="8:8" x14ac:dyDescent="0.25">
      <c r="H6160" s="134"/>
    </row>
    <row r="6161" spans="8:8" x14ac:dyDescent="0.25">
      <c r="H6161" s="134"/>
    </row>
    <row r="6162" spans="8:8" x14ac:dyDescent="0.25">
      <c r="H6162" s="134"/>
    </row>
    <row r="6163" spans="8:8" x14ac:dyDescent="0.25">
      <c r="H6163" s="134"/>
    </row>
    <row r="6164" spans="8:8" x14ac:dyDescent="0.25">
      <c r="H6164" s="134"/>
    </row>
    <row r="6165" spans="8:8" x14ac:dyDescent="0.25">
      <c r="H6165" s="134"/>
    </row>
    <row r="6166" spans="8:8" x14ac:dyDescent="0.25">
      <c r="H6166" s="134"/>
    </row>
    <row r="6167" spans="8:8" x14ac:dyDescent="0.25">
      <c r="H6167" s="134"/>
    </row>
    <row r="6168" spans="8:8" x14ac:dyDescent="0.25">
      <c r="H6168" s="134"/>
    </row>
    <row r="6169" spans="8:8" x14ac:dyDescent="0.25">
      <c r="H6169" s="134"/>
    </row>
    <row r="6170" spans="8:8" x14ac:dyDescent="0.25">
      <c r="H6170" s="134"/>
    </row>
    <row r="6171" spans="8:8" x14ac:dyDescent="0.25">
      <c r="H6171" s="134"/>
    </row>
    <row r="6172" spans="8:8" x14ac:dyDescent="0.25">
      <c r="H6172" s="134"/>
    </row>
    <row r="6173" spans="8:8" x14ac:dyDescent="0.25">
      <c r="H6173" s="134"/>
    </row>
    <row r="6174" spans="8:8" x14ac:dyDescent="0.25">
      <c r="H6174" s="134"/>
    </row>
    <row r="6175" spans="8:8" x14ac:dyDescent="0.25">
      <c r="H6175" s="134"/>
    </row>
    <row r="6176" spans="8:8" x14ac:dyDescent="0.25">
      <c r="H6176" s="134"/>
    </row>
    <row r="6177" spans="8:8" x14ac:dyDescent="0.25">
      <c r="H6177" s="134"/>
    </row>
    <row r="6178" spans="8:8" x14ac:dyDescent="0.25">
      <c r="H6178" s="134"/>
    </row>
    <row r="6179" spans="8:8" x14ac:dyDescent="0.25">
      <c r="H6179" s="134"/>
    </row>
    <row r="6180" spans="8:8" x14ac:dyDescent="0.25">
      <c r="H6180" s="134"/>
    </row>
    <row r="6181" spans="8:8" x14ac:dyDescent="0.25">
      <c r="H6181" s="134"/>
    </row>
    <row r="6182" spans="8:8" x14ac:dyDescent="0.25">
      <c r="H6182" s="134"/>
    </row>
    <row r="6183" spans="8:8" x14ac:dyDescent="0.25">
      <c r="H6183" s="134"/>
    </row>
    <row r="6184" spans="8:8" x14ac:dyDescent="0.25">
      <c r="H6184" s="134"/>
    </row>
    <row r="6185" spans="8:8" x14ac:dyDescent="0.25">
      <c r="H6185" s="134"/>
    </row>
    <row r="6186" spans="8:8" x14ac:dyDescent="0.25">
      <c r="H6186" s="134"/>
    </row>
    <row r="6187" spans="8:8" x14ac:dyDescent="0.25">
      <c r="H6187" s="134"/>
    </row>
    <row r="6188" spans="8:8" x14ac:dyDescent="0.25">
      <c r="H6188" s="134"/>
    </row>
    <row r="6189" spans="8:8" x14ac:dyDescent="0.25">
      <c r="H6189" s="134"/>
    </row>
    <row r="6190" spans="8:8" x14ac:dyDescent="0.25">
      <c r="H6190" s="134"/>
    </row>
    <row r="6191" spans="8:8" x14ac:dyDescent="0.25">
      <c r="H6191" s="134"/>
    </row>
    <row r="6192" spans="8:8" x14ac:dyDescent="0.25">
      <c r="H6192" s="134"/>
    </row>
    <row r="6193" spans="8:8" x14ac:dyDescent="0.25">
      <c r="H6193" s="134"/>
    </row>
    <row r="6194" spans="8:8" x14ac:dyDescent="0.25">
      <c r="H6194" s="134"/>
    </row>
    <row r="6195" spans="8:8" x14ac:dyDescent="0.25">
      <c r="H6195" s="134"/>
    </row>
    <row r="6196" spans="8:8" x14ac:dyDescent="0.25">
      <c r="H6196" s="134"/>
    </row>
    <row r="6197" spans="8:8" x14ac:dyDescent="0.25">
      <c r="H6197" s="134"/>
    </row>
    <row r="6198" spans="8:8" x14ac:dyDescent="0.25">
      <c r="H6198" s="134"/>
    </row>
    <row r="6199" spans="8:8" x14ac:dyDescent="0.25">
      <c r="H6199" s="134"/>
    </row>
    <row r="6200" spans="8:8" x14ac:dyDescent="0.25">
      <c r="H6200" s="134"/>
    </row>
    <row r="6201" spans="8:8" x14ac:dyDescent="0.25">
      <c r="H6201" s="134"/>
    </row>
    <row r="6202" spans="8:8" x14ac:dyDescent="0.25">
      <c r="H6202" s="134"/>
    </row>
    <row r="6203" spans="8:8" x14ac:dyDescent="0.25">
      <c r="H6203" s="134"/>
    </row>
    <row r="6204" spans="8:8" x14ac:dyDescent="0.25">
      <c r="H6204" s="134"/>
    </row>
    <row r="6205" spans="8:8" x14ac:dyDescent="0.25">
      <c r="H6205" s="134"/>
    </row>
    <row r="6206" spans="8:8" x14ac:dyDescent="0.25">
      <c r="H6206" s="134"/>
    </row>
    <row r="6207" spans="8:8" x14ac:dyDescent="0.25">
      <c r="H6207" s="134"/>
    </row>
    <row r="6208" spans="8:8" x14ac:dyDescent="0.25">
      <c r="H6208" s="134"/>
    </row>
    <row r="6209" spans="8:8" x14ac:dyDescent="0.25">
      <c r="H6209" s="134"/>
    </row>
    <row r="6210" spans="8:8" x14ac:dyDescent="0.25">
      <c r="H6210" s="134"/>
    </row>
    <row r="6211" spans="8:8" x14ac:dyDescent="0.25">
      <c r="H6211" s="134"/>
    </row>
    <row r="6212" spans="8:8" x14ac:dyDescent="0.25">
      <c r="H6212" s="134"/>
    </row>
    <row r="6213" spans="8:8" x14ac:dyDescent="0.25">
      <c r="H6213" s="134"/>
    </row>
    <row r="6214" spans="8:8" x14ac:dyDescent="0.25">
      <c r="H6214" s="134"/>
    </row>
    <row r="6215" spans="8:8" x14ac:dyDescent="0.25">
      <c r="H6215" s="134"/>
    </row>
    <row r="6216" spans="8:8" x14ac:dyDescent="0.25">
      <c r="H6216" s="134"/>
    </row>
    <row r="6217" spans="8:8" x14ac:dyDescent="0.25">
      <c r="H6217" s="134"/>
    </row>
    <row r="6218" spans="8:8" x14ac:dyDescent="0.25">
      <c r="H6218" s="134"/>
    </row>
    <row r="6219" spans="8:8" x14ac:dyDescent="0.25">
      <c r="H6219" s="134"/>
    </row>
    <row r="6220" spans="8:8" x14ac:dyDescent="0.25">
      <c r="H6220" s="134"/>
    </row>
    <row r="6221" spans="8:8" x14ac:dyDescent="0.25">
      <c r="H6221" s="134"/>
    </row>
    <row r="6222" spans="8:8" x14ac:dyDescent="0.25">
      <c r="H6222" s="134"/>
    </row>
    <row r="6223" spans="8:8" x14ac:dyDescent="0.25">
      <c r="H6223" s="134"/>
    </row>
    <row r="6224" spans="8:8" x14ac:dyDescent="0.25">
      <c r="H6224" s="134"/>
    </row>
    <row r="6225" spans="8:8" x14ac:dyDescent="0.25">
      <c r="H6225" s="134"/>
    </row>
    <row r="6226" spans="8:8" x14ac:dyDescent="0.25">
      <c r="H6226" s="134"/>
    </row>
    <row r="6227" spans="8:8" x14ac:dyDescent="0.25">
      <c r="H6227" s="134"/>
    </row>
    <row r="6228" spans="8:8" x14ac:dyDescent="0.25">
      <c r="H6228" s="134"/>
    </row>
    <row r="6229" spans="8:8" x14ac:dyDescent="0.25">
      <c r="H6229" s="134"/>
    </row>
    <row r="6230" spans="8:8" x14ac:dyDescent="0.25">
      <c r="H6230" s="134"/>
    </row>
    <row r="6231" spans="8:8" x14ac:dyDescent="0.25">
      <c r="H6231" s="134"/>
    </row>
    <row r="6232" spans="8:8" x14ac:dyDescent="0.25">
      <c r="H6232" s="134"/>
    </row>
    <row r="6233" spans="8:8" x14ac:dyDescent="0.25">
      <c r="H6233" s="134"/>
    </row>
    <row r="6234" spans="8:8" x14ac:dyDescent="0.25">
      <c r="H6234" s="134"/>
    </row>
    <row r="6235" spans="8:8" x14ac:dyDescent="0.25">
      <c r="H6235" s="134"/>
    </row>
    <row r="6236" spans="8:8" x14ac:dyDescent="0.25">
      <c r="H6236" s="134"/>
    </row>
    <row r="6237" spans="8:8" x14ac:dyDescent="0.25">
      <c r="H6237" s="134"/>
    </row>
    <row r="6238" spans="8:8" x14ac:dyDescent="0.25">
      <c r="H6238" s="134"/>
    </row>
    <row r="6239" spans="8:8" x14ac:dyDescent="0.25">
      <c r="H6239" s="134"/>
    </row>
    <row r="6240" spans="8:8" x14ac:dyDescent="0.25">
      <c r="H6240" s="134"/>
    </row>
    <row r="6241" spans="8:8" x14ac:dyDescent="0.25">
      <c r="H6241" s="134"/>
    </row>
    <row r="6242" spans="8:8" x14ac:dyDescent="0.25">
      <c r="H6242" s="134"/>
    </row>
    <row r="6243" spans="8:8" x14ac:dyDescent="0.25">
      <c r="H6243" s="134"/>
    </row>
    <row r="6244" spans="8:8" x14ac:dyDescent="0.25">
      <c r="H6244" s="134"/>
    </row>
    <row r="6245" spans="8:8" x14ac:dyDescent="0.25">
      <c r="H6245" s="134"/>
    </row>
    <row r="6246" spans="8:8" x14ac:dyDescent="0.25">
      <c r="H6246" s="134"/>
    </row>
    <row r="6247" spans="8:8" x14ac:dyDescent="0.25">
      <c r="H6247" s="134"/>
    </row>
    <row r="6248" spans="8:8" x14ac:dyDescent="0.25">
      <c r="H6248" s="134"/>
    </row>
    <row r="6249" spans="8:8" x14ac:dyDescent="0.25">
      <c r="H6249" s="134"/>
    </row>
    <row r="6250" spans="8:8" x14ac:dyDescent="0.25">
      <c r="H6250" s="134"/>
    </row>
    <row r="6251" spans="8:8" x14ac:dyDescent="0.25">
      <c r="H6251" s="134"/>
    </row>
    <row r="6252" spans="8:8" x14ac:dyDescent="0.25">
      <c r="H6252" s="134"/>
    </row>
    <row r="6253" spans="8:8" x14ac:dyDescent="0.25">
      <c r="H6253" s="134"/>
    </row>
    <row r="6254" spans="8:8" x14ac:dyDescent="0.25">
      <c r="H6254" s="134"/>
    </row>
    <row r="6255" spans="8:8" x14ac:dyDescent="0.25">
      <c r="H6255" s="134"/>
    </row>
    <row r="6256" spans="8:8" x14ac:dyDescent="0.25">
      <c r="H6256" s="134"/>
    </row>
    <row r="6257" spans="8:8" x14ac:dyDescent="0.25">
      <c r="H6257" s="134"/>
    </row>
    <row r="6258" spans="8:8" x14ac:dyDescent="0.25">
      <c r="H6258" s="134"/>
    </row>
    <row r="6259" spans="8:8" x14ac:dyDescent="0.25">
      <c r="H6259" s="134"/>
    </row>
    <row r="6260" spans="8:8" x14ac:dyDescent="0.25">
      <c r="H6260" s="134"/>
    </row>
    <row r="6261" spans="8:8" x14ac:dyDescent="0.25">
      <c r="H6261" s="134"/>
    </row>
    <row r="6262" spans="8:8" x14ac:dyDescent="0.25">
      <c r="H6262" s="134"/>
    </row>
    <row r="6263" spans="8:8" x14ac:dyDescent="0.25">
      <c r="H6263" s="134"/>
    </row>
    <row r="6264" spans="8:8" x14ac:dyDescent="0.25">
      <c r="H6264" s="134"/>
    </row>
    <row r="6265" spans="8:8" x14ac:dyDescent="0.25">
      <c r="H6265" s="134"/>
    </row>
    <row r="6266" spans="8:8" x14ac:dyDescent="0.25">
      <c r="H6266" s="134"/>
    </row>
    <row r="6267" spans="8:8" x14ac:dyDescent="0.25">
      <c r="H6267" s="134"/>
    </row>
    <row r="6268" spans="8:8" x14ac:dyDescent="0.25">
      <c r="H6268" s="134"/>
    </row>
    <row r="6269" spans="8:8" x14ac:dyDescent="0.25">
      <c r="H6269" s="134"/>
    </row>
    <row r="6270" spans="8:8" x14ac:dyDescent="0.25">
      <c r="H6270" s="134"/>
    </row>
    <row r="6271" spans="8:8" x14ac:dyDescent="0.25">
      <c r="H6271" s="134"/>
    </row>
    <row r="6272" spans="8:8" x14ac:dyDescent="0.25">
      <c r="H6272" s="134"/>
    </row>
    <row r="6273" spans="8:8" x14ac:dyDescent="0.25">
      <c r="H6273" s="134"/>
    </row>
    <row r="6274" spans="8:8" x14ac:dyDescent="0.25">
      <c r="H6274" s="134"/>
    </row>
    <row r="6275" spans="8:8" x14ac:dyDescent="0.25">
      <c r="H6275" s="134"/>
    </row>
    <row r="6276" spans="8:8" x14ac:dyDescent="0.25">
      <c r="H6276" s="134"/>
    </row>
    <row r="6277" spans="8:8" x14ac:dyDescent="0.25">
      <c r="H6277" s="134"/>
    </row>
    <row r="6278" spans="8:8" x14ac:dyDescent="0.25">
      <c r="H6278" s="134"/>
    </row>
    <row r="6279" spans="8:8" x14ac:dyDescent="0.25">
      <c r="H6279" s="134"/>
    </row>
    <row r="6280" spans="8:8" x14ac:dyDescent="0.25">
      <c r="H6280" s="134"/>
    </row>
    <row r="6281" spans="8:8" x14ac:dyDescent="0.25">
      <c r="H6281" s="134"/>
    </row>
    <row r="6282" spans="8:8" x14ac:dyDescent="0.25">
      <c r="H6282" s="134"/>
    </row>
    <row r="6283" spans="8:8" x14ac:dyDescent="0.25">
      <c r="H6283" s="134"/>
    </row>
    <row r="6284" spans="8:8" x14ac:dyDescent="0.25">
      <c r="H6284" s="134"/>
    </row>
    <row r="6285" spans="8:8" x14ac:dyDescent="0.25">
      <c r="H6285" s="134"/>
    </row>
    <row r="6286" spans="8:8" x14ac:dyDescent="0.25">
      <c r="H6286" s="134"/>
    </row>
    <row r="6287" spans="8:8" x14ac:dyDescent="0.25">
      <c r="H6287" s="134"/>
    </row>
    <row r="6288" spans="8:8" x14ac:dyDescent="0.25">
      <c r="H6288" s="134"/>
    </row>
    <row r="6289" spans="8:8" x14ac:dyDescent="0.25">
      <c r="H6289" s="134"/>
    </row>
    <row r="6290" spans="8:8" x14ac:dyDescent="0.25">
      <c r="H6290" s="134"/>
    </row>
    <row r="6291" spans="8:8" x14ac:dyDescent="0.25">
      <c r="H6291" s="134"/>
    </row>
    <row r="6292" spans="8:8" x14ac:dyDescent="0.25">
      <c r="H6292" s="134"/>
    </row>
    <row r="6293" spans="8:8" x14ac:dyDescent="0.25">
      <c r="H6293" s="134"/>
    </row>
    <row r="6294" spans="8:8" x14ac:dyDescent="0.25">
      <c r="H6294" s="134"/>
    </row>
    <row r="6295" spans="8:8" x14ac:dyDescent="0.25">
      <c r="H6295" s="134"/>
    </row>
    <row r="6296" spans="8:8" x14ac:dyDescent="0.25">
      <c r="H6296" s="134"/>
    </row>
    <row r="6297" spans="8:8" x14ac:dyDescent="0.25">
      <c r="H6297" s="134"/>
    </row>
    <row r="6298" spans="8:8" x14ac:dyDescent="0.25">
      <c r="H6298" s="134"/>
    </row>
    <row r="6299" spans="8:8" x14ac:dyDescent="0.25">
      <c r="H6299" s="134"/>
    </row>
    <row r="6300" spans="8:8" x14ac:dyDescent="0.25">
      <c r="H6300" s="134"/>
    </row>
    <row r="6301" spans="8:8" x14ac:dyDescent="0.25">
      <c r="H6301" s="134"/>
    </row>
    <row r="6302" spans="8:8" x14ac:dyDescent="0.25">
      <c r="H6302" s="134"/>
    </row>
    <row r="6303" spans="8:8" x14ac:dyDescent="0.25">
      <c r="H6303" s="134"/>
    </row>
    <row r="6304" spans="8:8" x14ac:dyDescent="0.25">
      <c r="H6304" s="134"/>
    </row>
    <row r="6305" spans="8:8" x14ac:dyDescent="0.25">
      <c r="H6305" s="134"/>
    </row>
    <row r="6306" spans="8:8" x14ac:dyDescent="0.25">
      <c r="H6306" s="134"/>
    </row>
    <row r="6307" spans="8:8" x14ac:dyDescent="0.25">
      <c r="H6307" s="134"/>
    </row>
    <row r="6308" spans="8:8" x14ac:dyDescent="0.25">
      <c r="H6308" s="134"/>
    </row>
    <row r="6309" spans="8:8" x14ac:dyDescent="0.25">
      <c r="H6309" s="134"/>
    </row>
    <row r="6310" spans="8:8" x14ac:dyDescent="0.25">
      <c r="H6310" s="134"/>
    </row>
    <row r="6311" spans="8:8" x14ac:dyDescent="0.25">
      <c r="H6311" s="134"/>
    </row>
    <row r="6312" spans="8:8" x14ac:dyDescent="0.25">
      <c r="H6312" s="134"/>
    </row>
    <row r="6313" spans="8:8" x14ac:dyDescent="0.25">
      <c r="H6313" s="134"/>
    </row>
    <row r="6314" spans="8:8" x14ac:dyDescent="0.25">
      <c r="H6314" s="134"/>
    </row>
    <row r="6315" spans="8:8" x14ac:dyDescent="0.25">
      <c r="H6315" s="134"/>
    </row>
    <row r="6316" spans="8:8" x14ac:dyDescent="0.25">
      <c r="H6316" s="134"/>
    </row>
    <row r="6317" spans="8:8" x14ac:dyDescent="0.25">
      <c r="H6317" s="134"/>
    </row>
    <row r="6318" spans="8:8" x14ac:dyDescent="0.25">
      <c r="H6318" s="134"/>
    </row>
    <row r="6319" spans="8:8" x14ac:dyDescent="0.25">
      <c r="H6319" s="134"/>
    </row>
    <row r="6320" spans="8:8" x14ac:dyDescent="0.25">
      <c r="H6320" s="134"/>
    </row>
    <row r="6321" spans="8:8" x14ac:dyDescent="0.25">
      <c r="H6321" s="134"/>
    </row>
    <row r="6322" spans="8:8" x14ac:dyDescent="0.25">
      <c r="H6322" s="134"/>
    </row>
    <row r="6323" spans="8:8" x14ac:dyDescent="0.25">
      <c r="H6323" s="134"/>
    </row>
    <row r="6324" spans="8:8" x14ac:dyDescent="0.25">
      <c r="H6324" s="134"/>
    </row>
    <row r="6325" spans="8:8" x14ac:dyDescent="0.25">
      <c r="H6325" s="134"/>
    </row>
    <row r="6326" spans="8:8" x14ac:dyDescent="0.25">
      <c r="H6326" s="134"/>
    </row>
    <row r="6327" spans="8:8" x14ac:dyDescent="0.25">
      <c r="H6327" s="134"/>
    </row>
    <row r="6328" spans="8:8" x14ac:dyDescent="0.25">
      <c r="H6328" s="134"/>
    </row>
    <row r="6329" spans="8:8" x14ac:dyDescent="0.25">
      <c r="H6329" s="134"/>
    </row>
    <row r="6330" spans="8:8" x14ac:dyDescent="0.25">
      <c r="H6330" s="134"/>
    </row>
    <row r="6331" spans="8:8" x14ac:dyDescent="0.25">
      <c r="H6331" s="134"/>
    </row>
    <row r="6332" spans="8:8" x14ac:dyDescent="0.25">
      <c r="H6332" s="134"/>
    </row>
    <row r="6333" spans="8:8" x14ac:dyDescent="0.25">
      <c r="H6333" s="134"/>
    </row>
    <row r="6334" spans="8:8" x14ac:dyDescent="0.25">
      <c r="H6334" s="134"/>
    </row>
    <row r="6335" spans="8:8" x14ac:dyDescent="0.25">
      <c r="H6335" s="134"/>
    </row>
    <row r="6336" spans="8:8" x14ac:dyDescent="0.25">
      <c r="H6336" s="134"/>
    </row>
    <row r="6337" spans="8:8" x14ac:dyDescent="0.25">
      <c r="H6337" s="134"/>
    </row>
    <row r="6338" spans="8:8" x14ac:dyDescent="0.25">
      <c r="H6338" s="134"/>
    </row>
    <row r="6339" spans="8:8" x14ac:dyDescent="0.25">
      <c r="H6339" s="134"/>
    </row>
    <row r="6340" spans="8:8" x14ac:dyDescent="0.25">
      <c r="H6340" s="134"/>
    </row>
    <row r="6341" spans="8:8" x14ac:dyDescent="0.25">
      <c r="H6341" s="134"/>
    </row>
    <row r="6342" spans="8:8" x14ac:dyDescent="0.25">
      <c r="H6342" s="134"/>
    </row>
    <row r="6343" spans="8:8" x14ac:dyDescent="0.25">
      <c r="H6343" s="134"/>
    </row>
    <row r="6344" spans="8:8" x14ac:dyDescent="0.25">
      <c r="H6344" s="134"/>
    </row>
    <row r="6345" spans="8:8" x14ac:dyDescent="0.25">
      <c r="H6345" s="134"/>
    </row>
    <row r="6346" spans="8:8" x14ac:dyDescent="0.25">
      <c r="H6346" s="134"/>
    </row>
    <row r="6347" spans="8:8" x14ac:dyDescent="0.25">
      <c r="H6347" s="134"/>
    </row>
    <row r="6348" spans="8:8" x14ac:dyDescent="0.25">
      <c r="H6348" s="134"/>
    </row>
    <row r="6349" spans="8:8" x14ac:dyDescent="0.25">
      <c r="H6349" s="134"/>
    </row>
    <row r="6350" spans="8:8" x14ac:dyDescent="0.25">
      <c r="H6350" s="134"/>
    </row>
    <row r="6351" spans="8:8" x14ac:dyDescent="0.25">
      <c r="H6351" s="134"/>
    </row>
    <row r="6352" spans="8:8" x14ac:dyDescent="0.25">
      <c r="H6352" s="134"/>
    </row>
    <row r="6353" spans="8:8" x14ac:dyDescent="0.25">
      <c r="H6353" s="134"/>
    </row>
    <row r="6354" spans="8:8" x14ac:dyDescent="0.25">
      <c r="H6354" s="134"/>
    </row>
    <row r="6355" spans="8:8" x14ac:dyDescent="0.25">
      <c r="H6355" s="134"/>
    </row>
    <row r="6356" spans="8:8" x14ac:dyDescent="0.25">
      <c r="H6356" s="134"/>
    </row>
    <row r="6357" spans="8:8" x14ac:dyDescent="0.25">
      <c r="H6357" s="134"/>
    </row>
    <row r="6358" spans="8:8" x14ac:dyDescent="0.25">
      <c r="H6358" s="134"/>
    </row>
    <row r="6359" spans="8:8" x14ac:dyDescent="0.25">
      <c r="H6359" s="134"/>
    </row>
    <row r="6360" spans="8:8" x14ac:dyDescent="0.25">
      <c r="H6360" s="134"/>
    </row>
    <row r="6361" spans="8:8" x14ac:dyDescent="0.25">
      <c r="H6361" s="134"/>
    </row>
    <row r="6362" spans="8:8" x14ac:dyDescent="0.25">
      <c r="H6362" s="134"/>
    </row>
    <row r="6363" spans="8:8" x14ac:dyDescent="0.25">
      <c r="H6363" s="134"/>
    </row>
    <row r="6364" spans="8:8" x14ac:dyDescent="0.25">
      <c r="H6364" s="134"/>
    </row>
    <row r="6365" spans="8:8" x14ac:dyDescent="0.25">
      <c r="H6365" s="134"/>
    </row>
    <row r="6366" spans="8:8" x14ac:dyDescent="0.25">
      <c r="H6366" s="134"/>
    </row>
    <row r="6367" spans="8:8" x14ac:dyDescent="0.25">
      <c r="H6367" s="134"/>
    </row>
    <row r="6368" spans="8:8" x14ac:dyDescent="0.25">
      <c r="H6368" s="134"/>
    </row>
    <row r="6369" spans="8:8" x14ac:dyDescent="0.25">
      <c r="H6369" s="134"/>
    </row>
    <row r="6370" spans="8:8" x14ac:dyDescent="0.25">
      <c r="H6370" s="134"/>
    </row>
    <row r="6371" spans="8:8" x14ac:dyDescent="0.25">
      <c r="H6371" s="134"/>
    </row>
    <row r="6372" spans="8:8" x14ac:dyDescent="0.25">
      <c r="H6372" s="134"/>
    </row>
    <row r="6373" spans="8:8" x14ac:dyDescent="0.25">
      <c r="H6373" s="134"/>
    </row>
    <row r="6374" spans="8:8" x14ac:dyDescent="0.25">
      <c r="H6374" s="134"/>
    </row>
    <row r="6375" spans="8:8" x14ac:dyDescent="0.25">
      <c r="H6375" s="134"/>
    </row>
    <row r="6376" spans="8:8" x14ac:dyDescent="0.25">
      <c r="H6376" s="134"/>
    </row>
    <row r="6377" spans="8:8" x14ac:dyDescent="0.25">
      <c r="H6377" s="134"/>
    </row>
    <row r="6378" spans="8:8" x14ac:dyDescent="0.25">
      <c r="H6378" s="134"/>
    </row>
    <row r="6379" spans="8:8" x14ac:dyDescent="0.25">
      <c r="H6379" s="134"/>
    </row>
    <row r="6380" spans="8:8" x14ac:dyDescent="0.25">
      <c r="H6380" s="134"/>
    </row>
    <row r="6381" spans="8:8" x14ac:dyDescent="0.25">
      <c r="H6381" s="134"/>
    </row>
    <row r="6382" spans="8:8" x14ac:dyDescent="0.25">
      <c r="H6382" s="134"/>
    </row>
    <row r="6383" spans="8:8" x14ac:dyDescent="0.25">
      <c r="H6383" s="134"/>
    </row>
    <row r="6384" spans="8:8" x14ac:dyDescent="0.25">
      <c r="H6384" s="134"/>
    </row>
    <row r="6385" spans="8:8" x14ac:dyDescent="0.25">
      <c r="H6385" s="134"/>
    </row>
    <row r="6386" spans="8:8" x14ac:dyDescent="0.25">
      <c r="H6386" s="134"/>
    </row>
    <row r="6387" spans="8:8" x14ac:dyDescent="0.25">
      <c r="H6387" s="134"/>
    </row>
    <row r="6388" spans="8:8" x14ac:dyDescent="0.25">
      <c r="H6388" s="134"/>
    </row>
    <row r="6389" spans="8:8" x14ac:dyDescent="0.25">
      <c r="H6389" s="134"/>
    </row>
    <row r="6390" spans="8:8" x14ac:dyDescent="0.25">
      <c r="H6390" s="134"/>
    </row>
    <row r="6391" spans="8:8" x14ac:dyDescent="0.25">
      <c r="H6391" s="134"/>
    </row>
    <row r="6392" spans="8:8" x14ac:dyDescent="0.25">
      <c r="H6392" s="134"/>
    </row>
    <row r="6393" spans="8:8" x14ac:dyDescent="0.25">
      <c r="H6393" s="134"/>
    </row>
    <row r="6394" spans="8:8" x14ac:dyDescent="0.25">
      <c r="H6394" s="134"/>
    </row>
    <row r="6395" spans="8:8" x14ac:dyDescent="0.25">
      <c r="H6395" s="134"/>
    </row>
    <row r="6396" spans="8:8" x14ac:dyDescent="0.25">
      <c r="H6396" s="134"/>
    </row>
    <row r="6397" spans="8:8" x14ac:dyDescent="0.25">
      <c r="H6397" s="134"/>
    </row>
    <row r="6398" spans="8:8" x14ac:dyDescent="0.25">
      <c r="H6398" s="134"/>
    </row>
    <row r="6399" spans="8:8" x14ac:dyDescent="0.25">
      <c r="H6399" s="134"/>
    </row>
    <row r="6400" spans="8:8" x14ac:dyDescent="0.25">
      <c r="H6400" s="134"/>
    </row>
    <row r="6401" spans="8:8" x14ac:dyDescent="0.25">
      <c r="H6401" s="134"/>
    </row>
    <row r="6402" spans="8:8" x14ac:dyDescent="0.25">
      <c r="H6402" s="134"/>
    </row>
    <row r="6403" spans="8:8" x14ac:dyDescent="0.25">
      <c r="H6403" s="134"/>
    </row>
    <row r="6404" spans="8:8" x14ac:dyDescent="0.25">
      <c r="H6404" s="134"/>
    </row>
    <row r="6405" spans="8:8" x14ac:dyDescent="0.25">
      <c r="H6405" s="134"/>
    </row>
    <row r="6406" spans="8:8" x14ac:dyDescent="0.25">
      <c r="H6406" s="134"/>
    </row>
    <row r="6407" spans="8:8" x14ac:dyDescent="0.25">
      <c r="H6407" s="134"/>
    </row>
    <row r="6408" spans="8:8" x14ac:dyDescent="0.25">
      <c r="H6408" s="134"/>
    </row>
    <row r="6409" spans="8:8" x14ac:dyDescent="0.25">
      <c r="H6409" s="134"/>
    </row>
    <row r="6410" spans="8:8" x14ac:dyDescent="0.25">
      <c r="H6410" s="134"/>
    </row>
    <row r="6411" spans="8:8" x14ac:dyDescent="0.25">
      <c r="H6411" s="134"/>
    </row>
    <row r="6412" spans="8:8" x14ac:dyDescent="0.25">
      <c r="H6412" s="134"/>
    </row>
    <row r="6413" spans="8:8" x14ac:dyDescent="0.25">
      <c r="H6413" s="134"/>
    </row>
    <row r="6414" spans="8:8" x14ac:dyDescent="0.25">
      <c r="H6414" s="134"/>
    </row>
    <row r="6415" spans="8:8" x14ac:dyDescent="0.25">
      <c r="H6415" s="134"/>
    </row>
    <row r="6416" spans="8:8" x14ac:dyDescent="0.25">
      <c r="H6416" s="134"/>
    </row>
    <row r="6417" spans="8:8" x14ac:dyDescent="0.25">
      <c r="H6417" s="134"/>
    </row>
    <row r="6418" spans="8:8" x14ac:dyDescent="0.25">
      <c r="H6418" s="134"/>
    </row>
    <row r="6419" spans="8:8" x14ac:dyDescent="0.25">
      <c r="H6419" s="134"/>
    </row>
    <row r="6420" spans="8:8" x14ac:dyDescent="0.25">
      <c r="H6420" s="134"/>
    </row>
    <row r="6421" spans="8:8" x14ac:dyDescent="0.25">
      <c r="H6421" s="134"/>
    </row>
    <row r="6422" spans="8:8" x14ac:dyDescent="0.25">
      <c r="H6422" s="134"/>
    </row>
    <row r="6423" spans="8:8" x14ac:dyDescent="0.25">
      <c r="H6423" s="134"/>
    </row>
    <row r="6424" spans="8:8" x14ac:dyDescent="0.25">
      <c r="H6424" s="134"/>
    </row>
    <row r="6425" spans="8:8" x14ac:dyDescent="0.25">
      <c r="H6425" s="134"/>
    </row>
    <row r="6426" spans="8:8" x14ac:dyDescent="0.25">
      <c r="H6426" s="134"/>
    </row>
    <row r="6427" spans="8:8" x14ac:dyDescent="0.25">
      <c r="H6427" s="134"/>
    </row>
    <row r="6428" spans="8:8" x14ac:dyDescent="0.25">
      <c r="H6428" s="134"/>
    </row>
    <row r="6429" spans="8:8" x14ac:dyDescent="0.25">
      <c r="H6429" s="134"/>
    </row>
    <row r="6430" spans="8:8" x14ac:dyDescent="0.25">
      <c r="H6430" s="134"/>
    </row>
    <row r="6431" spans="8:8" x14ac:dyDescent="0.25">
      <c r="H6431" s="134"/>
    </row>
    <row r="6432" spans="8:8" x14ac:dyDescent="0.25">
      <c r="H6432" s="134"/>
    </row>
    <row r="6433" spans="8:8" x14ac:dyDescent="0.25">
      <c r="H6433" s="134"/>
    </row>
    <row r="6434" spans="8:8" x14ac:dyDescent="0.25">
      <c r="H6434" s="134"/>
    </row>
    <row r="6435" spans="8:8" x14ac:dyDescent="0.25">
      <c r="H6435" s="134"/>
    </row>
    <row r="6436" spans="8:8" x14ac:dyDescent="0.25">
      <c r="H6436" s="134"/>
    </row>
    <row r="6437" spans="8:8" x14ac:dyDescent="0.25">
      <c r="H6437" s="134"/>
    </row>
    <row r="6438" spans="8:8" x14ac:dyDescent="0.25">
      <c r="H6438" s="134"/>
    </row>
    <row r="6439" spans="8:8" x14ac:dyDescent="0.25">
      <c r="H6439" s="134"/>
    </row>
    <row r="6440" spans="8:8" x14ac:dyDescent="0.25">
      <c r="H6440" s="134"/>
    </row>
    <row r="6441" spans="8:8" x14ac:dyDescent="0.25">
      <c r="H6441" s="134"/>
    </row>
    <row r="6442" spans="8:8" x14ac:dyDescent="0.25">
      <c r="H6442" s="134"/>
    </row>
    <row r="6443" spans="8:8" x14ac:dyDescent="0.25">
      <c r="H6443" s="134"/>
    </row>
    <row r="6444" spans="8:8" x14ac:dyDescent="0.25">
      <c r="H6444" s="134"/>
    </row>
    <row r="6445" spans="8:8" x14ac:dyDescent="0.25">
      <c r="H6445" s="134"/>
    </row>
    <row r="6446" spans="8:8" x14ac:dyDescent="0.25">
      <c r="H6446" s="134"/>
    </row>
    <row r="6447" spans="8:8" x14ac:dyDescent="0.25">
      <c r="H6447" s="134"/>
    </row>
    <row r="6448" spans="8:8" x14ac:dyDescent="0.25">
      <c r="H6448" s="134"/>
    </row>
    <row r="6449" spans="8:8" x14ac:dyDescent="0.25">
      <c r="H6449" s="134"/>
    </row>
    <row r="6450" spans="8:8" x14ac:dyDescent="0.25">
      <c r="H6450" s="134"/>
    </row>
    <row r="6451" spans="8:8" x14ac:dyDescent="0.25">
      <c r="H6451" s="134"/>
    </row>
    <row r="6452" spans="8:8" x14ac:dyDescent="0.25">
      <c r="H6452" s="134"/>
    </row>
    <row r="6453" spans="8:8" x14ac:dyDescent="0.25">
      <c r="H6453" s="134"/>
    </row>
    <row r="6454" spans="8:8" x14ac:dyDescent="0.25">
      <c r="H6454" s="134"/>
    </row>
    <row r="6455" spans="8:8" x14ac:dyDescent="0.25">
      <c r="H6455" s="134"/>
    </row>
    <row r="6456" spans="8:8" x14ac:dyDescent="0.25">
      <c r="H6456" s="134"/>
    </row>
    <row r="6457" spans="8:8" x14ac:dyDescent="0.25">
      <c r="H6457" s="134"/>
    </row>
    <row r="6458" spans="8:8" x14ac:dyDescent="0.25">
      <c r="H6458" s="134"/>
    </row>
    <row r="6459" spans="8:8" x14ac:dyDescent="0.25">
      <c r="H6459" s="134"/>
    </row>
    <row r="6460" spans="8:8" x14ac:dyDescent="0.25">
      <c r="H6460" s="134"/>
    </row>
    <row r="6461" spans="8:8" x14ac:dyDescent="0.25">
      <c r="H6461" s="134"/>
    </row>
    <row r="6462" spans="8:8" x14ac:dyDescent="0.25">
      <c r="H6462" s="134"/>
    </row>
    <row r="6463" spans="8:8" x14ac:dyDescent="0.25">
      <c r="H6463" s="134"/>
    </row>
    <row r="6464" spans="8:8" x14ac:dyDescent="0.25">
      <c r="H6464" s="134"/>
    </row>
    <row r="6465" spans="8:8" x14ac:dyDescent="0.25">
      <c r="H6465" s="134"/>
    </row>
    <row r="6466" spans="8:8" x14ac:dyDescent="0.25">
      <c r="H6466" s="134"/>
    </row>
    <row r="6467" spans="8:8" x14ac:dyDescent="0.25">
      <c r="H6467" s="134"/>
    </row>
    <row r="6468" spans="8:8" x14ac:dyDescent="0.25">
      <c r="H6468" s="134"/>
    </row>
    <row r="6469" spans="8:8" x14ac:dyDescent="0.25">
      <c r="H6469" s="134"/>
    </row>
    <row r="6470" spans="8:8" x14ac:dyDescent="0.25">
      <c r="H6470" s="134"/>
    </row>
    <row r="6471" spans="8:8" x14ac:dyDescent="0.25">
      <c r="H6471" s="134"/>
    </row>
    <row r="6472" spans="8:8" x14ac:dyDescent="0.25">
      <c r="H6472" s="134"/>
    </row>
    <row r="6473" spans="8:8" x14ac:dyDescent="0.25">
      <c r="H6473" s="134"/>
    </row>
    <row r="6474" spans="8:8" x14ac:dyDescent="0.25">
      <c r="H6474" s="134"/>
    </row>
    <row r="6475" spans="8:8" x14ac:dyDescent="0.25">
      <c r="H6475" s="134"/>
    </row>
    <row r="6476" spans="8:8" x14ac:dyDescent="0.25">
      <c r="H6476" s="134"/>
    </row>
    <row r="6477" spans="8:8" x14ac:dyDescent="0.25">
      <c r="H6477" s="134"/>
    </row>
    <row r="6478" spans="8:8" x14ac:dyDescent="0.25">
      <c r="H6478" s="134"/>
    </row>
    <row r="6479" spans="8:8" x14ac:dyDescent="0.25">
      <c r="H6479" s="134"/>
    </row>
    <row r="6480" spans="8:8" x14ac:dyDescent="0.25">
      <c r="H6480" s="134"/>
    </row>
    <row r="6481" spans="8:8" x14ac:dyDescent="0.25">
      <c r="H6481" s="134"/>
    </row>
    <row r="6482" spans="8:8" x14ac:dyDescent="0.25">
      <c r="H6482" s="134"/>
    </row>
    <row r="6483" spans="8:8" x14ac:dyDescent="0.25">
      <c r="H6483" s="134"/>
    </row>
    <row r="6484" spans="8:8" x14ac:dyDescent="0.25">
      <c r="H6484" s="134"/>
    </row>
    <row r="6485" spans="8:8" x14ac:dyDescent="0.25">
      <c r="H6485" s="134"/>
    </row>
    <row r="6486" spans="8:8" x14ac:dyDescent="0.25">
      <c r="H6486" s="134"/>
    </row>
    <row r="6487" spans="8:8" x14ac:dyDescent="0.25">
      <c r="H6487" s="134"/>
    </row>
    <row r="6488" spans="8:8" x14ac:dyDescent="0.25">
      <c r="H6488" s="134"/>
    </row>
    <row r="6489" spans="8:8" x14ac:dyDescent="0.25">
      <c r="H6489" s="134"/>
    </row>
    <row r="6490" spans="8:8" x14ac:dyDescent="0.25">
      <c r="H6490" s="134"/>
    </row>
    <row r="6491" spans="8:8" x14ac:dyDescent="0.25">
      <c r="H6491" s="134"/>
    </row>
    <row r="6492" spans="8:8" x14ac:dyDescent="0.25">
      <c r="H6492" s="134"/>
    </row>
    <row r="6493" spans="8:8" x14ac:dyDescent="0.25">
      <c r="H6493" s="134"/>
    </row>
    <row r="6494" spans="8:8" x14ac:dyDescent="0.25">
      <c r="H6494" s="134"/>
    </row>
    <row r="6495" spans="8:8" x14ac:dyDescent="0.25">
      <c r="H6495" s="134"/>
    </row>
    <row r="6496" spans="8:8" x14ac:dyDescent="0.25">
      <c r="H6496" s="134"/>
    </row>
    <row r="6497" spans="8:8" x14ac:dyDescent="0.25">
      <c r="H6497" s="134"/>
    </row>
    <row r="6498" spans="8:8" x14ac:dyDescent="0.25">
      <c r="H6498" s="134"/>
    </row>
    <row r="6499" spans="8:8" x14ac:dyDescent="0.25">
      <c r="H6499" s="134"/>
    </row>
    <row r="6500" spans="8:8" x14ac:dyDescent="0.25">
      <c r="H6500" s="134"/>
    </row>
    <row r="6501" spans="8:8" x14ac:dyDescent="0.25">
      <c r="H6501" s="134"/>
    </row>
    <row r="6502" spans="8:8" x14ac:dyDescent="0.25">
      <c r="H6502" s="134"/>
    </row>
    <row r="6503" spans="8:8" x14ac:dyDescent="0.25">
      <c r="H6503" s="134"/>
    </row>
    <row r="6504" spans="8:8" x14ac:dyDescent="0.25">
      <c r="H6504" s="134"/>
    </row>
    <row r="6505" spans="8:8" x14ac:dyDescent="0.25">
      <c r="H6505" s="134"/>
    </row>
    <row r="6506" spans="8:8" x14ac:dyDescent="0.25">
      <c r="H6506" s="134"/>
    </row>
    <row r="6507" spans="8:8" x14ac:dyDescent="0.25">
      <c r="H6507" s="134"/>
    </row>
    <row r="6508" spans="8:8" x14ac:dyDescent="0.25">
      <c r="H6508" s="134"/>
    </row>
    <row r="6509" spans="8:8" x14ac:dyDescent="0.25">
      <c r="H6509" s="134"/>
    </row>
    <row r="6510" spans="8:8" x14ac:dyDescent="0.25">
      <c r="H6510" s="134"/>
    </row>
    <row r="6511" spans="8:8" x14ac:dyDescent="0.25">
      <c r="H6511" s="134"/>
    </row>
    <row r="6512" spans="8:8" x14ac:dyDescent="0.25">
      <c r="H6512" s="134"/>
    </row>
    <row r="6513" spans="8:8" x14ac:dyDescent="0.25">
      <c r="H6513" s="134"/>
    </row>
    <row r="6514" spans="8:8" x14ac:dyDescent="0.25">
      <c r="H6514" s="134"/>
    </row>
    <row r="6515" spans="8:8" x14ac:dyDescent="0.25">
      <c r="H6515" s="134"/>
    </row>
    <row r="6516" spans="8:8" x14ac:dyDescent="0.25">
      <c r="H6516" s="134"/>
    </row>
    <row r="6517" spans="8:8" x14ac:dyDescent="0.25">
      <c r="H6517" s="134"/>
    </row>
    <row r="6518" spans="8:8" x14ac:dyDescent="0.25">
      <c r="H6518" s="134"/>
    </row>
    <row r="6519" spans="8:8" x14ac:dyDescent="0.25">
      <c r="H6519" s="134"/>
    </row>
    <row r="6520" spans="8:8" x14ac:dyDescent="0.25">
      <c r="H6520" s="134"/>
    </row>
    <row r="6521" spans="8:8" x14ac:dyDescent="0.25">
      <c r="H6521" s="134"/>
    </row>
    <row r="6522" spans="8:8" x14ac:dyDescent="0.25">
      <c r="H6522" s="134"/>
    </row>
    <row r="6523" spans="8:8" x14ac:dyDescent="0.25">
      <c r="H6523" s="134"/>
    </row>
    <row r="6524" spans="8:8" x14ac:dyDescent="0.25">
      <c r="H6524" s="134"/>
    </row>
    <row r="6525" spans="8:8" x14ac:dyDescent="0.25">
      <c r="H6525" s="134"/>
    </row>
    <row r="6526" spans="8:8" x14ac:dyDescent="0.25">
      <c r="H6526" s="134"/>
    </row>
    <row r="6527" spans="8:8" x14ac:dyDescent="0.25">
      <c r="H6527" s="134"/>
    </row>
    <row r="6528" spans="8:8" x14ac:dyDescent="0.25">
      <c r="H6528" s="134"/>
    </row>
    <row r="6529" spans="8:8" x14ac:dyDescent="0.25">
      <c r="H6529" s="134"/>
    </row>
    <row r="6530" spans="8:8" x14ac:dyDescent="0.25">
      <c r="H6530" s="134"/>
    </row>
    <row r="6531" spans="8:8" x14ac:dyDescent="0.25">
      <c r="H6531" s="134"/>
    </row>
    <row r="6532" spans="8:8" x14ac:dyDescent="0.25">
      <c r="H6532" s="134"/>
    </row>
    <row r="6533" spans="8:8" x14ac:dyDescent="0.25">
      <c r="H6533" s="134"/>
    </row>
    <row r="6534" spans="8:8" x14ac:dyDescent="0.25">
      <c r="H6534" s="134"/>
    </row>
    <row r="6535" spans="8:8" x14ac:dyDescent="0.25">
      <c r="H6535" s="134"/>
    </row>
    <row r="6536" spans="8:8" x14ac:dyDescent="0.25">
      <c r="H6536" s="134"/>
    </row>
    <row r="6537" spans="8:8" x14ac:dyDescent="0.25">
      <c r="H6537" s="134"/>
    </row>
    <row r="6538" spans="8:8" x14ac:dyDescent="0.25">
      <c r="H6538" s="134"/>
    </row>
    <row r="6539" spans="8:8" x14ac:dyDescent="0.25">
      <c r="H6539" s="134"/>
    </row>
    <row r="6540" spans="8:8" x14ac:dyDescent="0.25">
      <c r="H6540" s="134"/>
    </row>
    <row r="6541" spans="8:8" x14ac:dyDescent="0.25">
      <c r="H6541" s="134"/>
    </row>
    <row r="6542" spans="8:8" x14ac:dyDescent="0.25">
      <c r="H6542" s="134"/>
    </row>
    <row r="6543" spans="8:8" x14ac:dyDescent="0.25">
      <c r="H6543" s="134"/>
    </row>
    <row r="6544" spans="8:8" x14ac:dyDescent="0.25">
      <c r="H6544" s="134"/>
    </row>
    <row r="6545" spans="8:8" x14ac:dyDescent="0.25">
      <c r="H6545" s="134"/>
    </row>
    <row r="6546" spans="8:8" x14ac:dyDescent="0.25">
      <c r="H6546" s="134"/>
    </row>
    <row r="6547" spans="8:8" x14ac:dyDescent="0.25">
      <c r="H6547" s="134"/>
    </row>
    <row r="6548" spans="8:8" x14ac:dyDescent="0.25">
      <c r="H6548" s="134"/>
    </row>
    <row r="6549" spans="8:8" x14ac:dyDescent="0.25">
      <c r="H6549" s="134"/>
    </row>
    <row r="6550" spans="8:8" x14ac:dyDescent="0.25">
      <c r="H6550" s="134"/>
    </row>
    <row r="6551" spans="8:8" x14ac:dyDescent="0.25">
      <c r="H6551" s="134"/>
    </row>
    <row r="6552" spans="8:8" x14ac:dyDescent="0.25">
      <c r="H6552" s="134"/>
    </row>
    <row r="6553" spans="8:8" x14ac:dyDescent="0.25">
      <c r="H6553" s="134"/>
    </row>
    <row r="6554" spans="8:8" x14ac:dyDescent="0.25">
      <c r="H6554" s="134"/>
    </row>
    <row r="6555" spans="8:8" x14ac:dyDescent="0.25">
      <c r="H6555" s="134"/>
    </row>
    <row r="6556" spans="8:8" x14ac:dyDescent="0.25">
      <c r="H6556" s="134"/>
    </row>
    <row r="6557" spans="8:8" x14ac:dyDescent="0.25">
      <c r="H6557" s="134"/>
    </row>
    <row r="6558" spans="8:8" x14ac:dyDescent="0.25">
      <c r="H6558" s="134"/>
    </row>
    <row r="6559" spans="8:8" x14ac:dyDescent="0.25">
      <c r="H6559" s="134"/>
    </row>
    <row r="6560" spans="8:8" x14ac:dyDescent="0.25">
      <c r="H6560" s="134"/>
    </row>
    <row r="6561" spans="8:8" x14ac:dyDescent="0.25">
      <c r="H6561" s="134"/>
    </row>
    <row r="6562" spans="8:8" x14ac:dyDescent="0.25">
      <c r="H6562" s="134"/>
    </row>
    <row r="6563" spans="8:8" x14ac:dyDescent="0.25">
      <c r="H6563" s="134"/>
    </row>
    <row r="6564" spans="8:8" x14ac:dyDescent="0.25">
      <c r="H6564" s="134"/>
    </row>
    <row r="6565" spans="8:8" x14ac:dyDescent="0.25">
      <c r="H6565" s="134"/>
    </row>
    <row r="6566" spans="8:8" x14ac:dyDescent="0.25">
      <c r="H6566" s="134"/>
    </row>
    <row r="6567" spans="8:8" x14ac:dyDescent="0.25">
      <c r="H6567" s="134"/>
    </row>
    <row r="6568" spans="8:8" x14ac:dyDescent="0.25">
      <c r="H6568" s="134"/>
    </row>
    <row r="6569" spans="8:8" x14ac:dyDescent="0.25">
      <c r="H6569" s="134"/>
    </row>
    <row r="6570" spans="8:8" x14ac:dyDescent="0.25">
      <c r="H6570" s="134"/>
    </row>
    <row r="6571" spans="8:8" x14ac:dyDescent="0.25">
      <c r="H6571" s="134"/>
    </row>
    <row r="6572" spans="8:8" x14ac:dyDescent="0.25">
      <c r="H6572" s="134"/>
    </row>
    <row r="6573" spans="8:8" x14ac:dyDescent="0.25">
      <c r="H6573" s="134"/>
    </row>
    <row r="6574" spans="8:8" x14ac:dyDescent="0.25">
      <c r="H6574" s="134"/>
    </row>
    <row r="6575" spans="8:8" x14ac:dyDescent="0.25">
      <c r="H6575" s="134"/>
    </row>
    <row r="6576" spans="8:8" x14ac:dyDescent="0.25">
      <c r="H6576" s="134"/>
    </row>
    <row r="6577" spans="8:8" x14ac:dyDescent="0.25">
      <c r="H6577" s="134"/>
    </row>
    <row r="6578" spans="8:8" x14ac:dyDescent="0.25">
      <c r="H6578" s="134"/>
    </row>
    <row r="6579" spans="8:8" x14ac:dyDescent="0.25">
      <c r="H6579" s="134"/>
    </row>
    <row r="6580" spans="8:8" x14ac:dyDescent="0.25">
      <c r="H6580" s="134"/>
    </row>
    <row r="6581" spans="8:8" x14ac:dyDescent="0.25">
      <c r="H6581" s="134"/>
    </row>
    <row r="6582" spans="8:8" x14ac:dyDescent="0.25">
      <c r="H6582" s="134"/>
    </row>
    <row r="6583" spans="8:8" x14ac:dyDescent="0.25">
      <c r="H6583" s="134"/>
    </row>
    <row r="6584" spans="8:8" x14ac:dyDescent="0.25">
      <c r="H6584" s="134"/>
    </row>
    <row r="6585" spans="8:8" x14ac:dyDescent="0.25">
      <c r="H6585" s="134"/>
    </row>
    <row r="6586" spans="8:8" x14ac:dyDescent="0.25">
      <c r="H6586" s="134"/>
    </row>
    <row r="6587" spans="8:8" x14ac:dyDescent="0.25">
      <c r="H6587" s="134"/>
    </row>
    <row r="6588" spans="8:8" x14ac:dyDescent="0.25">
      <c r="H6588" s="134"/>
    </row>
    <row r="6589" spans="8:8" x14ac:dyDescent="0.25">
      <c r="H6589" s="134"/>
    </row>
    <row r="6590" spans="8:8" x14ac:dyDescent="0.25">
      <c r="H6590" s="134"/>
    </row>
    <row r="6591" spans="8:8" x14ac:dyDescent="0.25">
      <c r="H6591" s="134"/>
    </row>
    <row r="6592" spans="8:8" x14ac:dyDescent="0.25">
      <c r="H6592" s="134"/>
    </row>
    <row r="6593" spans="8:8" x14ac:dyDescent="0.25">
      <c r="H6593" s="134"/>
    </row>
    <row r="6594" spans="8:8" x14ac:dyDescent="0.25">
      <c r="H6594" s="134"/>
    </row>
    <row r="6595" spans="8:8" x14ac:dyDescent="0.25">
      <c r="H6595" s="134"/>
    </row>
    <row r="6596" spans="8:8" x14ac:dyDescent="0.25">
      <c r="H6596" s="134"/>
    </row>
    <row r="6597" spans="8:8" x14ac:dyDescent="0.25">
      <c r="H6597" s="134"/>
    </row>
    <row r="6598" spans="8:8" x14ac:dyDescent="0.25">
      <c r="H6598" s="134"/>
    </row>
    <row r="6599" spans="8:8" x14ac:dyDescent="0.25">
      <c r="H6599" s="134"/>
    </row>
    <row r="6600" spans="8:8" x14ac:dyDescent="0.25">
      <c r="H6600" s="134"/>
    </row>
    <row r="6601" spans="8:8" x14ac:dyDescent="0.25">
      <c r="H6601" s="134"/>
    </row>
    <row r="6602" spans="8:8" x14ac:dyDescent="0.25">
      <c r="H6602" s="134"/>
    </row>
    <row r="6603" spans="8:8" x14ac:dyDescent="0.25">
      <c r="H6603" s="134"/>
    </row>
    <row r="6604" spans="8:8" x14ac:dyDescent="0.25">
      <c r="H6604" s="134"/>
    </row>
    <row r="6605" spans="8:8" x14ac:dyDescent="0.25">
      <c r="H6605" s="134"/>
    </row>
    <row r="6606" spans="8:8" x14ac:dyDescent="0.25">
      <c r="H6606" s="134"/>
    </row>
    <row r="6607" spans="8:8" x14ac:dyDescent="0.25">
      <c r="H6607" s="134"/>
    </row>
    <row r="6608" spans="8:8" x14ac:dyDescent="0.25">
      <c r="H6608" s="134"/>
    </row>
    <row r="6609" spans="8:8" x14ac:dyDescent="0.25">
      <c r="H6609" s="134"/>
    </row>
    <row r="6610" spans="8:8" x14ac:dyDescent="0.25">
      <c r="H6610" s="134"/>
    </row>
    <row r="6611" spans="8:8" x14ac:dyDescent="0.25">
      <c r="H6611" s="134"/>
    </row>
    <row r="6612" spans="8:8" x14ac:dyDescent="0.25">
      <c r="H6612" s="134"/>
    </row>
    <row r="6613" spans="8:8" x14ac:dyDescent="0.25">
      <c r="H6613" s="134"/>
    </row>
    <row r="6614" spans="8:8" x14ac:dyDescent="0.25">
      <c r="H6614" s="134"/>
    </row>
    <row r="6615" spans="8:8" x14ac:dyDescent="0.25">
      <c r="H6615" s="134"/>
    </row>
    <row r="6616" spans="8:8" x14ac:dyDescent="0.25">
      <c r="H6616" s="134"/>
    </row>
    <row r="6617" spans="8:8" x14ac:dyDescent="0.25">
      <c r="H6617" s="134"/>
    </row>
    <row r="6618" spans="8:8" x14ac:dyDescent="0.25">
      <c r="H6618" s="134"/>
    </row>
    <row r="6619" spans="8:8" x14ac:dyDescent="0.25">
      <c r="H6619" s="134"/>
    </row>
    <row r="6620" spans="8:8" x14ac:dyDescent="0.25">
      <c r="H6620" s="134"/>
    </row>
    <row r="6621" spans="8:8" x14ac:dyDescent="0.25">
      <c r="H6621" s="134"/>
    </row>
    <row r="6622" spans="8:8" x14ac:dyDescent="0.25">
      <c r="H6622" s="134"/>
    </row>
    <row r="6623" spans="8:8" x14ac:dyDescent="0.25">
      <c r="H6623" s="134"/>
    </row>
    <row r="6624" spans="8:8" x14ac:dyDescent="0.25">
      <c r="H6624" s="134"/>
    </row>
    <row r="6625" spans="8:8" x14ac:dyDescent="0.25">
      <c r="H6625" s="134"/>
    </row>
    <row r="6626" spans="8:8" x14ac:dyDescent="0.25">
      <c r="H6626" s="134"/>
    </row>
    <row r="6627" spans="8:8" x14ac:dyDescent="0.25">
      <c r="H6627" s="134"/>
    </row>
    <row r="6628" spans="8:8" x14ac:dyDescent="0.25">
      <c r="H6628" s="134"/>
    </row>
    <row r="6629" spans="8:8" x14ac:dyDescent="0.25">
      <c r="H6629" s="134"/>
    </row>
    <row r="6630" spans="8:8" x14ac:dyDescent="0.25">
      <c r="H6630" s="134"/>
    </row>
    <row r="6631" spans="8:8" x14ac:dyDescent="0.25">
      <c r="H6631" s="134"/>
    </row>
    <row r="6632" spans="8:8" x14ac:dyDescent="0.25">
      <c r="H6632" s="134"/>
    </row>
    <row r="6633" spans="8:8" x14ac:dyDescent="0.25">
      <c r="H6633" s="134"/>
    </row>
    <row r="6634" spans="8:8" x14ac:dyDescent="0.25">
      <c r="H6634" s="134"/>
    </row>
    <row r="6635" spans="8:8" x14ac:dyDescent="0.25">
      <c r="H6635" s="134"/>
    </row>
    <row r="6636" spans="8:8" x14ac:dyDescent="0.25">
      <c r="H6636" s="134"/>
    </row>
    <row r="6637" spans="8:8" x14ac:dyDescent="0.25">
      <c r="H6637" s="134"/>
    </row>
    <row r="6638" spans="8:8" x14ac:dyDescent="0.25">
      <c r="H6638" s="134"/>
    </row>
    <row r="6639" spans="8:8" x14ac:dyDescent="0.25">
      <c r="H6639" s="134"/>
    </row>
    <row r="6640" spans="8:8" x14ac:dyDescent="0.25">
      <c r="H6640" s="134"/>
    </row>
    <row r="6641" spans="8:8" x14ac:dyDescent="0.25">
      <c r="H6641" s="134"/>
    </row>
    <row r="6642" spans="8:8" x14ac:dyDescent="0.25">
      <c r="H6642" s="134"/>
    </row>
    <row r="6643" spans="8:8" x14ac:dyDescent="0.25">
      <c r="H6643" s="134"/>
    </row>
    <row r="6644" spans="8:8" x14ac:dyDescent="0.25">
      <c r="H6644" s="134"/>
    </row>
    <row r="6645" spans="8:8" x14ac:dyDescent="0.25">
      <c r="H6645" s="134"/>
    </row>
    <row r="6646" spans="8:8" x14ac:dyDescent="0.25">
      <c r="H6646" s="134"/>
    </row>
    <row r="6647" spans="8:8" x14ac:dyDescent="0.25">
      <c r="H6647" s="134"/>
    </row>
    <row r="6648" spans="8:8" x14ac:dyDescent="0.25">
      <c r="H6648" s="134"/>
    </row>
    <row r="6649" spans="8:8" x14ac:dyDescent="0.25">
      <c r="H6649" s="134"/>
    </row>
    <row r="6650" spans="8:8" x14ac:dyDescent="0.25">
      <c r="H6650" s="134"/>
    </row>
    <row r="6651" spans="8:8" x14ac:dyDescent="0.25">
      <c r="H6651" s="134"/>
    </row>
    <row r="6652" spans="8:8" x14ac:dyDescent="0.25">
      <c r="H6652" s="134"/>
    </row>
    <row r="6653" spans="8:8" x14ac:dyDescent="0.25">
      <c r="H6653" s="134"/>
    </row>
    <row r="6654" spans="8:8" x14ac:dyDescent="0.25">
      <c r="H6654" s="134"/>
    </row>
    <row r="6655" spans="8:8" x14ac:dyDescent="0.25">
      <c r="H6655" s="134"/>
    </row>
    <row r="6656" spans="8:8" x14ac:dyDescent="0.25">
      <c r="H6656" s="134"/>
    </row>
    <row r="6657" spans="8:8" x14ac:dyDescent="0.25">
      <c r="H6657" s="134"/>
    </row>
    <row r="6658" spans="8:8" x14ac:dyDescent="0.25">
      <c r="H6658" s="134"/>
    </row>
    <row r="6659" spans="8:8" x14ac:dyDescent="0.25">
      <c r="H6659" s="134"/>
    </row>
    <row r="6660" spans="8:8" x14ac:dyDescent="0.25">
      <c r="H6660" s="134"/>
    </row>
    <row r="6661" spans="8:8" x14ac:dyDescent="0.25">
      <c r="H6661" s="134"/>
    </row>
    <row r="6662" spans="8:8" x14ac:dyDescent="0.25">
      <c r="H6662" s="134"/>
    </row>
    <row r="6663" spans="8:8" x14ac:dyDescent="0.25">
      <c r="H6663" s="134"/>
    </row>
    <row r="6664" spans="8:8" x14ac:dyDescent="0.25">
      <c r="H6664" s="134"/>
    </row>
    <row r="6665" spans="8:8" x14ac:dyDescent="0.25">
      <c r="H6665" s="134"/>
    </row>
    <row r="6666" spans="8:8" x14ac:dyDescent="0.25">
      <c r="H6666" s="134"/>
    </row>
    <row r="6667" spans="8:8" x14ac:dyDescent="0.25">
      <c r="H6667" s="134"/>
    </row>
    <row r="6668" spans="8:8" x14ac:dyDescent="0.25">
      <c r="H6668" s="134"/>
    </row>
    <row r="6669" spans="8:8" x14ac:dyDescent="0.25">
      <c r="H6669" s="134"/>
    </row>
    <row r="6670" spans="8:8" x14ac:dyDescent="0.25">
      <c r="H6670" s="134"/>
    </row>
    <row r="6671" spans="8:8" x14ac:dyDescent="0.25">
      <c r="H6671" s="134"/>
    </row>
    <row r="6672" spans="8:8" x14ac:dyDescent="0.25">
      <c r="H6672" s="134"/>
    </row>
    <row r="6673" spans="8:8" x14ac:dyDescent="0.25">
      <c r="H6673" s="134"/>
    </row>
    <row r="6674" spans="8:8" x14ac:dyDescent="0.25">
      <c r="H6674" s="134"/>
    </row>
    <row r="6675" spans="8:8" x14ac:dyDescent="0.25">
      <c r="H6675" s="134"/>
    </row>
    <row r="6676" spans="8:8" x14ac:dyDescent="0.25">
      <c r="H6676" s="134"/>
    </row>
    <row r="6677" spans="8:8" x14ac:dyDescent="0.25">
      <c r="H6677" s="134"/>
    </row>
    <row r="6678" spans="8:8" x14ac:dyDescent="0.25">
      <c r="H6678" s="134"/>
    </row>
    <row r="6679" spans="8:8" x14ac:dyDescent="0.25">
      <c r="H6679" s="134"/>
    </row>
    <row r="6680" spans="8:8" x14ac:dyDescent="0.25">
      <c r="H6680" s="134"/>
    </row>
    <row r="6681" spans="8:8" x14ac:dyDescent="0.25">
      <c r="H6681" s="134"/>
    </row>
    <row r="6682" spans="8:8" x14ac:dyDescent="0.25">
      <c r="H6682" s="134"/>
    </row>
    <row r="6683" spans="8:8" x14ac:dyDescent="0.25">
      <c r="H6683" s="134"/>
    </row>
    <row r="6684" spans="8:8" x14ac:dyDescent="0.25">
      <c r="H6684" s="134"/>
    </row>
    <row r="6685" spans="8:8" x14ac:dyDescent="0.25">
      <c r="H6685" s="134"/>
    </row>
    <row r="6686" spans="8:8" x14ac:dyDescent="0.25">
      <c r="H6686" s="134"/>
    </row>
    <row r="6687" spans="8:8" x14ac:dyDescent="0.25">
      <c r="H6687" s="134"/>
    </row>
    <row r="6688" spans="8:8" x14ac:dyDescent="0.25">
      <c r="H6688" s="134"/>
    </row>
    <row r="6689" spans="8:8" x14ac:dyDescent="0.25">
      <c r="H6689" s="134"/>
    </row>
    <row r="6690" spans="8:8" x14ac:dyDescent="0.25">
      <c r="H6690" s="134"/>
    </row>
    <row r="6691" spans="8:8" x14ac:dyDescent="0.25">
      <c r="H6691" s="134"/>
    </row>
    <row r="6692" spans="8:8" x14ac:dyDescent="0.25">
      <c r="H6692" s="134"/>
    </row>
    <row r="6693" spans="8:8" x14ac:dyDescent="0.25">
      <c r="H6693" s="134"/>
    </row>
    <row r="6694" spans="8:8" x14ac:dyDescent="0.25">
      <c r="H6694" s="134"/>
    </row>
    <row r="6695" spans="8:8" x14ac:dyDescent="0.25">
      <c r="H6695" s="134"/>
    </row>
    <row r="6696" spans="8:8" x14ac:dyDescent="0.25">
      <c r="H6696" s="134"/>
    </row>
    <row r="6697" spans="8:8" x14ac:dyDescent="0.25">
      <c r="H6697" s="134"/>
    </row>
    <row r="6698" spans="8:8" x14ac:dyDescent="0.25">
      <c r="H6698" s="134"/>
    </row>
    <row r="6699" spans="8:8" x14ac:dyDescent="0.25">
      <c r="H6699" s="134"/>
    </row>
    <row r="6700" spans="8:8" x14ac:dyDescent="0.25">
      <c r="H6700" s="134"/>
    </row>
    <row r="6701" spans="8:8" x14ac:dyDescent="0.25">
      <c r="H6701" s="134"/>
    </row>
    <row r="6702" spans="8:8" x14ac:dyDescent="0.25">
      <c r="H6702" s="134"/>
    </row>
    <row r="6703" spans="8:8" x14ac:dyDescent="0.25">
      <c r="H6703" s="134"/>
    </row>
    <row r="6704" spans="8:8" x14ac:dyDescent="0.25">
      <c r="H6704" s="134"/>
    </row>
    <row r="6705" spans="8:8" x14ac:dyDescent="0.25">
      <c r="H6705" s="134"/>
    </row>
    <row r="6706" spans="8:8" x14ac:dyDescent="0.25">
      <c r="H6706" s="134"/>
    </row>
    <row r="6707" spans="8:8" x14ac:dyDescent="0.25">
      <c r="H6707" s="134"/>
    </row>
    <row r="6708" spans="8:8" x14ac:dyDescent="0.25">
      <c r="H6708" s="134"/>
    </row>
    <row r="6709" spans="8:8" x14ac:dyDescent="0.25">
      <c r="H6709" s="134"/>
    </row>
    <row r="6710" spans="8:8" x14ac:dyDescent="0.25">
      <c r="H6710" s="134"/>
    </row>
    <row r="6711" spans="8:8" x14ac:dyDescent="0.25">
      <c r="H6711" s="134"/>
    </row>
    <row r="6712" spans="8:8" x14ac:dyDescent="0.25">
      <c r="H6712" s="134"/>
    </row>
    <row r="6713" spans="8:8" x14ac:dyDescent="0.25">
      <c r="H6713" s="134"/>
    </row>
    <row r="6714" spans="8:8" x14ac:dyDescent="0.25">
      <c r="H6714" s="134"/>
    </row>
    <row r="6715" spans="8:8" x14ac:dyDescent="0.25">
      <c r="H6715" s="134"/>
    </row>
    <row r="6716" spans="8:8" x14ac:dyDescent="0.25">
      <c r="H6716" s="134"/>
    </row>
    <row r="6717" spans="8:8" x14ac:dyDescent="0.25">
      <c r="H6717" s="134"/>
    </row>
    <row r="6718" spans="8:8" x14ac:dyDescent="0.25">
      <c r="H6718" s="134"/>
    </row>
    <row r="6719" spans="8:8" x14ac:dyDescent="0.25">
      <c r="H6719" s="134"/>
    </row>
    <row r="6720" spans="8:8" x14ac:dyDescent="0.25">
      <c r="H6720" s="134"/>
    </row>
    <row r="6721" spans="8:8" x14ac:dyDescent="0.25">
      <c r="H6721" s="134"/>
    </row>
    <row r="6722" spans="8:8" x14ac:dyDescent="0.25">
      <c r="H6722" s="134"/>
    </row>
    <row r="6723" spans="8:8" x14ac:dyDescent="0.25">
      <c r="H6723" s="134"/>
    </row>
    <row r="6724" spans="8:8" x14ac:dyDescent="0.25">
      <c r="H6724" s="134"/>
    </row>
    <row r="6725" spans="8:8" x14ac:dyDescent="0.25">
      <c r="H6725" s="134"/>
    </row>
    <row r="6726" spans="8:8" x14ac:dyDescent="0.25">
      <c r="H6726" s="134"/>
    </row>
    <row r="6727" spans="8:8" x14ac:dyDescent="0.25">
      <c r="H6727" s="134"/>
    </row>
    <row r="6728" spans="8:8" x14ac:dyDescent="0.25">
      <c r="H6728" s="134"/>
    </row>
    <row r="6729" spans="8:8" x14ac:dyDescent="0.25">
      <c r="H6729" s="134"/>
    </row>
    <row r="6730" spans="8:8" x14ac:dyDescent="0.25">
      <c r="H6730" s="134"/>
    </row>
    <row r="6731" spans="8:8" x14ac:dyDescent="0.25">
      <c r="H6731" s="134"/>
    </row>
    <row r="6732" spans="8:8" x14ac:dyDescent="0.25">
      <c r="H6732" s="134"/>
    </row>
    <row r="6733" spans="8:8" x14ac:dyDescent="0.25">
      <c r="H6733" s="134"/>
    </row>
    <row r="6734" spans="8:8" x14ac:dyDescent="0.25">
      <c r="H6734" s="134"/>
    </row>
    <row r="6735" spans="8:8" x14ac:dyDescent="0.25">
      <c r="H6735" s="134"/>
    </row>
    <row r="6736" spans="8:8" x14ac:dyDescent="0.25">
      <c r="H6736" s="134"/>
    </row>
    <row r="6737" spans="8:8" x14ac:dyDescent="0.25">
      <c r="H6737" s="134"/>
    </row>
    <row r="6738" spans="8:8" x14ac:dyDescent="0.25">
      <c r="H6738" s="134"/>
    </row>
    <row r="6739" spans="8:8" x14ac:dyDescent="0.25">
      <c r="H6739" s="134"/>
    </row>
    <row r="6740" spans="8:8" x14ac:dyDescent="0.25">
      <c r="H6740" s="134"/>
    </row>
    <row r="6741" spans="8:8" x14ac:dyDescent="0.25">
      <c r="H6741" s="134"/>
    </row>
    <row r="6742" spans="8:8" x14ac:dyDescent="0.25">
      <c r="H6742" s="134"/>
    </row>
    <row r="6743" spans="8:8" x14ac:dyDescent="0.25">
      <c r="H6743" s="134"/>
    </row>
    <row r="6744" spans="8:8" x14ac:dyDescent="0.25">
      <c r="H6744" s="134"/>
    </row>
    <row r="6745" spans="8:8" x14ac:dyDescent="0.25">
      <c r="H6745" s="134"/>
    </row>
    <row r="6746" spans="8:8" x14ac:dyDescent="0.25">
      <c r="H6746" s="134"/>
    </row>
    <row r="6747" spans="8:8" x14ac:dyDescent="0.25">
      <c r="H6747" s="134"/>
    </row>
    <row r="6748" spans="8:8" x14ac:dyDescent="0.25">
      <c r="H6748" s="134"/>
    </row>
    <row r="6749" spans="8:8" x14ac:dyDescent="0.25">
      <c r="H6749" s="134"/>
    </row>
    <row r="6750" spans="8:8" x14ac:dyDescent="0.25">
      <c r="H6750" s="134"/>
    </row>
    <row r="6751" spans="8:8" x14ac:dyDescent="0.25">
      <c r="H6751" s="134"/>
    </row>
    <row r="6752" spans="8:8" x14ac:dyDescent="0.25">
      <c r="H6752" s="134"/>
    </row>
    <row r="6753" spans="8:8" x14ac:dyDescent="0.25">
      <c r="H6753" s="134"/>
    </row>
    <row r="6754" spans="8:8" x14ac:dyDescent="0.25">
      <c r="H6754" s="134"/>
    </row>
    <row r="6755" spans="8:8" x14ac:dyDescent="0.25">
      <c r="H6755" s="134"/>
    </row>
    <row r="6756" spans="8:8" x14ac:dyDescent="0.25">
      <c r="H6756" s="134"/>
    </row>
    <row r="6757" spans="8:8" x14ac:dyDescent="0.25">
      <c r="H6757" s="134"/>
    </row>
    <row r="6758" spans="8:8" x14ac:dyDescent="0.25">
      <c r="H6758" s="134"/>
    </row>
    <row r="6759" spans="8:8" x14ac:dyDescent="0.25">
      <c r="H6759" s="134"/>
    </row>
    <row r="6760" spans="8:8" x14ac:dyDescent="0.25">
      <c r="H6760" s="134"/>
    </row>
    <row r="6761" spans="8:8" x14ac:dyDescent="0.25">
      <c r="H6761" s="134"/>
    </row>
    <row r="6762" spans="8:8" x14ac:dyDescent="0.25">
      <c r="H6762" s="134"/>
    </row>
    <row r="6763" spans="8:8" x14ac:dyDescent="0.25">
      <c r="H6763" s="134"/>
    </row>
    <row r="6764" spans="8:8" x14ac:dyDescent="0.25">
      <c r="H6764" s="134"/>
    </row>
    <row r="6765" spans="8:8" x14ac:dyDescent="0.25">
      <c r="H6765" s="134"/>
    </row>
    <row r="6766" spans="8:8" x14ac:dyDescent="0.25">
      <c r="H6766" s="134"/>
    </row>
    <row r="6767" spans="8:8" x14ac:dyDescent="0.25">
      <c r="H6767" s="134"/>
    </row>
    <row r="6768" spans="8:8" x14ac:dyDescent="0.25">
      <c r="H6768" s="134"/>
    </row>
    <row r="6769" spans="8:8" x14ac:dyDescent="0.25">
      <c r="H6769" s="134"/>
    </row>
    <row r="6770" spans="8:8" x14ac:dyDescent="0.25">
      <c r="H6770" s="134"/>
    </row>
    <row r="6771" spans="8:8" x14ac:dyDescent="0.25">
      <c r="H6771" s="134"/>
    </row>
    <row r="6772" spans="8:8" x14ac:dyDescent="0.25">
      <c r="H6772" s="134"/>
    </row>
    <row r="6773" spans="8:8" x14ac:dyDescent="0.25">
      <c r="H6773" s="134"/>
    </row>
    <row r="6774" spans="8:8" x14ac:dyDescent="0.25">
      <c r="H6774" s="134"/>
    </row>
    <row r="6775" spans="8:8" x14ac:dyDescent="0.25">
      <c r="H6775" s="134"/>
    </row>
    <row r="6776" spans="8:8" x14ac:dyDescent="0.25">
      <c r="H6776" s="134"/>
    </row>
    <row r="6777" spans="8:8" x14ac:dyDescent="0.25">
      <c r="H6777" s="134"/>
    </row>
    <row r="6778" spans="8:8" x14ac:dyDescent="0.25">
      <c r="H6778" s="134"/>
    </row>
    <row r="6779" spans="8:8" x14ac:dyDescent="0.25">
      <c r="H6779" s="134"/>
    </row>
    <row r="6780" spans="8:8" x14ac:dyDescent="0.25">
      <c r="H6780" s="134"/>
    </row>
    <row r="6781" spans="8:8" x14ac:dyDescent="0.25">
      <c r="H6781" s="134"/>
    </row>
    <row r="6782" spans="8:8" x14ac:dyDescent="0.25">
      <c r="H6782" s="134"/>
    </row>
    <row r="6783" spans="8:8" x14ac:dyDescent="0.25">
      <c r="H6783" s="134"/>
    </row>
    <row r="6784" spans="8:8" x14ac:dyDescent="0.25">
      <c r="H6784" s="134"/>
    </row>
    <row r="6785" spans="8:8" x14ac:dyDescent="0.25">
      <c r="H6785" s="134"/>
    </row>
    <row r="6786" spans="8:8" x14ac:dyDescent="0.25">
      <c r="H6786" s="134"/>
    </row>
    <row r="6787" spans="8:8" x14ac:dyDescent="0.25">
      <c r="H6787" s="134"/>
    </row>
    <row r="6788" spans="8:8" x14ac:dyDescent="0.25">
      <c r="H6788" s="134"/>
    </row>
    <row r="6789" spans="8:8" x14ac:dyDescent="0.25">
      <c r="H6789" s="134"/>
    </row>
    <row r="6790" spans="8:8" x14ac:dyDescent="0.25">
      <c r="H6790" s="134"/>
    </row>
    <row r="6791" spans="8:8" x14ac:dyDescent="0.25">
      <c r="H6791" s="134"/>
    </row>
    <row r="6792" spans="8:8" x14ac:dyDescent="0.25">
      <c r="H6792" s="134"/>
    </row>
    <row r="6793" spans="8:8" x14ac:dyDescent="0.25">
      <c r="H6793" s="134"/>
    </row>
    <row r="6794" spans="8:8" x14ac:dyDescent="0.25">
      <c r="H6794" s="134"/>
    </row>
    <row r="6795" spans="8:8" x14ac:dyDescent="0.25">
      <c r="H6795" s="134"/>
    </row>
    <row r="6796" spans="8:8" x14ac:dyDescent="0.25">
      <c r="H6796" s="134"/>
    </row>
    <row r="6797" spans="8:8" x14ac:dyDescent="0.25">
      <c r="H6797" s="134"/>
    </row>
    <row r="6798" spans="8:8" x14ac:dyDescent="0.25">
      <c r="H6798" s="134"/>
    </row>
    <row r="6799" spans="8:8" x14ac:dyDescent="0.25">
      <c r="H6799" s="134"/>
    </row>
    <row r="6800" spans="8:8" x14ac:dyDescent="0.25">
      <c r="H6800" s="134"/>
    </row>
    <row r="6801" spans="8:8" x14ac:dyDescent="0.25">
      <c r="H6801" s="134"/>
    </row>
    <row r="6802" spans="8:8" x14ac:dyDescent="0.25">
      <c r="H6802" s="134"/>
    </row>
    <row r="6803" spans="8:8" x14ac:dyDescent="0.25">
      <c r="H6803" s="134"/>
    </row>
    <row r="6804" spans="8:8" x14ac:dyDescent="0.25">
      <c r="H6804" s="134"/>
    </row>
    <row r="6805" spans="8:8" x14ac:dyDescent="0.25">
      <c r="H6805" s="134"/>
    </row>
    <row r="6806" spans="8:8" x14ac:dyDescent="0.25">
      <c r="H6806" s="134"/>
    </row>
    <row r="6807" spans="8:8" x14ac:dyDescent="0.25">
      <c r="H6807" s="134"/>
    </row>
    <row r="6808" spans="8:8" x14ac:dyDescent="0.25">
      <c r="H6808" s="134"/>
    </row>
    <row r="6809" spans="8:8" x14ac:dyDescent="0.25">
      <c r="H6809" s="134"/>
    </row>
    <row r="6810" spans="8:8" x14ac:dyDescent="0.25">
      <c r="H6810" s="134"/>
    </row>
    <row r="6811" spans="8:8" x14ac:dyDescent="0.25">
      <c r="H6811" s="134"/>
    </row>
    <row r="6812" spans="8:8" x14ac:dyDescent="0.25">
      <c r="H6812" s="134"/>
    </row>
    <row r="6813" spans="8:8" x14ac:dyDescent="0.25">
      <c r="H6813" s="134"/>
    </row>
    <row r="6814" spans="8:8" x14ac:dyDescent="0.25">
      <c r="H6814" s="134"/>
    </row>
    <row r="6815" spans="8:8" x14ac:dyDescent="0.25">
      <c r="H6815" s="134"/>
    </row>
    <row r="6816" spans="8:8" x14ac:dyDescent="0.25">
      <c r="H6816" s="134"/>
    </row>
    <row r="6817" spans="8:8" x14ac:dyDescent="0.25">
      <c r="H6817" s="134"/>
    </row>
    <row r="6818" spans="8:8" x14ac:dyDescent="0.25">
      <c r="H6818" s="134"/>
    </row>
    <row r="6819" spans="8:8" x14ac:dyDescent="0.25">
      <c r="H6819" s="134"/>
    </row>
    <row r="6820" spans="8:8" x14ac:dyDescent="0.25">
      <c r="H6820" s="134"/>
    </row>
    <row r="6821" spans="8:8" x14ac:dyDescent="0.25">
      <c r="H6821" s="134"/>
    </row>
    <row r="6822" spans="8:8" x14ac:dyDescent="0.25">
      <c r="H6822" s="134"/>
    </row>
    <row r="6823" spans="8:8" x14ac:dyDescent="0.25">
      <c r="H6823" s="134"/>
    </row>
    <row r="6824" spans="8:8" x14ac:dyDescent="0.25">
      <c r="H6824" s="134"/>
    </row>
    <row r="6825" spans="8:8" x14ac:dyDescent="0.25">
      <c r="H6825" s="134"/>
    </row>
    <row r="6826" spans="8:8" x14ac:dyDescent="0.25">
      <c r="H6826" s="134"/>
    </row>
    <row r="6827" spans="8:8" x14ac:dyDescent="0.25">
      <c r="H6827" s="134"/>
    </row>
    <row r="6828" spans="8:8" x14ac:dyDescent="0.25">
      <c r="H6828" s="134"/>
    </row>
    <row r="6829" spans="8:8" x14ac:dyDescent="0.25">
      <c r="H6829" s="134"/>
    </row>
    <row r="6830" spans="8:8" x14ac:dyDescent="0.25">
      <c r="H6830" s="134"/>
    </row>
    <row r="6831" spans="8:8" x14ac:dyDescent="0.25">
      <c r="H6831" s="134"/>
    </row>
    <row r="6832" spans="8:8" x14ac:dyDescent="0.25">
      <c r="H6832" s="134"/>
    </row>
    <row r="6833" spans="8:8" x14ac:dyDescent="0.25">
      <c r="H6833" s="134"/>
    </row>
    <row r="6834" spans="8:8" x14ac:dyDescent="0.25">
      <c r="H6834" s="134"/>
    </row>
    <row r="6835" spans="8:8" x14ac:dyDescent="0.25">
      <c r="H6835" s="134"/>
    </row>
    <row r="6836" spans="8:8" x14ac:dyDescent="0.25">
      <c r="H6836" s="134"/>
    </row>
    <row r="6837" spans="8:8" x14ac:dyDescent="0.25">
      <c r="H6837" s="134"/>
    </row>
    <row r="6838" spans="8:8" x14ac:dyDescent="0.25">
      <c r="H6838" s="134"/>
    </row>
    <row r="6839" spans="8:8" x14ac:dyDescent="0.25">
      <c r="H6839" s="134"/>
    </row>
    <row r="6840" spans="8:8" x14ac:dyDescent="0.25">
      <c r="H6840" s="134"/>
    </row>
    <row r="6841" spans="8:8" x14ac:dyDescent="0.25">
      <c r="H6841" s="134"/>
    </row>
    <row r="6842" spans="8:8" x14ac:dyDescent="0.25">
      <c r="H6842" s="134"/>
    </row>
    <row r="6843" spans="8:8" x14ac:dyDescent="0.25">
      <c r="H6843" s="134"/>
    </row>
    <row r="6844" spans="8:8" x14ac:dyDescent="0.25">
      <c r="H6844" s="134"/>
    </row>
    <row r="6845" spans="8:8" x14ac:dyDescent="0.25">
      <c r="H6845" s="134"/>
    </row>
    <row r="6846" spans="8:8" x14ac:dyDescent="0.25">
      <c r="H6846" s="134"/>
    </row>
    <row r="6847" spans="8:8" x14ac:dyDescent="0.25">
      <c r="H6847" s="134"/>
    </row>
    <row r="6848" spans="8:8" x14ac:dyDescent="0.25">
      <c r="H6848" s="134"/>
    </row>
    <row r="6849" spans="8:8" x14ac:dyDescent="0.25">
      <c r="H6849" s="134"/>
    </row>
    <row r="6850" spans="8:8" x14ac:dyDescent="0.25">
      <c r="H6850" s="134"/>
    </row>
    <row r="6851" spans="8:8" x14ac:dyDescent="0.25">
      <c r="H6851" s="134"/>
    </row>
    <row r="6852" spans="8:8" x14ac:dyDescent="0.25">
      <c r="H6852" s="134"/>
    </row>
    <row r="6853" spans="8:8" x14ac:dyDescent="0.25">
      <c r="H6853" s="134"/>
    </row>
    <row r="6854" spans="8:8" x14ac:dyDescent="0.25">
      <c r="H6854" s="134"/>
    </row>
    <row r="6855" spans="8:8" x14ac:dyDescent="0.25">
      <c r="H6855" s="134"/>
    </row>
    <row r="6856" spans="8:8" x14ac:dyDescent="0.25">
      <c r="H6856" s="134"/>
    </row>
    <row r="6857" spans="8:8" x14ac:dyDescent="0.25">
      <c r="H6857" s="134"/>
    </row>
    <row r="6858" spans="8:8" x14ac:dyDescent="0.25">
      <c r="H6858" s="134"/>
    </row>
    <row r="6859" spans="8:8" x14ac:dyDescent="0.25">
      <c r="H6859" s="134"/>
    </row>
    <row r="6860" spans="8:8" x14ac:dyDescent="0.25">
      <c r="H6860" s="134"/>
    </row>
    <row r="6861" spans="8:8" x14ac:dyDescent="0.25">
      <c r="H6861" s="134"/>
    </row>
    <row r="6862" spans="8:8" x14ac:dyDescent="0.25">
      <c r="H6862" s="134"/>
    </row>
    <row r="6863" spans="8:8" x14ac:dyDescent="0.25">
      <c r="H6863" s="134"/>
    </row>
    <row r="6864" spans="8:8" x14ac:dyDescent="0.25">
      <c r="H6864" s="134"/>
    </row>
    <row r="6865" spans="8:8" x14ac:dyDescent="0.25">
      <c r="H6865" s="134"/>
    </row>
    <row r="6866" spans="8:8" x14ac:dyDescent="0.25">
      <c r="H6866" s="134"/>
    </row>
    <row r="6867" spans="8:8" x14ac:dyDescent="0.25">
      <c r="H6867" s="134"/>
    </row>
    <row r="6868" spans="8:8" x14ac:dyDescent="0.25">
      <c r="H6868" s="134"/>
    </row>
    <row r="6869" spans="8:8" x14ac:dyDescent="0.25">
      <c r="H6869" s="134"/>
    </row>
    <row r="6870" spans="8:8" x14ac:dyDescent="0.25">
      <c r="H6870" s="134"/>
    </row>
    <row r="6871" spans="8:8" x14ac:dyDescent="0.25">
      <c r="H6871" s="134"/>
    </row>
    <row r="6872" spans="8:8" x14ac:dyDescent="0.25">
      <c r="H6872" s="134"/>
    </row>
    <row r="6873" spans="8:8" x14ac:dyDescent="0.25">
      <c r="H6873" s="134"/>
    </row>
    <row r="6874" spans="8:8" x14ac:dyDescent="0.25">
      <c r="H6874" s="134"/>
    </row>
    <row r="6875" spans="8:8" x14ac:dyDescent="0.25">
      <c r="H6875" s="134"/>
    </row>
    <row r="6876" spans="8:8" x14ac:dyDescent="0.25">
      <c r="H6876" s="134"/>
    </row>
    <row r="6877" spans="8:8" x14ac:dyDescent="0.25">
      <c r="H6877" s="134"/>
    </row>
    <row r="6878" spans="8:8" x14ac:dyDescent="0.25">
      <c r="H6878" s="134"/>
    </row>
    <row r="6879" spans="8:8" x14ac:dyDescent="0.25">
      <c r="H6879" s="134"/>
    </row>
    <row r="6880" spans="8:8" x14ac:dyDescent="0.25">
      <c r="H6880" s="134"/>
    </row>
    <row r="6881" spans="8:8" x14ac:dyDescent="0.25">
      <c r="H6881" s="134"/>
    </row>
    <row r="6882" spans="8:8" x14ac:dyDescent="0.25">
      <c r="H6882" s="134"/>
    </row>
    <row r="6883" spans="8:8" x14ac:dyDescent="0.25">
      <c r="H6883" s="134"/>
    </row>
    <row r="6884" spans="8:8" x14ac:dyDescent="0.25">
      <c r="H6884" s="134"/>
    </row>
    <row r="6885" spans="8:8" x14ac:dyDescent="0.25">
      <c r="H6885" s="134"/>
    </row>
    <row r="6886" spans="8:8" x14ac:dyDescent="0.25">
      <c r="H6886" s="134"/>
    </row>
    <row r="6887" spans="8:8" x14ac:dyDescent="0.25">
      <c r="H6887" s="134"/>
    </row>
    <row r="6888" spans="8:8" x14ac:dyDescent="0.25">
      <c r="H6888" s="134"/>
    </row>
    <row r="6889" spans="8:8" x14ac:dyDescent="0.25">
      <c r="H6889" s="134"/>
    </row>
    <row r="6890" spans="8:8" x14ac:dyDescent="0.25">
      <c r="H6890" s="134"/>
    </row>
    <row r="6891" spans="8:8" x14ac:dyDescent="0.25">
      <c r="H6891" s="134"/>
    </row>
    <row r="6892" spans="8:8" x14ac:dyDescent="0.25">
      <c r="H6892" s="134"/>
    </row>
    <row r="6893" spans="8:8" x14ac:dyDescent="0.25">
      <c r="H6893" s="134"/>
    </row>
    <row r="6894" spans="8:8" x14ac:dyDescent="0.25">
      <c r="H6894" s="134"/>
    </row>
    <row r="6895" spans="8:8" x14ac:dyDescent="0.25">
      <c r="H6895" s="134"/>
    </row>
    <row r="6896" spans="8:8" x14ac:dyDescent="0.25">
      <c r="H6896" s="134"/>
    </row>
    <row r="6897" spans="8:8" x14ac:dyDescent="0.25">
      <c r="H6897" s="134"/>
    </row>
    <row r="6898" spans="8:8" x14ac:dyDescent="0.25">
      <c r="H6898" s="134"/>
    </row>
    <row r="6899" spans="8:8" x14ac:dyDescent="0.25">
      <c r="H6899" s="134"/>
    </row>
    <row r="6900" spans="8:8" x14ac:dyDescent="0.25">
      <c r="H6900" s="134"/>
    </row>
    <row r="6901" spans="8:8" x14ac:dyDescent="0.25">
      <c r="H6901" s="134"/>
    </row>
    <row r="6902" spans="8:8" x14ac:dyDescent="0.25">
      <c r="H6902" s="134"/>
    </row>
    <row r="6903" spans="8:8" x14ac:dyDescent="0.25">
      <c r="H6903" s="134"/>
    </row>
    <row r="6904" spans="8:8" x14ac:dyDescent="0.25">
      <c r="H6904" s="134"/>
    </row>
    <row r="6905" spans="8:8" x14ac:dyDescent="0.25">
      <c r="H6905" s="134"/>
    </row>
    <row r="6906" spans="8:8" x14ac:dyDescent="0.25">
      <c r="H6906" s="134"/>
    </row>
    <row r="6907" spans="8:8" x14ac:dyDescent="0.25">
      <c r="H6907" s="134"/>
    </row>
    <row r="6908" spans="8:8" x14ac:dyDescent="0.25">
      <c r="H6908" s="134"/>
    </row>
    <row r="6909" spans="8:8" x14ac:dyDescent="0.25">
      <c r="H6909" s="134"/>
    </row>
    <row r="6910" spans="8:8" x14ac:dyDescent="0.25">
      <c r="H6910" s="134"/>
    </row>
    <row r="6911" spans="8:8" x14ac:dyDescent="0.25">
      <c r="H6911" s="134"/>
    </row>
    <row r="6912" spans="8:8" x14ac:dyDescent="0.25">
      <c r="H6912" s="134"/>
    </row>
    <row r="6913" spans="8:8" x14ac:dyDescent="0.25">
      <c r="H6913" s="134"/>
    </row>
    <row r="6914" spans="8:8" x14ac:dyDescent="0.25">
      <c r="H6914" s="134"/>
    </row>
    <row r="6915" spans="8:8" x14ac:dyDescent="0.25">
      <c r="H6915" s="134"/>
    </row>
    <row r="6916" spans="8:8" x14ac:dyDescent="0.25">
      <c r="H6916" s="134"/>
    </row>
    <row r="6917" spans="8:8" x14ac:dyDescent="0.25">
      <c r="H6917" s="134"/>
    </row>
    <row r="6918" spans="8:8" x14ac:dyDescent="0.25">
      <c r="H6918" s="134"/>
    </row>
    <row r="6919" spans="8:8" x14ac:dyDescent="0.25">
      <c r="H6919" s="134"/>
    </row>
    <row r="6920" spans="8:8" x14ac:dyDescent="0.25">
      <c r="H6920" s="134"/>
    </row>
    <row r="6921" spans="8:8" x14ac:dyDescent="0.25">
      <c r="H6921" s="134"/>
    </row>
    <row r="6922" spans="8:8" x14ac:dyDescent="0.25">
      <c r="H6922" s="134"/>
    </row>
    <row r="6923" spans="8:8" x14ac:dyDescent="0.25">
      <c r="H6923" s="134"/>
    </row>
    <row r="6924" spans="8:8" x14ac:dyDescent="0.25">
      <c r="H6924" s="134"/>
    </row>
    <row r="6925" spans="8:8" x14ac:dyDescent="0.25">
      <c r="H6925" s="134"/>
    </row>
    <row r="6926" spans="8:8" x14ac:dyDescent="0.25">
      <c r="H6926" s="134"/>
    </row>
    <row r="6927" spans="8:8" x14ac:dyDescent="0.25">
      <c r="H6927" s="134"/>
    </row>
    <row r="6928" spans="8:8" x14ac:dyDescent="0.25">
      <c r="H6928" s="134"/>
    </row>
    <row r="6929" spans="8:8" x14ac:dyDescent="0.25">
      <c r="H6929" s="134"/>
    </row>
    <row r="6930" spans="8:8" x14ac:dyDescent="0.25">
      <c r="H6930" s="134"/>
    </row>
    <row r="6931" spans="8:8" x14ac:dyDescent="0.25">
      <c r="H6931" s="134"/>
    </row>
    <row r="6932" spans="8:8" x14ac:dyDescent="0.25">
      <c r="H6932" s="134"/>
    </row>
    <row r="6933" spans="8:8" x14ac:dyDescent="0.25">
      <c r="H6933" s="134"/>
    </row>
    <row r="6934" spans="8:8" x14ac:dyDescent="0.25">
      <c r="H6934" s="134"/>
    </row>
    <row r="6935" spans="8:8" x14ac:dyDescent="0.25">
      <c r="H6935" s="134"/>
    </row>
    <row r="6936" spans="8:8" x14ac:dyDescent="0.25">
      <c r="H6936" s="134"/>
    </row>
    <row r="6937" spans="8:8" x14ac:dyDescent="0.25">
      <c r="H6937" s="134"/>
    </row>
    <row r="6938" spans="8:8" x14ac:dyDescent="0.25">
      <c r="H6938" s="134"/>
    </row>
    <row r="6939" spans="8:8" x14ac:dyDescent="0.25">
      <c r="H6939" s="134"/>
    </row>
    <row r="6940" spans="8:8" x14ac:dyDescent="0.25">
      <c r="H6940" s="134"/>
    </row>
    <row r="6941" spans="8:8" x14ac:dyDescent="0.25">
      <c r="H6941" s="134"/>
    </row>
    <row r="6942" spans="8:8" x14ac:dyDescent="0.25">
      <c r="H6942" s="134"/>
    </row>
    <row r="6943" spans="8:8" x14ac:dyDescent="0.25">
      <c r="H6943" s="134"/>
    </row>
    <row r="6944" spans="8:8" x14ac:dyDescent="0.25">
      <c r="H6944" s="134"/>
    </row>
    <row r="6945" spans="8:8" x14ac:dyDescent="0.25">
      <c r="H6945" s="134"/>
    </row>
    <row r="6946" spans="8:8" x14ac:dyDescent="0.25">
      <c r="H6946" s="134"/>
    </row>
    <row r="6947" spans="8:8" x14ac:dyDescent="0.25">
      <c r="H6947" s="134"/>
    </row>
    <row r="6948" spans="8:8" x14ac:dyDescent="0.25">
      <c r="H6948" s="134"/>
    </row>
    <row r="6949" spans="8:8" x14ac:dyDescent="0.25">
      <c r="H6949" s="134"/>
    </row>
    <row r="6950" spans="8:8" x14ac:dyDescent="0.25">
      <c r="H6950" s="134"/>
    </row>
    <row r="6951" spans="8:8" x14ac:dyDescent="0.25">
      <c r="H6951" s="134"/>
    </row>
    <row r="6952" spans="8:8" x14ac:dyDescent="0.25">
      <c r="H6952" s="134"/>
    </row>
    <row r="6953" spans="8:8" x14ac:dyDescent="0.25">
      <c r="H6953" s="134"/>
    </row>
    <row r="6954" spans="8:8" x14ac:dyDescent="0.25">
      <c r="H6954" s="134"/>
    </row>
    <row r="6955" spans="8:8" x14ac:dyDescent="0.25">
      <c r="H6955" s="134"/>
    </row>
    <row r="6956" spans="8:8" x14ac:dyDescent="0.25">
      <c r="H6956" s="134"/>
    </row>
    <row r="6957" spans="8:8" x14ac:dyDescent="0.25">
      <c r="H6957" s="134"/>
    </row>
    <row r="6958" spans="8:8" x14ac:dyDescent="0.25">
      <c r="H6958" s="134"/>
    </row>
    <row r="6959" spans="8:8" x14ac:dyDescent="0.25">
      <c r="H6959" s="134"/>
    </row>
    <row r="6960" spans="8:8" x14ac:dyDescent="0.25">
      <c r="H6960" s="134"/>
    </row>
    <row r="6961" spans="8:8" x14ac:dyDescent="0.25">
      <c r="H6961" s="134"/>
    </row>
    <row r="6962" spans="8:8" x14ac:dyDescent="0.25">
      <c r="H6962" s="134"/>
    </row>
    <row r="6963" spans="8:8" x14ac:dyDescent="0.25">
      <c r="H6963" s="134"/>
    </row>
    <row r="6964" spans="8:8" x14ac:dyDescent="0.25">
      <c r="H6964" s="134"/>
    </row>
    <row r="6965" spans="8:8" x14ac:dyDescent="0.25">
      <c r="H6965" s="134"/>
    </row>
    <row r="6966" spans="8:8" x14ac:dyDescent="0.25">
      <c r="H6966" s="134"/>
    </row>
    <row r="6967" spans="8:8" x14ac:dyDescent="0.25">
      <c r="H6967" s="134"/>
    </row>
    <row r="6968" spans="8:8" x14ac:dyDescent="0.25">
      <c r="H6968" s="134"/>
    </row>
    <row r="6969" spans="8:8" x14ac:dyDescent="0.25">
      <c r="H6969" s="134"/>
    </row>
    <row r="6970" spans="8:8" x14ac:dyDescent="0.25">
      <c r="H6970" s="134"/>
    </row>
    <row r="6971" spans="8:8" x14ac:dyDescent="0.25">
      <c r="H6971" s="134"/>
    </row>
    <row r="6972" spans="8:8" x14ac:dyDescent="0.25">
      <c r="H6972" s="134"/>
    </row>
    <row r="6973" spans="8:8" x14ac:dyDescent="0.25">
      <c r="H6973" s="134"/>
    </row>
    <row r="6974" spans="8:8" x14ac:dyDescent="0.25">
      <c r="H6974" s="134"/>
    </row>
    <row r="6975" spans="8:8" x14ac:dyDescent="0.25">
      <c r="H6975" s="134"/>
    </row>
    <row r="6976" spans="8:8" x14ac:dyDescent="0.25">
      <c r="H6976" s="134"/>
    </row>
    <row r="6977" spans="8:8" x14ac:dyDescent="0.25">
      <c r="H6977" s="134"/>
    </row>
    <row r="6978" spans="8:8" x14ac:dyDescent="0.25">
      <c r="H6978" s="134"/>
    </row>
    <row r="6979" spans="8:8" x14ac:dyDescent="0.25">
      <c r="H6979" s="134"/>
    </row>
    <row r="6980" spans="8:8" x14ac:dyDescent="0.25">
      <c r="H6980" s="134"/>
    </row>
    <row r="6981" spans="8:8" x14ac:dyDescent="0.25">
      <c r="H6981" s="134"/>
    </row>
    <row r="6982" spans="8:8" x14ac:dyDescent="0.25">
      <c r="H6982" s="134"/>
    </row>
    <row r="6983" spans="8:8" x14ac:dyDescent="0.25">
      <c r="H6983" s="134"/>
    </row>
    <row r="6984" spans="8:8" x14ac:dyDescent="0.25">
      <c r="H6984" s="134"/>
    </row>
    <row r="6985" spans="8:8" x14ac:dyDescent="0.25">
      <c r="H6985" s="134"/>
    </row>
    <row r="6986" spans="8:8" x14ac:dyDescent="0.25">
      <c r="H6986" s="134"/>
    </row>
    <row r="6987" spans="8:8" x14ac:dyDescent="0.25">
      <c r="H6987" s="134"/>
    </row>
    <row r="6988" spans="8:8" x14ac:dyDescent="0.25">
      <c r="H6988" s="134"/>
    </row>
    <row r="6989" spans="8:8" x14ac:dyDescent="0.25">
      <c r="H6989" s="134"/>
    </row>
    <row r="6990" spans="8:8" x14ac:dyDescent="0.25">
      <c r="H6990" s="134"/>
    </row>
    <row r="6991" spans="8:8" x14ac:dyDescent="0.25">
      <c r="H6991" s="134"/>
    </row>
    <row r="6992" spans="8:8" x14ac:dyDescent="0.25">
      <c r="H6992" s="134"/>
    </row>
    <row r="6993" spans="8:8" x14ac:dyDescent="0.25">
      <c r="H6993" s="134"/>
    </row>
    <row r="6994" spans="8:8" x14ac:dyDescent="0.25">
      <c r="H6994" s="134"/>
    </row>
    <row r="6995" spans="8:8" x14ac:dyDescent="0.25">
      <c r="H6995" s="134"/>
    </row>
    <row r="6996" spans="8:8" x14ac:dyDescent="0.25">
      <c r="H6996" s="134"/>
    </row>
    <row r="6997" spans="8:8" x14ac:dyDescent="0.25">
      <c r="H6997" s="134"/>
    </row>
    <row r="6998" spans="8:8" x14ac:dyDescent="0.25">
      <c r="H6998" s="134"/>
    </row>
    <row r="6999" spans="8:8" x14ac:dyDescent="0.25">
      <c r="H6999" s="134"/>
    </row>
    <row r="7000" spans="8:8" x14ac:dyDescent="0.25">
      <c r="H7000" s="134"/>
    </row>
    <row r="7001" spans="8:8" x14ac:dyDescent="0.25">
      <c r="H7001" s="134"/>
    </row>
    <row r="7002" spans="8:8" x14ac:dyDescent="0.25">
      <c r="H7002" s="134"/>
    </row>
    <row r="7003" spans="8:8" x14ac:dyDescent="0.25">
      <c r="H7003" s="134"/>
    </row>
    <row r="7004" spans="8:8" x14ac:dyDescent="0.25">
      <c r="H7004" s="134"/>
    </row>
    <row r="7005" spans="8:8" x14ac:dyDescent="0.25">
      <c r="H7005" s="134"/>
    </row>
    <row r="7006" spans="8:8" x14ac:dyDescent="0.25">
      <c r="H7006" s="134"/>
    </row>
    <row r="7007" spans="8:8" x14ac:dyDescent="0.25">
      <c r="H7007" s="134"/>
    </row>
    <row r="7008" spans="8:8" x14ac:dyDescent="0.25">
      <c r="H7008" s="134"/>
    </row>
    <row r="7009" spans="8:8" x14ac:dyDescent="0.25">
      <c r="H7009" s="134"/>
    </row>
    <row r="7010" spans="8:8" x14ac:dyDescent="0.25">
      <c r="H7010" s="134"/>
    </row>
    <row r="7011" spans="8:8" x14ac:dyDescent="0.25">
      <c r="H7011" s="134"/>
    </row>
    <row r="7012" spans="8:8" x14ac:dyDescent="0.25">
      <c r="H7012" s="134"/>
    </row>
    <row r="7013" spans="8:8" x14ac:dyDescent="0.25">
      <c r="H7013" s="134"/>
    </row>
    <row r="7014" spans="8:8" x14ac:dyDescent="0.25">
      <c r="H7014" s="134"/>
    </row>
    <row r="7015" spans="8:8" x14ac:dyDescent="0.25">
      <c r="H7015" s="134"/>
    </row>
    <row r="7016" spans="8:8" x14ac:dyDescent="0.25">
      <c r="H7016" s="134"/>
    </row>
    <row r="7017" spans="8:8" x14ac:dyDescent="0.25">
      <c r="H7017" s="134"/>
    </row>
    <row r="7018" spans="8:8" x14ac:dyDescent="0.25">
      <c r="H7018" s="134"/>
    </row>
    <row r="7019" spans="8:8" x14ac:dyDescent="0.25">
      <c r="H7019" s="134"/>
    </row>
    <row r="7020" spans="8:8" x14ac:dyDescent="0.25">
      <c r="H7020" s="134"/>
    </row>
    <row r="7021" spans="8:8" x14ac:dyDescent="0.25">
      <c r="H7021" s="134"/>
    </row>
    <row r="7022" spans="8:8" x14ac:dyDescent="0.25">
      <c r="H7022" s="134"/>
    </row>
    <row r="7023" spans="8:8" x14ac:dyDescent="0.25">
      <c r="H7023" s="134"/>
    </row>
    <row r="7024" spans="8:8" x14ac:dyDescent="0.25">
      <c r="H7024" s="134"/>
    </row>
    <row r="7025" spans="8:8" x14ac:dyDescent="0.25">
      <c r="H7025" s="134"/>
    </row>
    <row r="7026" spans="8:8" x14ac:dyDescent="0.25">
      <c r="H7026" s="134"/>
    </row>
    <row r="7027" spans="8:8" x14ac:dyDescent="0.25">
      <c r="H7027" s="134"/>
    </row>
    <row r="7028" spans="8:8" x14ac:dyDescent="0.25">
      <c r="H7028" s="134"/>
    </row>
    <row r="7029" spans="8:8" x14ac:dyDescent="0.25">
      <c r="H7029" s="134"/>
    </row>
    <row r="7030" spans="8:8" x14ac:dyDescent="0.25">
      <c r="H7030" s="134"/>
    </row>
    <row r="7031" spans="8:8" x14ac:dyDescent="0.25">
      <c r="H7031" s="134"/>
    </row>
    <row r="7032" spans="8:8" x14ac:dyDescent="0.25">
      <c r="H7032" s="134"/>
    </row>
    <row r="7033" spans="8:8" x14ac:dyDescent="0.25">
      <c r="H7033" s="134"/>
    </row>
    <row r="7034" spans="8:8" x14ac:dyDescent="0.25">
      <c r="H7034" s="134"/>
    </row>
    <row r="7035" spans="8:8" x14ac:dyDescent="0.25">
      <c r="H7035" s="134"/>
    </row>
    <row r="7036" spans="8:8" x14ac:dyDescent="0.25">
      <c r="H7036" s="134"/>
    </row>
    <row r="7037" spans="8:8" x14ac:dyDescent="0.25">
      <c r="H7037" s="134"/>
    </row>
    <row r="7038" spans="8:8" x14ac:dyDescent="0.25">
      <c r="H7038" s="134"/>
    </row>
    <row r="7039" spans="8:8" x14ac:dyDescent="0.25">
      <c r="H7039" s="134"/>
    </row>
    <row r="7040" spans="8:8" x14ac:dyDescent="0.25">
      <c r="H7040" s="134"/>
    </row>
    <row r="7041" spans="8:8" x14ac:dyDescent="0.25">
      <c r="H7041" s="134"/>
    </row>
    <row r="7042" spans="8:8" x14ac:dyDescent="0.25">
      <c r="H7042" s="134"/>
    </row>
    <row r="7043" spans="8:8" x14ac:dyDescent="0.25">
      <c r="H7043" s="134"/>
    </row>
    <row r="7044" spans="8:8" x14ac:dyDescent="0.25">
      <c r="H7044" s="134"/>
    </row>
    <row r="7045" spans="8:8" x14ac:dyDescent="0.25">
      <c r="H7045" s="134"/>
    </row>
    <row r="7046" spans="8:8" x14ac:dyDescent="0.25">
      <c r="H7046" s="134"/>
    </row>
    <row r="7047" spans="8:8" x14ac:dyDescent="0.25">
      <c r="H7047" s="134"/>
    </row>
    <row r="7048" spans="8:8" x14ac:dyDescent="0.25">
      <c r="H7048" s="134"/>
    </row>
    <row r="7049" spans="8:8" x14ac:dyDescent="0.25">
      <c r="H7049" s="134"/>
    </row>
    <row r="7050" spans="8:8" x14ac:dyDescent="0.25">
      <c r="H7050" s="134"/>
    </row>
    <row r="7051" spans="8:8" x14ac:dyDescent="0.25">
      <c r="H7051" s="134"/>
    </row>
    <row r="7052" spans="8:8" x14ac:dyDescent="0.25">
      <c r="H7052" s="134"/>
    </row>
    <row r="7053" spans="8:8" x14ac:dyDescent="0.25">
      <c r="H7053" s="134"/>
    </row>
    <row r="7054" spans="8:8" x14ac:dyDescent="0.25">
      <c r="H7054" s="134"/>
    </row>
    <row r="7055" spans="8:8" x14ac:dyDescent="0.25">
      <c r="H7055" s="134"/>
    </row>
    <row r="7056" spans="8:8" x14ac:dyDescent="0.25">
      <c r="H7056" s="134"/>
    </row>
    <row r="7057" spans="8:8" x14ac:dyDescent="0.25">
      <c r="H7057" s="134"/>
    </row>
    <row r="7058" spans="8:8" x14ac:dyDescent="0.25">
      <c r="H7058" s="134"/>
    </row>
    <row r="7059" spans="8:8" x14ac:dyDescent="0.25">
      <c r="H7059" s="134"/>
    </row>
    <row r="7060" spans="8:8" x14ac:dyDescent="0.25">
      <c r="H7060" s="134"/>
    </row>
    <row r="7061" spans="8:8" x14ac:dyDescent="0.25">
      <c r="H7061" s="134"/>
    </row>
    <row r="7062" spans="8:8" x14ac:dyDescent="0.25">
      <c r="H7062" s="134"/>
    </row>
    <row r="7063" spans="8:8" x14ac:dyDescent="0.25">
      <c r="H7063" s="134"/>
    </row>
    <row r="7064" spans="8:8" x14ac:dyDescent="0.25">
      <c r="H7064" s="134"/>
    </row>
    <row r="7065" spans="8:8" x14ac:dyDescent="0.25">
      <c r="H7065" s="134"/>
    </row>
    <row r="7066" spans="8:8" x14ac:dyDescent="0.25">
      <c r="H7066" s="134"/>
    </row>
    <row r="7067" spans="8:8" x14ac:dyDescent="0.25">
      <c r="H7067" s="134"/>
    </row>
    <row r="7068" spans="8:8" x14ac:dyDescent="0.25">
      <c r="H7068" s="134"/>
    </row>
    <row r="7069" spans="8:8" x14ac:dyDescent="0.25">
      <c r="H7069" s="134"/>
    </row>
    <row r="7070" spans="8:8" x14ac:dyDescent="0.25">
      <c r="H7070" s="134"/>
    </row>
    <row r="7071" spans="8:8" x14ac:dyDescent="0.25">
      <c r="H7071" s="134"/>
    </row>
    <row r="7072" spans="8:8" x14ac:dyDescent="0.25">
      <c r="H7072" s="134"/>
    </row>
    <row r="7073" spans="8:8" x14ac:dyDescent="0.25">
      <c r="H7073" s="134"/>
    </row>
    <row r="7074" spans="8:8" x14ac:dyDescent="0.25">
      <c r="H7074" s="134"/>
    </row>
    <row r="7075" spans="8:8" x14ac:dyDescent="0.25">
      <c r="H7075" s="134"/>
    </row>
    <row r="7076" spans="8:8" x14ac:dyDescent="0.25">
      <c r="H7076" s="134"/>
    </row>
    <row r="7077" spans="8:8" x14ac:dyDescent="0.25">
      <c r="H7077" s="134"/>
    </row>
    <row r="7078" spans="8:8" x14ac:dyDescent="0.25">
      <c r="H7078" s="134"/>
    </row>
    <row r="7079" spans="8:8" x14ac:dyDescent="0.25">
      <c r="H7079" s="134"/>
    </row>
    <row r="7080" spans="8:8" x14ac:dyDescent="0.25">
      <c r="H7080" s="134"/>
    </row>
    <row r="7081" spans="8:8" x14ac:dyDescent="0.25">
      <c r="H7081" s="134"/>
    </row>
    <row r="7082" spans="8:8" x14ac:dyDescent="0.25">
      <c r="H7082" s="134"/>
    </row>
    <row r="7083" spans="8:8" x14ac:dyDescent="0.25">
      <c r="H7083" s="134"/>
    </row>
    <row r="7084" spans="8:8" x14ac:dyDescent="0.25">
      <c r="H7084" s="134"/>
    </row>
    <row r="7085" spans="8:8" x14ac:dyDescent="0.25">
      <c r="H7085" s="134"/>
    </row>
    <row r="7086" spans="8:8" x14ac:dyDescent="0.25">
      <c r="H7086" s="134"/>
    </row>
    <row r="7087" spans="8:8" x14ac:dyDescent="0.25">
      <c r="H7087" s="134"/>
    </row>
    <row r="7088" spans="8:8" x14ac:dyDescent="0.25">
      <c r="H7088" s="134"/>
    </row>
    <row r="7089" spans="8:8" x14ac:dyDescent="0.25">
      <c r="H7089" s="134"/>
    </row>
    <row r="7090" spans="8:8" x14ac:dyDescent="0.25">
      <c r="H7090" s="134"/>
    </row>
    <row r="7091" spans="8:8" x14ac:dyDescent="0.25">
      <c r="H7091" s="134"/>
    </row>
    <row r="7092" spans="8:8" x14ac:dyDescent="0.25">
      <c r="H7092" s="134"/>
    </row>
    <row r="7093" spans="8:8" x14ac:dyDescent="0.25">
      <c r="H7093" s="134"/>
    </row>
    <row r="7094" spans="8:8" x14ac:dyDescent="0.25">
      <c r="H7094" s="134"/>
    </row>
    <row r="7095" spans="8:8" x14ac:dyDescent="0.25">
      <c r="H7095" s="134"/>
    </row>
    <row r="7096" spans="8:8" x14ac:dyDescent="0.25">
      <c r="H7096" s="134"/>
    </row>
    <row r="7097" spans="8:8" x14ac:dyDescent="0.25">
      <c r="H7097" s="134"/>
    </row>
    <row r="7098" spans="8:8" x14ac:dyDescent="0.25">
      <c r="H7098" s="134"/>
    </row>
    <row r="7099" spans="8:8" x14ac:dyDescent="0.25">
      <c r="H7099" s="134"/>
    </row>
    <row r="7100" spans="8:8" x14ac:dyDescent="0.25">
      <c r="H7100" s="134"/>
    </row>
    <row r="7101" spans="8:8" x14ac:dyDescent="0.25">
      <c r="H7101" s="134"/>
    </row>
    <row r="7102" spans="8:8" x14ac:dyDescent="0.25">
      <c r="H7102" s="134"/>
    </row>
    <row r="7103" spans="8:8" x14ac:dyDescent="0.25">
      <c r="H7103" s="134"/>
    </row>
    <row r="7104" spans="8:8" x14ac:dyDescent="0.25">
      <c r="H7104" s="134"/>
    </row>
    <row r="7105" spans="8:8" x14ac:dyDescent="0.25">
      <c r="H7105" s="134"/>
    </row>
    <row r="7106" spans="8:8" x14ac:dyDescent="0.25">
      <c r="H7106" s="134"/>
    </row>
    <row r="7107" spans="8:8" x14ac:dyDescent="0.25">
      <c r="H7107" s="134"/>
    </row>
    <row r="7108" spans="8:8" x14ac:dyDescent="0.25">
      <c r="H7108" s="134"/>
    </row>
    <row r="7109" spans="8:8" x14ac:dyDescent="0.25">
      <c r="H7109" s="134"/>
    </row>
    <row r="7110" spans="8:8" x14ac:dyDescent="0.25">
      <c r="H7110" s="134"/>
    </row>
    <row r="7111" spans="8:8" x14ac:dyDescent="0.25">
      <c r="H7111" s="134"/>
    </row>
    <row r="7112" spans="8:8" x14ac:dyDescent="0.25">
      <c r="H7112" s="134"/>
    </row>
    <row r="7113" spans="8:8" x14ac:dyDescent="0.25">
      <c r="H7113" s="134"/>
    </row>
    <row r="7114" spans="8:8" x14ac:dyDescent="0.25">
      <c r="H7114" s="134"/>
    </row>
    <row r="7115" spans="8:8" x14ac:dyDescent="0.25">
      <c r="H7115" s="134"/>
    </row>
    <row r="7116" spans="8:8" x14ac:dyDescent="0.25">
      <c r="H7116" s="134"/>
    </row>
    <row r="7117" spans="8:8" x14ac:dyDescent="0.25">
      <c r="H7117" s="134"/>
    </row>
    <row r="7118" spans="8:8" x14ac:dyDescent="0.25">
      <c r="H7118" s="134"/>
    </row>
    <row r="7119" spans="8:8" x14ac:dyDescent="0.25">
      <c r="H7119" s="134"/>
    </row>
    <row r="7120" spans="8:8" x14ac:dyDescent="0.25">
      <c r="H7120" s="134"/>
    </row>
    <row r="7121" spans="8:8" x14ac:dyDescent="0.25">
      <c r="H7121" s="134"/>
    </row>
    <row r="7122" spans="8:8" x14ac:dyDescent="0.25">
      <c r="H7122" s="134"/>
    </row>
    <row r="7123" spans="8:8" x14ac:dyDescent="0.25">
      <c r="H7123" s="134"/>
    </row>
    <row r="7124" spans="8:8" x14ac:dyDescent="0.25">
      <c r="H7124" s="134"/>
    </row>
    <row r="7125" spans="8:8" x14ac:dyDescent="0.25">
      <c r="H7125" s="134"/>
    </row>
    <row r="7126" spans="8:8" x14ac:dyDescent="0.25">
      <c r="H7126" s="134"/>
    </row>
    <row r="7127" spans="8:8" x14ac:dyDescent="0.25">
      <c r="H7127" s="134"/>
    </row>
    <row r="7128" spans="8:8" x14ac:dyDescent="0.25">
      <c r="H7128" s="134"/>
    </row>
    <row r="7129" spans="8:8" x14ac:dyDescent="0.25">
      <c r="H7129" s="134"/>
    </row>
    <row r="7130" spans="8:8" x14ac:dyDescent="0.25">
      <c r="H7130" s="134"/>
    </row>
    <row r="7131" spans="8:8" x14ac:dyDescent="0.25">
      <c r="H7131" s="134"/>
    </row>
    <row r="7132" spans="8:8" x14ac:dyDescent="0.25">
      <c r="H7132" s="134"/>
    </row>
    <row r="7133" spans="8:8" x14ac:dyDescent="0.25">
      <c r="H7133" s="134"/>
    </row>
    <row r="7134" spans="8:8" x14ac:dyDescent="0.25">
      <c r="H7134" s="134"/>
    </row>
    <row r="7135" spans="8:8" x14ac:dyDescent="0.25">
      <c r="H7135" s="134"/>
    </row>
    <row r="7136" spans="8:8" x14ac:dyDescent="0.25">
      <c r="H7136" s="134"/>
    </row>
    <row r="7137" spans="8:8" x14ac:dyDescent="0.25">
      <c r="H7137" s="134"/>
    </row>
    <row r="7138" spans="8:8" x14ac:dyDescent="0.25">
      <c r="H7138" s="134"/>
    </row>
    <row r="7139" spans="8:8" x14ac:dyDescent="0.25">
      <c r="H7139" s="134"/>
    </row>
    <row r="7140" spans="8:8" x14ac:dyDescent="0.25">
      <c r="H7140" s="134"/>
    </row>
    <row r="7141" spans="8:8" x14ac:dyDescent="0.25">
      <c r="H7141" s="134"/>
    </row>
    <row r="7142" spans="8:8" x14ac:dyDescent="0.25">
      <c r="H7142" s="134"/>
    </row>
    <row r="7143" spans="8:8" x14ac:dyDescent="0.25">
      <c r="H7143" s="134"/>
    </row>
    <row r="7144" spans="8:8" x14ac:dyDescent="0.25">
      <c r="H7144" s="134"/>
    </row>
    <row r="7145" spans="8:8" x14ac:dyDescent="0.25">
      <c r="H7145" s="134"/>
    </row>
    <row r="7146" spans="8:8" x14ac:dyDescent="0.25">
      <c r="H7146" s="134"/>
    </row>
    <row r="7147" spans="8:8" x14ac:dyDescent="0.25">
      <c r="H7147" s="134"/>
    </row>
    <row r="7148" spans="8:8" x14ac:dyDescent="0.25">
      <c r="H7148" s="134"/>
    </row>
    <row r="7149" spans="8:8" x14ac:dyDescent="0.25">
      <c r="H7149" s="134"/>
    </row>
    <row r="7150" spans="8:8" x14ac:dyDescent="0.25">
      <c r="H7150" s="134"/>
    </row>
    <row r="7151" spans="8:8" x14ac:dyDescent="0.25">
      <c r="H7151" s="134"/>
    </row>
    <row r="7152" spans="8:8" x14ac:dyDescent="0.25">
      <c r="H7152" s="134"/>
    </row>
    <row r="7153" spans="8:8" x14ac:dyDescent="0.25">
      <c r="H7153" s="134"/>
    </row>
    <row r="7154" spans="8:8" x14ac:dyDescent="0.25">
      <c r="H7154" s="134"/>
    </row>
    <row r="7155" spans="8:8" x14ac:dyDescent="0.25">
      <c r="H7155" s="134"/>
    </row>
    <row r="7156" spans="8:8" x14ac:dyDescent="0.25">
      <c r="H7156" s="134"/>
    </row>
    <row r="7157" spans="8:8" x14ac:dyDescent="0.25">
      <c r="H7157" s="134"/>
    </row>
    <row r="7158" spans="8:8" x14ac:dyDescent="0.25">
      <c r="H7158" s="134"/>
    </row>
    <row r="7159" spans="8:8" x14ac:dyDescent="0.25">
      <c r="H7159" s="134"/>
    </row>
    <row r="7160" spans="8:8" x14ac:dyDescent="0.25">
      <c r="H7160" s="134"/>
    </row>
    <row r="7161" spans="8:8" x14ac:dyDescent="0.25">
      <c r="H7161" s="134"/>
    </row>
    <row r="7162" spans="8:8" x14ac:dyDescent="0.25">
      <c r="H7162" s="134"/>
    </row>
    <row r="7163" spans="8:8" x14ac:dyDescent="0.25">
      <c r="H7163" s="134"/>
    </row>
    <row r="7164" spans="8:8" x14ac:dyDescent="0.25">
      <c r="H7164" s="134"/>
    </row>
    <row r="7165" spans="8:8" x14ac:dyDescent="0.25">
      <c r="H7165" s="134"/>
    </row>
    <row r="7166" spans="8:8" x14ac:dyDescent="0.25">
      <c r="H7166" s="134"/>
    </row>
    <row r="7167" spans="8:8" x14ac:dyDescent="0.25">
      <c r="H7167" s="134"/>
    </row>
    <row r="7168" spans="8:8" x14ac:dyDescent="0.25">
      <c r="H7168" s="134"/>
    </row>
    <row r="7169" spans="8:8" x14ac:dyDescent="0.25">
      <c r="H7169" s="134"/>
    </row>
    <row r="7170" spans="8:8" x14ac:dyDescent="0.25">
      <c r="H7170" s="134"/>
    </row>
    <row r="7171" spans="8:8" x14ac:dyDescent="0.25">
      <c r="H7171" s="134"/>
    </row>
    <row r="7172" spans="8:8" x14ac:dyDescent="0.25">
      <c r="H7172" s="134"/>
    </row>
    <row r="7173" spans="8:8" x14ac:dyDescent="0.25">
      <c r="H7173" s="134"/>
    </row>
    <row r="7174" spans="8:8" x14ac:dyDescent="0.25">
      <c r="H7174" s="134"/>
    </row>
    <row r="7175" spans="8:8" x14ac:dyDescent="0.25">
      <c r="H7175" s="134"/>
    </row>
    <row r="7176" spans="8:8" x14ac:dyDescent="0.25">
      <c r="H7176" s="134"/>
    </row>
    <row r="7177" spans="8:8" x14ac:dyDescent="0.25">
      <c r="H7177" s="134"/>
    </row>
    <row r="7178" spans="8:8" x14ac:dyDescent="0.25">
      <c r="H7178" s="134"/>
    </row>
    <row r="7179" spans="8:8" x14ac:dyDescent="0.25">
      <c r="H7179" s="134"/>
    </row>
    <row r="7180" spans="8:8" x14ac:dyDescent="0.25">
      <c r="H7180" s="134"/>
    </row>
    <row r="7181" spans="8:8" x14ac:dyDescent="0.25">
      <c r="H7181" s="134"/>
    </row>
    <row r="7182" spans="8:8" x14ac:dyDescent="0.25">
      <c r="H7182" s="134"/>
    </row>
    <row r="7183" spans="8:8" x14ac:dyDescent="0.25">
      <c r="H7183" s="134"/>
    </row>
    <row r="7184" spans="8:8" x14ac:dyDescent="0.25">
      <c r="H7184" s="134"/>
    </row>
    <row r="7185" spans="8:8" x14ac:dyDescent="0.25">
      <c r="H7185" s="134"/>
    </row>
    <row r="7186" spans="8:8" x14ac:dyDescent="0.25">
      <c r="H7186" s="134"/>
    </row>
    <row r="7187" spans="8:8" x14ac:dyDescent="0.25">
      <c r="H7187" s="134"/>
    </row>
    <row r="7188" spans="8:8" x14ac:dyDescent="0.25">
      <c r="H7188" s="134"/>
    </row>
    <row r="7189" spans="8:8" x14ac:dyDescent="0.25">
      <c r="H7189" s="134"/>
    </row>
    <row r="7190" spans="8:8" x14ac:dyDescent="0.25">
      <c r="H7190" s="134"/>
    </row>
    <row r="7191" spans="8:8" x14ac:dyDescent="0.25">
      <c r="H7191" s="134"/>
    </row>
    <row r="7192" spans="8:8" x14ac:dyDescent="0.25">
      <c r="H7192" s="134"/>
    </row>
    <row r="7193" spans="8:8" x14ac:dyDescent="0.25">
      <c r="H7193" s="134"/>
    </row>
    <row r="7194" spans="8:8" x14ac:dyDescent="0.25">
      <c r="H7194" s="134"/>
    </row>
    <row r="7195" spans="8:8" x14ac:dyDescent="0.25">
      <c r="H7195" s="134"/>
    </row>
    <row r="7196" spans="8:8" x14ac:dyDescent="0.25">
      <c r="H7196" s="134"/>
    </row>
    <row r="7197" spans="8:8" x14ac:dyDescent="0.25">
      <c r="H7197" s="134"/>
    </row>
    <row r="7198" spans="8:8" x14ac:dyDescent="0.25">
      <c r="H7198" s="134"/>
    </row>
    <row r="7199" spans="8:8" x14ac:dyDescent="0.25">
      <c r="H7199" s="134"/>
    </row>
    <row r="7200" spans="8:8" x14ac:dyDescent="0.25">
      <c r="H7200" s="134"/>
    </row>
    <row r="7201" spans="8:8" x14ac:dyDescent="0.25">
      <c r="H7201" s="134"/>
    </row>
    <row r="7202" spans="8:8" x14ac:dyDescent="0.25">
      <c r="H7202" s="134"/>
    </row>
    <row r="7203" spans="8:8" x14ac:dyDescent="0.25">
      <c r="H7203" s="134"/>
    </row>
    <row r="7204" spans="8:8" x14ac:dyDescent="0.25">
      <c r="H7204" s="134"/>
    </row>
    <row r="7205" spans="8:8" x14ac:dyDescent="0.25">
      <c r="H7205" s="134"/>
    </row>
    <row r="7206" spans="8:8" x14ac:dyDescent="0.25">
      <c r="H7206" s="134"/>
    </row>
    <row r="7207" spans="8:8" x14ac:dyDescent="0.25">
      <c r="H7207" s="134"/>
    </row>
    <row r="7208" spans="8:8" x14ac:dyDescent="0.25">
      <c r="H7208" s="134"/>
    </row>
    <row r="7209" spans="8:8" x14ac:dyDescent="0.25">
      <c r="H7209" s="134"/>
    </row>
    <row r="7210" spans="8:8" x14ac:dyDescent="0.25">
      <c r="H7210" s="134"/>
    </row>
    <row r="7211" spans="8:8" x14ac:dyDescent="0.25">
      <c r="H7211" s="134"/>
    </row>
    <row r="7212" spans="8:8" x14ac:dyDescent="0.25">
      <c r="H7212" s="134"/>
    </row>
    <row r="7213" spans="8:8" x14ac:dyDescent="0.25">
      <c r="H7213" s="134"/>
    </row>
    <row r="7214" spans="8:8" x14ac:dyDescent="0.25">
      <c r="H7214" s="134"/>
    </row>
    <row r="7215" spans="8:8" x14ac:dyDescent="0.25">
      <c r="H7215" s="134"/>
    </row>
    <row r="7216" spans="8:8" x14ac:dyDescent="0.25">
      <c r="H7216" s="134"/>
    </row>
    <row r="7217" spans="8:8" x14ac:dyDescent="0.25">
      <c r="H7217" s="134"/>
    </row>
    <row r="7218" spans="8:8" x14ac:dyDescent="0.25">
      <c r="H7218" s="134"/>
    </row>
    <row r="7219" spans="8:8" x14ac:dyDescent="0.25">
      <c r="H7219" s="134"/>
    </row>
    <row r="7220" spans="8:8" x14ac:dyDescent="0.25">
      <c r="H7220" s="134"/>
    </row>
    <row r="7221" spans="8:8" x14ac:dyDescent="0.25">
      <c r="H7221" s="134"/>
    </row>
    <row r="7222" spans="8:8" x14ac:dyDescent="0.25">
      <c r="H7222" s="134"/>
    </row>
    <row r="7223" spans="8:8" x14ac:dyDescent="0.25">
      <c r="H7223" s="134"/>
    </row>
    <row r="7224" spans="8:8" x14ac:dyDescent="0.25">
      <c r="H7224" s="134"/>
    </row>
    <row r="7225" spans="8:8" x14ac:dyDescent="0.25">
      <c r="H7225" s="134"/>
    </row>
    <row r="7226" spans="8:8" x14ac:dyDescent="0.25">
      <c r="H7226" s="134"/>
    </row>
    <row r="7227" spans="8:8" x14ac:dyDescent="0.25">
      <c r="H7227" s="134"/>
    </row>
    <row r="7228" spans="8:8" x14ac:dyDescent="0.25">
      <c r="H7228" s="134"/>
    </row>
    <row r="7229" spans="8:8" x14ac:dyDescent="0.25">
      <c r="H7229" s="134"/>
    </row>
    <row r="7230" spans="8:8" x14ac:dyDescent="0.25">
      <c r="H7230" s="134"/>
    </row>
    <row r="7231" spans="8:8" x14ac:dyDescent="0.25">
      <c r="H7231" s="134"/>
    </row>
    <row r="7232" spans="8:8" x14ac:dyDescent="0.25">
      <c r="H7232" s="134"/>
    </row>
    <row r="7233" spans="8:8" x14ac:dyDescent="0.25">
      <c r="H7233" s="134"/>
    </row>
    <row r="7234" spans="8:8" x14ac:dyDescent="0.25">
      <c r="H7234" s="134"/>
    </row>
    <row r="7235" spans="8:8" x14ac:dyDescent="0.25">
      <c r="H7235" s="134"/>
    </row>
    <row r="7236" spans="8:8" x14ac:dyDescent="0.25">
      <c r="H7236" s="134"/>
    </row>
    <row r="7237" spans="8:8" x14ac:dyDescent="0.25">
      <c r="H7237" s="134"/>
    </row>
    <row r="7238" spans="8:8" x14ac:dyDescent="0.25">
      <c r="H7238" s="134"/>
    </row>
    <row r="7239" spans="8:8" x14ac:dyDescent="0.25">
      <c r="H7239" s="134"/>
    </row>
    <row r="7240" spans="8:8" x14ac:dyDescent="0.25">
      <c r="H7240" s="134"/>
    </row>
    <row r="7241" spans="8:8" x14ac:dyDescent="0.25">
      <c r="H7241" s="134"/>
    </row>
    <row r="7242" spans="8:8" x14ac:dyDescent="0.25">
      <c r="H7242" s="134"/>
    </row>
    <row r="7243" spans="8:8" x14ac:dyDescent="0.25">
      <c r="H7243" s="134"/>
    </row>
    <row r="7244" spans="8:8" x14ac:dyDescent="0.25">
      <c r="H7244" s="134"/>
    </row>
    <row r="7245" spans="8:8" x14ac:dyDescent="0.25">
      <c r="H7245" s="134"/>
    </row>
    <row r="7246" spans="8:8" x14ac:dyDescent="0.25">
      <c r="H7246" s="134"/>
    </row>
    <row r="7247" spans="8:8" x14ac:dyDescent="0.25">
      <c r="H7247" s="134"/>
    </row>
    <row r="7248" spans="8:8" x14ac:dyDescent="0.25">
      <c r="H7248" s="134"/>
    </row>
    <row r="7249" spans="8:8" x14ac:dyDescent="0.25">
      <c r="H7249" s="134"/>
    </row>
    <row r="7250" spans="8:8" x14ac:dyDescent="0.25">
      <c r="H7250" s="134"/>
    </row>
    <row r="7251" spans="8:8" x14ac:dyDescent="0.25">
      <c r="H7251" s="134"/>
    </row>
    <row r="7252" spans="8:8" x14ac:dyDescent="0.25">
      <c r="H7252" s="134"/>
    </row>
    <row r="7253" spans="8:8" x14ac:dyDescent="0.25">
      <c r="H7253" s="134"/>
    </row>
    <row r="7254" spans="8:8" x14ac:dyDescent="0.25">
      <c r="H7254" s="134"/>
    </row>
    <row r="7255" spans="8:8" x14ac:dyDescent="0.25">
      <c r="H7255" s="134"/>
    </row>
    <row r="7256" spans="8:8" x14ac:dyDescent="0.25">
      <c r="H7256" s="134"/>
    </row>
    <row r="7257" spans="8:8" x14ac:dyDescent="0.25">
      <c r="H7257" s="134"/>
    </row>
    <row r="7258" spans="8:8" x14ac:dyDescent="0.25">
      <c r="H7258" s="134"/>
    </row>
    <row r="7259" spans="8:8" x14ac:dyDescent="0.25">
      <c r="H7259" s="134"/>
    </row>
    <row r="7260" spans="8:8" x14ac:dyDescent="0.25">
      <c r="H7260" s="134"/>
    </row>
    <row r="7261" spans="8:8" x14ac:dyDescent="0.25">
      <c r="H7261" s="134"/>
    </row>
    <row r="7262" spans="8:8" x14ac:dyDescent="0.25">
      <c r="H7262" s="134"/>
    </row>
    <row r="7263" spans="8:8" x14ac:dyDescent="0.25">
      <c r="H7263" s="134"/>
    </row>
    <row r="7264" spans="8:8" x14ac:dyDescent="0.25">
      <c r="H7264" s="134"/>
    </row>
    <row r="7265" spans="8:8" x14ac:dyDescent="0.25">
      <c r="H7265" s="134"/>
    </row>
    <row r="7266" spans="8:8" x14ac:dyDescent="0.25">
      <c r="H7266" s="134"/>
    </row>
    <row r="7267" spans="8:8" x14ac:dyDescent="0.25">
      <c r="H7267" s="134"/>
    </row>
    <row r="7268" spans="8:8" x14ac:dyDescent="0.25">
      <c r="H7268" s="134"/>
    </row>
    <row r="7269" spans="8:8" x14ac:dyDescent="0.25">
      <c r="H7269" s="134"/>
    </row>
    <row r="7270" spans="8:8" x14ac:dyDescent="0.25">
      <c r="H7270" s="134"/>
    </row>
    <row r="7271" spans="8:8" x14ac:dyDescent="0.25">
      <c r="H7271" s="134"/>
    </row>
    <row r="7272" spans="8:8" x14ac:dyDescent="0.25">
      <c r="H7272" s="134"/>
    </row>
    <row r="7273" spans="8:8" x14ac:dyDescent="0.25">
      <c r="H7273" s="134"/>
    </row>
    <row r="7274" spans="8:8" x14ac:dyDescent="0.25">
      <c r="H7274" s="134"/>
    </row>
    <row r="7275" spans="8:8" x14ac:dyDescent="0.25">
      <c r="H7275" s="134"/>
    </row>
    <row r="7276" spans="8:8" x14ac:dyDescent="0.25">
      <c r="H7276" s="134"/>
    </row>
    <row r="7277" spans="8:8" x14ac:dyDescent="0.25">
      <c r="H7277" s="134"/>
    </row>
    <row r="7278" spans="8:8" x14ac:dyDescent="0.25">
      <c r="H7278" s="134"/>
    </row>
    <row r="7279" spans="8:8" x14ac:dyDescent="0.25">
      <c r="H7279" s="134"/>
    </row>
    <row r="7280" spans="8:8" x14ac:dyDescent="0.25">
      <c r="H7280" s="134"/>
    </row>
    <row r="7281" spans="8:8" x14ac:dyDescent="0.25">
      <c r="H7281" s="134"/>
    </row>
    <row r="7282" spans="8:8" x14ac:dyDescent="0.25">
      <c r="H7282" s="134"/>
    </row>
    <row r="7283" spans="8:8" x14ac:dyDescent="0.25">
      <c r="H7283" s="134"/>
    </row>
    <row r="7284" spans="8:8" x14ac:dyDescent="0.25">
      <c r="H7284" s="134"/>
    </row>
    <row r="7285" spans="8:8" x14ac:dyDescent="0.25">
      <c r="H7285" s="134"/>
    </row>
    <row r="7286" spans="8:8" x14ac:dyDescent="0.25">
      <c r="H7286" s="134"/>
    </row>
    <row r="7287" spans="8:8" x14ac:dyDescent="0.25">
      <c r="H7287" s="134"/>
    </row>
    <row r="7288" spans="8:8" x14ac:dyDescent="0.25">
      <c r="H7288" s="134"/>
    </row>
    <row r="7289" spans="8:8" x14ac:dyDescent="0.25">
      <c r="H7289" s="134"/>
    </row>
    <row r="7290" spans="8:8" x14ac:dyDescent="0.25">
      <c r="H7290" s="134"/>
    </row>
    <row r="7291" spans="8:8" x14ac:dyDescent="0.25">
      <c r="H7291" s="134"/>
    </row>
    <row r="7292" spans="8:8" x14ac:dyDescent="0.25">
      <c r="H7292" s="134"/>
    </row>
    <row r="7293" spans="8:8" x14ac:dyDescent="0.25">
      <c r="H7293" s="134"/>
    </row>
    <row r="7294" spans="8:8" x14ac:dyDescent="0.25">
      <c r="H7294" s="134"/>
    </row>
    <row r="7295" spans="8:8" x14ac:dyDescent="0.25">
      <c r="H7295" s="134"/>
    </row>
    <row r="7296" spans="8:8" x14ac:dyDescent="0.25">
      <c r="H7296" s="134"/>
    </row>
    <row r="7297" spans="8:8" x14ac:dyDescent="0.25">
      <c r="H7297" s="134"/>
    </row>
    <row r="7298" spans="8:8" x14ac:dyDescent="0.25">
      <c r="H7298" s="134"/>
    </row>
    <row r="7299" spans="8:8" x14ac:dyDescent="0.25">
      <c r="H7299" s="134"/>
    </row>
    <row r="7300" spans="8:8" x14ac:dyDescent="0.25">
      <c r="H7300" s="134"/>
    </row>
    <row r="7301" spans="8:8" x14ac:dyDescent="0.25">
      <c r="H7301" s="134"/>
    </row>
    <row r="7302" spans="8:8" x14ac:dyDescent="0.25">
      <c r="H7302" s="134"/>
    </row>
    <row r="7303" spans="8:8" x14ac:dyDescent="0.25">
      <c r="H7303" s="134"/>
    </row>
    <row r="7304" spans="8:8" x14ac:dyDescent="0.25">
      <c r="H7304" s="134"/>
    </row>
    <row r="7305" spans="8:8" x14ac:dyDescent="0.25">
      <c r="H7305" s="134"/>
    </row>
    <row r="7306" spans="8:8" x14ac:dyDescent="0.25">
      <c r="H7306" s="134"/>
    </row>
    <row r="7307" spans="8:8" x14ac:dyDescent="0.25">
      <c r="H7307" s="134"/>
    </row>
    <row r="7308" spans="8:8" x14ac:dyDescent="0.25">
      <c r="H7308" s="134"/>
    </row>
    <row r="7309" spans="8:8" x14ac:dyDescent="0.25">
      <c r="H7309" s="134"/>
    </row>
    <row r="7310" spans="8:8" x14ac:dyDescent="0.25">
      <c r="H7310" s="134"/>
    </row>
    <row r="7311" spans="8:8" x14ac:dyDescent="0.25">
      <c r="H7311" s="134"/>
    </row>
    <row r="7312" spans="8:8" x14ac:dyDescent="0.25">
      <c r="H7312" s="134"/>
    </row>
    <row r="7313" spans="8:8" x14ac:dyDescent="0.25">
      <c r="H7313" s="134"/>
    </row>
    <row r="7314" spans="8:8" x14ac:dyDescent="0.25">
      <c r="H7314" s="134"/>
    </row>
    <row r="7315" spans="8:8" x14ac:dyDescent="0.25">
      <c r="H7315" s="134"/>
    </row>
    <row r="7316" spans="8:8" x14ac:dyDescent="0.25">
      <c r="H7316" s="134"/>
    </row>
    <row r="7317" spans="8:8" x14ac:dyDescent="0.25">
      <c r="H7317" s="134"/>
    </row>
    <row r="7318" spans="8:8" x14ac:dyDescent="0.25">
      <c r="H7318" s="134"/>
    </row>
    <row r="7319" spans="8:8" x14ac:dyDescent="0.25">
      <c r="H7319" s="134"/>
    </row>
    <row r="7320" spans="8:8" x14ac:dyDescent="0.25">
      <c r="H7320" s="134"/>
    </row>
    <row r="7321" spans="8:8" x14ac:dyDescent="0.25">
      <c r="H7321" s="134"/>
    </row>
    <row r="7322" spans="8:8" x14ac:dyDescent="0.25">
      <c r="H7322" s="134"/>
    </row>
    <row r="7323" spans="8:8" x14ac:dyDescent="0.25">
      <c r="H7323" s="134"/>
    </row>
    <row r="7324" spans="8:8" x14ac:dyDescent="0.25">
      <c r="H7324" s="134"/>
    </row>
    <row r="7325" spans="8:8" x14ac:dyDescent="0.25">
      <c r="H7325" s="134"/>
    </row>
    <row r="7326" spans="8:8" x14ac:dyDescent="0.25">
      <c r="H7326" s="134"/>
    </row>
    <row r="7327" spans="8:8" x14ac:dyDescent="0.25">
      <c r="H7327" s="134"/>
    </row>
    <row r="7328" spans="8:8" x14ac:dyDescent="0.25">
      <c r="H7328" s="134"/>
    </row>
    <row r="7329" spans="8:8" x14ac:dyDescent="0.25">
      <c r="H7329" s="134"/>
    </row>
    <row r="7330" spans="8:8" x14ac:dyDescent="0.25">
      <c r="H7330" s="134"/>
    </row>
    <row r="7331" spans="8:8" x14ac:dyDescent="0.25">
      <c r="H7331" s="134"/>
    </row>
    <row r="7332" spans="8:8" x14ac:dyDescent="0.25">
      <c r="H7332" s="134"/>
    </row>
    <row r="7333" spans="8:8" x14ac:dyDescent="0.25">
      <c r="H7333" s="134"/>
    </row>
    <row r="7334" spans="8:8" x14ac:dyDescent="0.25">
      <c r="H7334" s="134"/>
    </row>
    <row r="7335" spans="8:8" x14ac:dyDescent="0.25">
      <c r="H7335" s="134"/>
    </row>
    <row r="7336" spans="8:8" x14ac:dyDescent="0.25">
      <c r="H7336" s="134"/>
    </row>
    <row r="7337" spans="8:8" x14ac:dyDescent="0.25">
      <c r="H7337" s="134"/>
    </row>
    <row r="7338" spans="8:8" x14ac:dyDescent="0.25">
      <c r="H7338" s="134"/>
    </row>
    <row r="7339" spans="8:8" x14ac:dyDescent="0.25">
      <c r="H7339" s="134"/>
    </row>
    <row r="7340" spans="8:8" x14ac:dyDescent="0.25">
      <c r="H7340" s="134"/>
    </row>
    <row r="7341" spans="8:8" x14ac:dyDescent="0.25">
      <c r="H7341" s="134"/>
    </row>
    <row r="7342" spans="8:8" x14ac:dyDescent="0.25">
      <c r="H7342" s="134"/>
    </row>
    <row r="7343" spans="8:8" x14ac:dyDescent="0.25">
      <c r="H7343" s="134"/>
    </row>
    <row r="7344" spans="8:8" x14ac:dyDescent="0.25">
      <c r="H7344" s="134"/>
    </row>
    <row r="7345" spans="8:8" x14ac:dyDescent="0.25">
      <c r="H7345" s="134"/>
    </row>
    <row r="7346" spans="8:8" x14ac:dyDescent="0.25">
      <c r="H7346" s="134"/>
    </row>
    <row r="7347" spans="8:8" x14ac:dyDescent="0.25">
      <c r="H7347" s="134"/>
    </row>
    <row r="7348" spans="8:8" x14ac:dyDescent="0.25">
      <c r="H7348" s="134"/>
    </row>
    <row r="7349" spans="8:8" x14ac:dyDescent="0.25">
      <c r="H7349" s="134"/>
    </row>
    <row r="7350" spans="8:8" x14ac:dyDescent="0.25">
      <c r="H7350" s="134"/>
    </row>
    <row r="7351" spans="8:8" x14ac:dyDescent="0.25">
      <c r="H7351" s="134"/>
    </row>
    <row r="7352" spans="8:8" x14ac:dyDescent="0.25">
      <c r="H7352" s="134"/>
    </row>
    <row r="7353" spans="8:8" x14ac:dyDescent="0.25">
      <c r="H7353" s="134"/>
    </row>
    <row r="7354" spans="8:8" x14ac:dyDescent="0.25">
      <c r="H7354" s="134"/>
    </row>
    <row r="7355" spans="8:8" x14ac:dyDescent="0.25">
      <c r="H7355" s="134"/>
    </row>
    <row r="7356" spans="8:8" x14ac:dyDescent="0.25">
      <c r="H7356" s="134"/>
    </row>
    <row r="7357" spans="8:8" x14ac:dyDescent="0.25">
      <c r="H7357" s="134"/>
    </row>
    <row r="7358" spans="8:8" x14ac:dyDescent="0.25">
      <c r="H7358" s="134"/>
    </row>
    <row r="7359" spans="8:8" x14ac:dyDescent="0.25">
      <c r="H7359" s="134"/>
    </row>
    <row r="7360" spans="8:8" x14ac:dyDescent="0.25">
      <c r="H7360" s="134"/>
    </row>
    <row r="7361" spans="8:8" x14ac:dyDescent="0.25">
      <c r="H7361" s="134"/>
    </row>
    <row r="7362" spans="8:8" x14ac:dyDescent="0.25">
      <c r="H7362" s="134"/>
    </row>
    <row r="7363" spans="8:8" x14ac:dyDescent="0.25">
      <c r="H7363" s="134"/>
    </row>
    <row r="7364" spans="8:8" x14ac:dyDescent="0.25">
      <c r="H7364" s="134"/>
    </row>
    <row r="7365" spans="8:8" x14ac:dyDescent="0.25">
      <c r="H7365" s="134"/>
    </row>
    <row r="7366" spans="8:8" x14ac:dyDescent="0.25">
      <c r="H7366" s="134"/>
    </row>
    <row r="7367" spans="8:8" x14ac:dyDescent="0.25">
      <c r="H7367" s="134"/>
    </row>
    <row r="7368" spans="8:8" x14ac:dyDescent="0.25">
      <c r="H7368" s="134"/>
    </row>
    <row r="7369" spans="8:8" x14ac:dyDescent="0.25">
      <c r="H7369" s="134"/>
    </row>
    <row r="7370" spans="8:8" x14ac:dyDescent="0.25">
      <c r="H7370" s="134"/>
    </row>
    <row r="7371" spans="8:8" x14ac:dyDescent="0.25">
      <c r="H7371" s="134"/>
    </row>
    <row r="7372" spans="8:8" x14ac:dyDescent="0.25">
      <c r="H7372" s="134"/>
    </row>
    <row r="7373" spans="8:8" x14ac:dyDescent="0.25">
      <c r="H7373" s="134"/>
    </row>
    <row r="7374" spans="8:8" x14ac:dyDescent="0.25">
      <c r="H7374" s="134"/>
    </row>
    <row r="7375" spans="8:8" x14ac:dyDescent="0.25">
      <c r="H7375" s="134"/>
    </row>
    <row r="7376" spans="8:8" x14ac:dyDescent="0.25">
      <c r="H7376" s="134"/>
    </row>
    <row r="7377" spans="8:8" x14ac:dyDescent="0.25">
      <c r="H7377" s="134"/>
    </row>
    <row r="7378" spans="8:8" x14ac:dyDescent="0.25">
      <c r="H7378" s="134"/>
    </row>
    <row r="7379" spans="8:8" x14ac:dyDescent="0.25">
      <c r="H7379" s="134"/>
    </row>
    <row r="7380" spans="8:8" x14ac:dyDescent="0.25">
      <c r="H7380" s="134"/>
    </row>
    <row r="7381" spans="8:8" x14ac:dyDescent="0.25">
      <c r="H7381" s="134"/>
    </row>
    <row r="7382" spans="8:8" x14ac:dyDescent="0.25">
      <c r="H7382" s="134"/>
    </row>
    <row r="7383" spans="8:8" x14ac:dyDescent="0.25">
      <c r="H7383" s="134"/>
    </row>
    <row r="7384" spans="8:8" x14ac:dyDescent="0.25">
      <c r="H7384" s="134"/>
    </row>
    <row r="7385" spans="8:8" x14ac:dyDescent="0.25">
      <c r="H7385" s="134"/>
    </row>
    <row r="7386" spans="8:8" x14ac:dyDescent="0.25">
      <c r="H7386" s="134"/>
    </row>
    <row r="7387" spans="8:8" x14ac:dyDescent="0.25">
      <c r="H7387" s="134"/>
    </row>
    <row r="7388" spans="8:8" x14ac:dyDescent="0.25">
      <c r="H7388" s="134"/>
    </row>
    <row r="7389" spans="8:8" x14ac:dyDescent="0.25">
      <c r="H7389" s="134"/>
    </row>
    <row r="7390" spans="8:8" x14ac:dyDescent="0.25">
      <c r="H7390" s="134"/>
    </row>
    <row r="7391" spans="8:8" x14ac:dyDescent="0.25">
      <c r="H7391" s="134"/>
    </row>
    <row r="7392" spans="8:8" x14ac:dyDescent="0.25">
      <c r="H7392" s="134"/>
    </row>
    <row r="7393" spans="8:8" x14ac:dyDescent="0.25">
      <c r="H7393" s="134"/>
    </row>
    <row r="7394" spans="8:8" x14ac:dyDescent="0.25">
      <c r="H7394" s="134"/>
    </row>
    <row r="7395" spans="8:8" x14ac:dyDescent="0.25">
      <c r="H7395" s="134"/>
    </row>
    <row r="7396" spans="8:8" x14ac:dyDescent="0.25">
      <c r="H7396" s="134"/>
    </row>
    <row r="7397" spans="8:8" x14ac:dyDescent="0.25">
      <c r="H7397" s="134"/>
    </row>
    <row r="7398" spans="8:8" x14ac:dyDescent="0.25">
      <c r="H7398" s="134"/>
    </row>
    <row r="7399" spans="8:8" x14ac:dyDescent="0.25">
      <c r="H7399" s="134"/>
    </row>
    <row r="7400" spans="8:8" x14ac:dyDescent="0.25">
      <c r="H7400" s="134"/>
    </row>
    <row r="7401" spans="8:8" x14ac:dyDescent="0.25">
      <c r="H7401" s="134"/>
    </row>
    <row r="7402" spans="8:8" x14ac:dyDescent="0.25">
      <c r="H7402" s="134"/>
    </row>
    <row r="7403" spans="8:8" x14ac:dyDescent="0.25">
      <c r="H7403" s="134"/>
    </row>
    <row r="7404" spans="8:8" x14ac:dyDescent="0.25">
      <c r="H7404" s="134"/>
    </row>
    <row r="7405" spans="8:8" x14ac:dyDescent="0.25">
      <c r="H7405" s="134"/>
    </row>
    <row r="7406" spans="8:8" x14ac:dyDescent="0.25">
      <c r="H7406" s="134"/>
    </row>
    <row r="7407" spans="8:8" x14ac:dyDescent="0.25">
      <c r="H7407" s="134"/>
    </row>
    <row r="7408" spans="8:8" x14ac:dyDescent="0.25">
      <c r="H7408" s="134"/>
    </row>
    <row r="7409" spans="8:8" x14ac:dyDescent="0.25">
      <c r="H7409" s="134"/>
    </row>
    <row r="7410" spans="8:8" x14ac:dyDescent="0.25">
      <c r="H7410" s="134"/>
    </row>
    <row r="7411" spans="8:8" x14ac:dyDescent="0.25">
      <c r="H7411" s="134"/>
    </row>
    <row r="7412" spans="8:8" x14ac:dyDescent="0.25">
      <c r="H7412" s="134"/>
    </row>
    <row r="7413" spans="8:8" x14ac:dyDescent="0.25">
      <c r="H7413" s="134"/>
    </row>
    <row r="7414" spans="8:8" x14ac:dyDescent="0.25">
      <c r="H7414" s="134"/>
    </row>
    <row r="7415" spans="8:8" x14ac:dyDescent="0.25">
      <c r="H7415" s="134"/>
    </row>
    <row r="7416" spans="8:8" x14ac:dyDescent="0.25">
      <c r="H7416" s="134"/>
    </row>
    <row r="7417" spans="8:8" x14ac:dyDescent="0.25">
      <c r="H7417" s="134"/>
    </row>
    <row r="7418" spans="8:8" x14ac:dyDescent="0.25">
      <c r="H7418" s="134"/>
    </row>
    <row r="7419" spans="8:8" x14ac:dyDescent="0.25">
      <c r="H7419" s="134"/>
    </row>
    <row r="7420" spans="8:8" x14ac:dyDescent="0.25">
      <c r="H7420" s="134"/>
    </row>
    <row r="7421" spans="8:8" x14ac:dyDescent="0.25">
      <c r="H7421" s="134"/>
    </row>
    <row r="7422" spans="8:8" x14ac:dyDescent="0.25">
      <c r="H7422" s="134"/>
    </row>
    <row r="7423" spans="8:8" x14ac:dyDescent="0.25">
      <c r="H7423" s="134"/>
    </row>
    <row r="7424" spans="8:8" x14ac:dyDescent="0.25">
      <c r="H7424" s="134"/>
    </row>
    <row r="7425" spans="8:8" x14ac:dyDescent="0.25">
      <c r="H7425" s="134"/>
    </row>
    <row r="7426" spans="8:8" x14ac:dyDescent="0.25">
      <c r="H7426" s="134"/>
    </row>
    <row r="7427" spans="8:8" x14ac:dyDescent="0.25">
      <c r="H7427" s="134"/>
    </row>
    <row r="7428" spans="8:8" x14ac:dyDescent="0.25">
      <c r="H7428" s="134"/>
    </row>
    <row r="7429" spans="8:8" x14ac:dyDescent="0.25">
      <c r="H7429" s="134"/>
    </row>
    <row r="7430" spans="8:8" x14ac:dyDescent="0.25">
      <c r="H7430" s="134"/>
    </row>
    <row r="7431" spans="8:8" x14ac:dyDescent="0.25">
      <c r="H7431" s="134"/>
    </row>
    <row r="7432" spans="8:8" x14ac:dyDescent="0.25">
      <c r="H7432" s="134"/>
    </row>
    <row r="7433" spans="8:8" x14ac:dyDescent="0.25">
      <c r="H7433" s="134"/>
    </row>
    <row r="7434" spans="8:8" x14ac:dyDescent="0.25">
      <c r="H7434" s="134"/>
    </row>
    <row r="7435" spans="8:8" x14ac:dyDescent="0.25">
      <c r="H7435" s="134"/>
    </row>
    <row r="7436" spans="8:8" x14ac:dyDescent="0.25">
      <c r="H7436" s="134"/>
    </row>
    <row r="7437" spans="8:8" x14ac:dyDescent="0.25">
      <c r="H7437" s="134"/>
    </row>
    <row r="7438" spans="8:8" x14ac:dyDescent="0.25">
      <c r="H7438" s="134"/>
    </row>
    <row r="7439" spans="8:8" x14ac:dyDescent="0.25">
      <c r="H7439" s="134"/>
    </row>
    <row r="7440" spans="8:8" x14ac:dyDescent="0.25">
      <c r="H7440" s="134"/>
    </row>
    <row r="7441" spans="8:8" x14ac:dyDescent="0.25">
      <c r="H7441" s="134"/>
    </row>
    <row r="7442" spans="8:8" x14ac:dyDescent="0.25">
      <c r="H7442" s="134"/>
    </row>
    <row r="7443" spans="8:8" x14ac:dyDescent="0.25">
      <c r="H7443" s="134"/>
    </row>
    <row r="7444" spans="8:8" x14ac:dyDescent="0.25">
      <c r="H7444" s="134"/>
    </row>
    <row r="7445" spans="8:8" x14ac:dyDescent="0.25">
      <c r="H7445" s="134"/>
    </row>
    <row r="7446" spans="8:8" x14ac:dyDescent="0.25">
      <c r="H7446" s="134"/>
    </row>
    <row r="7447" spans="8:8" x14ac:dyDescent="0.25">
      <c r="H7447" s="134"/>
    </row>
    <row r="7448" spans="8:8" x14ac:dyDescent="0.25">
      <c r="H7448" s="134"/>
    </row>
    <row r="7449" spans="8:8" x14ac:dyDescent="0.25">
      <c r="H7449" s="134"/>
    </row>
    <row r="7450" spans="8:8" x14ac:dyDescent="0.25">
      <c r="H7450" s="134"/>
    </row>
    <row r="7451" spans="8:8" x14ac:dyDescent="0.25">
      <c r="H7451" s="134"/>
    </row>
    <row r="7452" spans="8:8" x14ac:dyDescent="0.25">
      <c r="H7452" s="134"/>
    </row>
    <row r="7453" spans="8:8" x14ac:dyDescent="0.25">
      <c r="H7453" s="134"/>
    </row>
    <row r="7454" spans="8:8" x14ac:dyDescent="0.25">
      <c r="H7454" s="134"/>
    </row>
    <row r="7455" spans="8:8" x14ac:dyDescent="0.25">
      <c r="H7455" s="134"/>
    </row>
    <row r="7456" spans="8:8" x14ac:dyDescent="0.25">
      <c r="H7456" s="134"/>
    </row>
    <row r="7457" spans="8:8" x14ac:dyDescent="0.25">
      <c r="H7457" s="134"/>
    </row>
    <row r="7458" spans="8:8" x14ac:dyDescent="0.25">
      <c r="H7458" s="134"/>
    </row>
    <row r="7459" spans="8:8" x14ac:dyDescent="0.25">
      <c r="H7459" s="134"/>
    </row>
    <row r="7460" spans="8:8" x14ac:dyDescent="0.25">
      <c r="H7460" s="134"/>
    </row>
    <row r="7461" spans="8:8" x14ac:dyDescent="0.25">
      <c r="H7461" s="134"/>
    </row>
    <row r="7462" spans="8:8" x14ac:dyDescent="0.25">
      <c r="H7462" s="134"/>
    </row>
    <row r="7463" spans="8:8" x14ac:dyDescent="0.25">
      <c r="H7463" s="134"/>
    </row>
    <row r="7464" spans="8:8" x14ac:dyDescent="0.25">
      <c r="H7464" s="134"/>
    </row>
    <row r="7465" spans="8:8" x14ac:dyDescent="0.25">
      <c r="H7465" s="134"/>
    </row>
    <row r="7466" spans="8:8" x14ac:dyDescent="0.25">
      <c r="H7466" s="134"/>
    </row>
    <row r="7467" spans="8:8" x14ac:dyDescent="0.25">
      <c r="H7467" s="134"/>
    </row>
    <row r="7468" spans="8:8" x14ac:dyDescent="0.25">
      <c r="H7468" s="134"/>
    </row>
    <row r="7469" spans="8:8" x14ac:dyDescent="0.25">
      <c r="H7469" s="134"/>
    </row>
    <row r="7470" spans="8:8" x14ac:dyDescent="0.25">
      <c r="H7470" s="134"/>
    </row>
    <row r="7471" spans="8:8" x14ac:dyDescent="0.25">
      <c r="H7471" s="134"/>
    </row>
    <row r="7472" spans="8:8" x14ac:dyDescent="0.25">
      <c r="H7472" s="134"/>
    </row>
    <row r="7473" spans="8:8" x14ac:dyDescent="0.25">
      <c r="H7473" s="134"/>
    </row>
    <row r="7474" spans="8:8" x14ac:dyDescent="0.25">
      <c r="H7474" s="134"/>
    </row>
    <row r="7475" spans="8:8" x14ac:dyDescent="0.25">
      <c r="H7475" s="134"/>
    </row>
    <row r="7476" spans="8:8" x14ac:dyDescent="0.25">
      <c r="H7476" s="134"/>
    </row>
    <row r="7477" spans="8:8" x14ac:dyDescent="0.25">
      <c r="H7477" s="134"/>
    </row>
    <row r="7478" spans="8:8" x14ac:dyDescent="0.25">
      <c r="H7478" s="134"/>
    </row>
    <row r="7479" spans="8:8" x14ac:dyDescent="0.25">
      <c r="H7479" s="134"/>
    </row>
    <row r="7480" spans="8:8" x14ac:dyDescent="0.25">
      <c r="H7480" s="134"/>
    </row>
    <row r="7481" spans="8:8" x14ac:dyDescent="0.25">
      <c r="H7481" s="134"/>
    </row>
    <row r="7482" spans="8:8" x14ac:dyDescent="0.25">
      <c r="H7482" s="134"/>
    </row>
    <row r="7483" spans="8:8" x14ac:dyDescent="0.25">
      <c r="H7483" s="134"/>
    </row>
    <row r="7484" spans="8:8" x14ac:dyDescent="0.25">
      <c r="H7484" s="134"/>
    </row>
    <row r="7485" spans="8:8" x14ac:dyDescent="0.25">
      <c r="H7485" s="134"/>
    </row>
    <row r="7486" spans="8:8" x14ac:dyDescent="0.25">
      <c r="H7486" s="134"/>
    </row>
    <row r="7487" spans="8:8" x14ac:dyDescent="0.25">
      <c r="H7487" s="134"/>
    </row>
    <row r="7488" spans="8:8" x14ac:dyDescent="0.25">
      <c r="H7488" s="134"/>
    </row>
    <row r="7489" spans="8:8" x14ac:dyDescent="0.25">
      <c r="H7489" s="134"/>
    </row>
    <row r="7490" spans="8:8" x14ac:dyDescent="0.25">
      <c r="H7490" s="134"/>
    </row>
    <row r="7491" spans="8:8" x14ac:dyDescent="0.25">
      <c r="H7491" s="134"/>
    </row>
    <row r="7492" spans="8:8" x14ac:dyDescent="0.25">
      <c r="H7492" s="134"/>
    </row>
    <row r="7493" spans="8:8" x14ac:dyDescent="0.25">
      <c r="H7493" s="134"/>
    </row>
    <row r="7494" spans="8:8" x14ac:dyDescent="0.25">
      <c r="H7494" s="134"/>
    </row>
    <row r="7495" spans="8:8" x14ac:dyDescent="0.25">
      <c r="H7495" s="134"/>
    </row>
    <row r="7496" spans="8:8" x14ac:dyDescent="0.25">
      <c r="H7496" s="134"/>
    </row>
    <row r="7497" spans="8:8" x14ac:dyDescent="0.25">
      <c r="H7497" s="134"/>
    </row>
    <row r="7498" spans="8:8" x14ac:dyDescent="0.25">
      <c r="H7498" s="134"/>
    </row>
    <row r="7499" spans="8:8" x14ac:dyDescent="0.25">
      <c r="H7499" s="134"/>
    </row>
    <row r="7500" spans="8:8" x14ac:dyDescent="0.25">
      <c r="H7500" s="134"/>
    </row>
    <row r="7501" spans="8:8" x14ac:dyDescent="0.25">
      <c r="H7501" s="134"/>
    </row>
    <row r="7502" spans="8:8" x14ac:dyDescent="0.25">
      <c r="H7502" s="134"/>
    </row>
    <row r="7503" spans="8:8" x14ac:dyDescent="0.25">
      <c r="H7503" s="134"/>
    </row>
    <row r="7504" spans="8:8" x14ac:dyDescent="0.25">
      <c r="H7504" s="134"/>
    </row>
    <row r="7505" spans="8:8" x14ac:dyDescent="0.25">
      <c r="H7505" s="134"/>
    </row>
    <row r="7506" spans="8:8" x14ac:dyDescent="0.25">
      <c r="H7506" s="134"/>
    </row>
    <row r="7507" spans="8:8" x14ac:dyDescent="0.25">
      <c r="H7507" s="134"/>
    </row>
    <row r="7508" spans="8:8" x14ac:dyDescent="0.25">
      <c r="H7508" s="134"/>
    </row>
    <row r="7509" spans="8:8" x14ac:dyDescent="0.25">
      <c r="H7509" s="134"/>
    </row>
    <row r="7510" spans="8:8" x14ac:dyDescent="0.25">
      <c r="H7510" s="134"/>
    </row>
    <row r="7511" spans="8:8" x14ac:dyDescent="0.25">
      <c r="H7511" s="134"/>
    </row>
    <row r="7512" spans="8:8" x14ac:dyDescent="0.25">
      <c r="H7512" s="134"/>
    </row>
    <row r="7513" spans="8:8" x14ac:dyDescent="0.25">
      <c r="H7513" s="134"/>
    </row>
    <row r="7514" spans="8:8" x14ac:dyDescent="0.25">
      <c r="H7514" s="134"/>
    </row>
    <row r="7515" spans="8:8" x14ac:dyDescent="0.25">
      <c r="H7515" s="134"/>
    </row>
    <row r="7516" spans="8:8" x14ac:dyDescent="0.25">
      <c r="H7516" s="134"/>
    </row>
    <row r="7517" spans="8:8" x14ac:dyDescent="0.25">
      <c r="H7517" s="134"/>
    </row>
    <row r="7518" spans="8:8" x14ac:dyDescent="0.25">
      <c r="H7518" s="134"/>
    </row>
    <row r="7519" spans="8:8" x14ac:dyDescent="0.25">
      <c r="H7519" s="134"/>
    </row>
    <row r="7520" spans="8:8" x14ac:dyDescent="0.25">
      <c r="H7520" s="134"/>
    </row>
    <row r="7521" spans="8:8" x14ac:dyDescent="0.25">
      <c r="H7521" s="134"/>
    </row>
    <row r="7522" spans="8:8" x14ac:dyDescent="0.25">
      <c r="H7522" s="134"/>
    </row>
    <row r="7523" spans="8:8" x14ac:dyDescent="0.25">
      <c r="H7523" s="134"/>
    </row>
    <row r="7524" spans="8:8" x14ac:dyDescent="0.25">
      <c r="H7524" s="134"/>
    </row>
    <row r="7525" spans="8:8" x14ac:dyDescent="0.25">
      <c r="H7525" s="134"/>
    </row>
    <row r="7526" spans="8:8" x14ac:dyDescent="0.25">
      <c r="H7526" s="134"/>
    </row>
    <row r="7527" spans="8:8" x14ac:dyDescent="0.25">
      <c r="H7527" s="134"/>
    </row>
    <row r="7528" spans="8:8" x14ac:dyDescent="0.25">
      <c r="H7528" s="134"/>
    </row>
    <row r="7529" spans="8:8" x14ac:dyDescent="0.25">
      <c r="H7529" s="134"/>
    </row>
    <row r="7530" spans="8:8" x14ac:dyDescent="0.25">
      <c r="H7530" s="134"/>
    </row>
    <row r="7531" spans="8:8" x14ac:dyDescent="0.25">
      <c r="H7531" s="134"/>
    </row>
    <row r="7532" spans="8:8" x14ac:dyDescent="0.25">
      <c r="H7532" s="134"/>
    </row>
    <row r="7533" spans="8:8" x14ac:dyDescent="0.25">
      <c r="H7533" s="134"/>
    </row>
    <row r="7534" spans="8:8" x14ac:dyDescent="0.25">
      <c r="H7534" s="134"/>
    </row>
    <row r="7535" spans="8:8" x14ac:dyDescent="0.25">
      <c r="H7535" s="134"/>
    </row>
    <row r="7536" spans="8:8" x14ac:dyDescent="0.25">
      <c r="H7536" s="134"/>
    </row>
    <row r="7537" spans="8:8" x14ac:dyDescent="0.25">
      <c r="H7537" s="134"/>
    </row>
    <row r="7538" spans="8:8" x14ac:dyDescent="0.25">
      <c r="H7538" s="134"/>
    </row>
    <row r="7539" spans="8:8" x14ac:dyDescent="0.25">
      <c r="H7539" s="134"/>
    </row>
    <row r="7540" spans="8:8" x14ac:dyDescent="0.25">
      <c r="H7540" s="134"/>
    </row>
    <row r="7541" spans="8:8" x14ac:dyDescent="0.25">
      <c r="H7541" s="134"/>
    </row>
    <row r="7542" spans="8:8" x14ac:dyDescent="0.25">
      <c r="H7542" s="134"/>
    </row>
    <row r="7543" spans="8:8" x14ac:dyDescent="0.25">
      <c r="H7543" s="134"/>
    </row>
    <row r="7544" spans="8:8" x14ac:dyDescent="0.25">
      <c r="H7544" s="134"/>
    </row>
    <row r="7545" spans="8:8" x14ac:dyDescent="0.25">
      <c r="H7545" s="134"/>
    </row>
    <row r="7546" spans="8:8" x14ac:dyDescent="0.25">
      <c r="H7546" s="134"/>
    </row>
    <row r="7547" spans="8:8" x14ac:dyDescent="0.25">
      <c r="H7547" s="134"/>
    </row>
    <row r="7548" spans="8:8" x14ac:dyDescent="0.25">
      <c r="H7548" s="134"/>
    </row>
    <row r="7549" spans="8:8" x14ac:dyDescent="0.25">
      <c r="H7549" s="134"/>
    </row>
    <row r="7550" spans="8:8" x14ac:dyDescent="0.25">
      <c r="H7550" s="134"/>
    </row>
    <row r="7551" spans="8:8" x14ac:dyDescent="0.25">
      <c r="H7551" s="134"/>
    </row>
    <row r="7552" spans="8:8" x14ac:dyDescent="0.25">
      <c r="H7552" s="134"/>
    </row>
    <row r="7553" spans="8:8" x14ac:dyDescent="0.25">
      <c r="H7553" s="134"/>
    </row>
    <row r="7554" spans="8:8" x14ac:dyDescent="0.25">
      <c r="H7554" s="134"/>
    </row>
    <row r="7555" spans="8:8" x14ac:dyDescent="0.25">
      <c r="H7555" s="134"/>
    </row>
    <row r="7556" spans="8:8" x14ac:dyDescent="0.25">
      <c r="H7556" s="134"/>
    </row>
    <row r="7557" spans="8:8" x14ac:dyDescent="0.25">
      <c r="H7557" s="134"/>
    </row>
    <row r="7558" spans="8:8" x14ac:dyDescent="0.25">
      <c r="H7558" s="134"/>
    </row>
    <row r="7559" spans="8:8" x14ac:dyDescent="0.25">
      <c r="H7559" s="134"/>
    </row>
    <row r="7560" spans="8:8" x14ac:dyDescent="0.25">
      <c r="H7560" s="134"/>
    </row>
    <row r="7561" spans="8:8" x14ac:dyDescent="0.25">
      <c r="H7561" s="134"/>
    </row>
    <row r="7562" spans="8:8" x14ac:dyDescent="0.25">
      <c r="H7562" s="134"/>
    </row>
    <row r="7563" spans="8:8" x14ac:dyDescent="0.25">
      <c r="H7563" s="134"/>
    </row>
    <row r="7564" spans="8:8" x14ac:dyDescent="0.25">
      <c r="H7564" s="134"/>
    </row>
    <row r="7565" spans="8:8" x14ac:dyDescent="0.25">
      <c r="H7565" s="134"/>
    </row>
    <row r="7566" spans="8:8" x14ac:dyDescent="0.25">
      <c r="H7566" s="134"/>
    </row>
    <row r="7567" spans="8:8" x14ac:dyDescent="0.25">
      <c r="H7567" s="134"/>
    </row>
    <row r="7568" spans="8:8" x14ac:dyDescent="0.25">
      <c r="H7568" s="134"/>
    </row>
    <row r="7569" spans="8:8" x14ac:dyDescent="0.25">
      <c r="H7569" s="134"/>
    </row>
    <row r="7570" spans="8:8" x14ac:dyDescent="0.25">
      <c r="H7570" s="134"/>
    </row>
    <row r="7571" spans="8:8" x14ac:dyDescent="0.25">
      <c r="H7571" s="134"/>
    </row>
    <row r="7572" spans="8:8" x14ac:dyDescent="0.25">
      <c r="H7572" s="134"/>
    </row>
    <row r="7573" spans="8:8" x14ac:dyDescent="0.25">
      <c r="H7573" s="134"/>
    </row>
    <row r="7574" spans="8:8" x14ac:dyDescent="0.25">
      <c r="H7574" s="134"/>
    </row>
    <row r="7575" spans="8:8" x14ac:dyDescent="0.25">
      <c r="H7575" s="134"/>
    </row>
    <row r="7576" spans="8:8" x14ac:dyDescent="0.25">
      <c r="H7576" s="134"/>
    </row>
    <row r="7577" spans="8:8" x14ac:dyDescent="0.25">
      <c r="H7577" s="134"/>
    </row>
    <row r="7578" spans="8:8" x14ac:dyDescent="0.25">
      <c r="H7578" s="134"/>
    </row>
    <row r="7579" spans="8:8" x14ac:dyDescent="0.25">
      <c r="H7579" s="134"/>
    </row>
    <row r="7580" spans="8:8" x14ac:dyDescent="0.25">
      <c r="H7580" s="134"/>
    </row>
    <row r="7581" spans="8:8" x14ac:dyDescent="0.25">
      <c r="H7581" s="134"/>
    </row>
    <row r="7582" spans="8:8" x14ac:dyDescent="0.25">
      <c r="H7582" s="134"/>
    </row>
    <row r="7583" spans="8:8" x14ac:dyDescent="0.25">
      <c r="H7583" s="134"/>
    </row>
    <row r="7584" spans="8:8" x14ac:dyDescent="0.25">
      <c r="H7584" s="134"/>
    </row>
    <row r="7585" spans="8:8" x14ac:dyDescent="0.25">
      <c r="H7585" s="134"/>
    </row>
    <row r="7586" spans="8:8" x14ac:dyDescent="0.25">
      <c r="H7586" s="134"/>
    </row>
    <row r="7587" spans="8:8" x14ac:dyDescent="0.25">
      <c r="H7587" s="134"/>
    </row>
    <row r="7588" spans="8:8" x14ac:dyDescent="0.25">
      <c r="H7588" s="134"/>
    </row>
    <row r="7589" spans="8:8" x14ac:dyDescent="0.25">
      <c r="H7589" s="134"/>
    </row>
    <row r="7590" spans="8:8" x14ac:dyDescent="0.25">
      <c r="H7590" s="134"/>
    </row>
    <row r="7591" spans="8:8" x14ac:dyDescent="0.25">
      <c r="H7591" s="134"/>
    </row>
    <row r="7592" spans="8:8" x14ac:dyDescent="0.25">
      <c r="H7592" s="134"/>
    </row>
    <row r="7593" spans="8:8" x14ac:dyDescent="0.25">
      <c r="H7593" s="134"/>
    </row>
    <row r="7594" spans="8:8" x14ac:dyDescent="0.25">
      <c r="H7594" s="134"/>
    </row>
    <row r="7595" spans="8:8" x14ac:dyDescent="0.25">
      <c r="H7595" s="134"/>
    </row>
    <row r="7596" spans="8:8" x14ac:dyDescent="0.25">
      <c r="H7596" s="134"/>
    </row>
    <row r="7597" spans="8:8" x14ac:dyDescent="0.25">
      <c r="H7597" s="134"/>
    </row>
    <row r="7598" spans="8:8" x14ac:dyDescent="0.25">
      <c r="H7598" s="134"/>
    </row>
    <row r="7599" spans="8:8" x14ac:dyDescent="0.25">
      <c r="H7599" s="134"/>
    </row>
    <row r="7600" spans="8:8" x14ac:dyDescent="0.25">
      <c r="H7600" s="134"/>
    </row>
    <row r="7601" spans="8:8" x14ac:dyDescent="0.25">
      <c r="H7601" s="134"/>
    </row>
    <row r="7602" spans="8:8" x14ac:dyDescent="0.25">
      <c r="H7602" s="134"/>
    </row>
    <row r="7603" spans="8:8" x14ac:dyDescent="0.25">
      <c r="H7603" s="134"/>
    </row>
    <row r="7604" spans="8:8" x14ac:dyDescent="0.25">
      <c r="H7604" s="134"/>
    </row>
    <row r="7605" spans="8:8" x14ac:dyDescent="0.25">
      <c r="H7605" s="134"/>
    </row>
    <row r="7606" spans="8:8" x14ac:dyDescent="0.25">
      <c r="H7606" s="134"/>
    </row>
    <row r="7607" spans="8:8" x14ac:dyDescent="0.25">
      <c r="H7607" s="134"/>
    </row>
    <row r="7608" spans="8:8" x14ac:dyDescent="0.25">
      <c r="H7608" s="134"/>
    </row>
    <row r="7609" spans="8:8" x14ac:dyDescent="0.25">
      <c r="H7609" s="134"/>
    </row>
    <row r="7610" spans="8:8" x14ac:dyDescent="0.25">
      <c r="H7610" s="134"/>
    </row>
    <row r="7611" spans="8:8" x14ac:dyDescent="0.25">
      <c r="H7611" s="134"/>
    </row>
    <row r="7612" spans="8:8" x14ac:dyDescent="0.25">
      <c r="H7612" s="134"/>
    </row>
    <row r="7613" spans="8:8" x14ac:dyDescent="0.25">
      <c r="H7613" s="134"/>
    </row>
    <row r="7614" spans="8:8" x14ac:dyDescent="0.25">
      <c r="H7614" s="134"/>
    </row>
    <row r="7615" spans="8:8" x14ac:dyDescent="0.25">
      <c r="H7615" s="134"/>
    </row>
    <row r="7616" spans="8:8" x14ac:dyDescent="0.25">
      <c r="H7616" s="134"/>
    </row>
    <row r="7617" spans="8:8" x14ac:dyDescent="0.25">
      <c r="H7617" s="134"/>
    </row>
    <row r="7618" spans="8:8" x14ac:dyDescent="0.25">
      <c r="H7618" s="134"/>
    </row>
    <row r="7619" spans="8:8" x14ac:dyDescent="0.25">
      <c r="H7619" s="134"/>
    </row>
    <row r="7620" spans="8:8" x14ac:dyDescent="0.25">
      <c r="H7620" s="134"/>
    </row>
    <row r="7621" spans="8:8" x14ac:dyDescent="0.25">
      <c r="H7621" s="134"/>
    </row>
    <row r="7622" spans="8:8" x14ac:dyDescent="0.25">
      <c r="H7622" s="134"/>
    </row>
    <row r="7623" spans="8:8" x14ac:dyDescent="0.25">
      <c r="H7623" s="134"/>
    </row>
    <row r="7624" spans="8:8" x14ac:dyDescent="0.25">
      <c r="H7624" s="134"/>
    </row>
    <row r="7625" spans="8:8" x14ac:dyDescent="0.25">
      <c r="H7625" s="134"/>
    </row>
    <row r="7626" spans="8:8" x14ac:dyDescent="0.25">
      <c r="H7626" s="134"/>
    </row>
    <row r="7627" spans="8:8" x14ac:dyDescent="0.25">
      <c r="H7627" s="134"/>
    </row>
    <row r="7628" spans="8:8" x14ac:dyDescent="0.25">
      <c r="H7628" s="134"/>
    </row>
    <row r="7629" spans="8:8" x14ac:dyDescent="0.25">
      <c r="H7629" s="134"/>
    </row>
    <row r="7630" spans="8:8" x14ac:dyDescent="0.25">
      <c r="H7630" s="134"/>
    </row>
    <row r="7631" spans="8:8" x14ac:dyDescent="0.25">
      <c r="H7631" s="134"/>
    </row>
    <row r="7632" spans="8:8" x14ac:dyDescent="0.25">
      <c r="H7632" s="134"/>
    </row>
    <row r="7633" spans="8:8" x14ac:dyDescent="0.25">
      <c r="H7633" s="134"/>
    </row>
    <row r="7634" spans="8:8" x14ac:dyDescent="0.25">
      <c r="H7634" s="134"/>
    </row>
    <row r="7635" spans="8:8" x14ac:dyDescent="0.25">
      <c r="H7635" s="134"/>
    </row>
    <row r="7636" spans="8:8" x14ac:dyDescent="0.25">
      <c r="H7636" s="134"/>
    </row>
    <row r="7637" spans="8:8" x14ac:dyDescent="0.25">
      <c r="H7637" s="134"/>
    </row>
    <row r="7638" spans="8:8" x14ac:dyDescent="0.25">
      <c r="H7638" s="134"/>
    </row>
    <row r="7639" spans="8:8" x14ac:dyDescent="0.25">
      <c r="H7639" s="134"/>
    </row>
    <row r="7640" spans="8:8" x14ac:dyDescent="0.25">
      <c r="H7640" s="134"/>
    </row>
    <row r="7641" spans="8:8" x14ac:dyDescent="0.25">
      <c r="H7641" s="134"/>
    </row>
    <row r="7642" spans="8:8" x14ac:dyDescent="0.25">
      <c r="H7642" s="134"/>
    </row>
    <row r="7643" spans="8:8" x14ac:dyDescent="0.25">
      <c r="H7643" s="134"/>
    </row>
    <row r="7644" spans="8:8" x14ac:dyDescent="0.25">
      <c r="H7644" s="134"/>
    </row>
    <row r="7645" spans="8:8" x14ac:dyDescent="0.25">
      <c r="H7645" s="134"/>
    </row>
    <row r="7646" spans="8:8" x14ac:dyDescent="0.25">
      <c r="H7646" s="134"/>
    </row>
    <row r="7647" spans="8:8" x14ac:dyDescent="0.25">
      <c r="H7647" s="134"/>
    </row>
    <row r="7648" spans="8:8" x14ac:dyDescent="0.25">
      <c r="H7648" s="134"/>
    </row>
    <row r="7649" spans="8:8" x14ac:dyDescent="0.25">
      <c r="H7649" s="134"/>
    </row>
    <row r="7650" spans="8:8" x14ac:dyDescent="0.25">
      <c r="H7650" s="134"/>
    </row>
    <row r="7651" spans="8:8" x14ac:dyDescent="0.25">
      <c r="H7651" s="134"/>
    </row>
    <row r="7652" spans="8:8" x14ac:dyDescent="0.25">
      <c r="H7652" s="134"/>
    </row>
    <row r="7653" spans="8:8" x14ac:dyDescent="0.25">
      <c r="H7653" s="134"/>
    </row>
    <row r="7654" spans="8:8" x14ac:dyDescent="0.25">
      <c r="H7654" s="134"/>
    </row>
    <row r="7655" spans="8:8" x14ac:dyDescent="0.25">
      <c r="H7655" s="134"/>
    </row>
    <row r="7656" spans="8:8" x14ac:dyDescent="0.25">
      <c r="H7656" s="134"/>
    </row>
    <row r="7657" spans="8:8" x14ac:dyDescent="0.25">
      <c r="H7657" s="134"/>
    </row>
    <row r="7658" spans="8:8" x14ac:dyDescent="0.25">
      <c r="H7658" s="134"/>
    </row>
    <row r="7659" spans="8:8" x14ac:dyDescent="0.25">
      <c r="H7659" s="134"/>
    </row>
    <row r="7660" spans="8:8" x14ac:dyDescent="0.25">
      <c r="H7660" s="134"/>
    </row>
    <row r="7661" spans="8:8" x14ac:dyDescent="0.25">
      <c r="H7661" s="134"/>
    </row>
    <row r="7662" spans="8:8" x14ac:dyDescent="0.25">
      <c r="H7662" s="134"/>
    </row>
    <row r="7663" spans="8:8" x14ac:dyDescent="0.25">
      <c r="H7663" s="134"/>
    </row>
    <row r="7664" spans="8:8" x14ac:dyDescent="0.25">
      <c r="H7664" s="134"/>
    </row>
    <row r="7665" spans="8:8" x14ac:dyDescent="0.25">
      <c r="H7665" s="134"/>
    </row>
    <row r="7666" spans="8:8" x14ac:dyDescent="0.25">
      <c r="H7666" s="134"/>
    </row>
    <row r="7667" spans="8:8" x14ac:dyDescent="0.25">
      <c r="H7667" s="134"/>
    </row>
    <row r="7668" spans="8:8" x14ac:dyDescent="0.25">
      <c r="H7668" s="134"/>
    </row>
    <row r="7669" spans="8:8" x14ac:dyDescent="0.25">
      <c r="H7669" s="134"/>
    </row>
    <row r="7670" spans="8:8" x14ac:dyDescent="0.25">
      <c r="H7670" s="134"/>
    </row>
    <row r="7671" spans="8:8" x14ac:dyDescent="0.25">
      <c r="H7671" s="134"/>
    </row>
    <row r="7672" spans="8:8" x14ac:dyDescent="0.25">
      <c r="H7672" s="134"/>
    </row>
    <row r="7673" spans="8:8" x14ac:dyDescent="0.25">
      <c r="H7673" s="134"/>
    </row>
    <row r="7674" spans="8:8" x14ac:dyDescent="0.25">
      <c r="H7674" s="134"/>
    </row>
    <row r="7675" spans="8:8" x14ac:dyDescent="0.25">
      <c r="H7675" s="134"/>
    </row>
    <row r="7676" spans="8:8" x14ac:dyDescent="0.25">
      <c r="H7676" s="134"/>
    </row>
    <row r="7677" spans="8:8" x14ac:dyDescent="0.25">
      <c r="H7677" s="134"/>
    </row>
    <row r="7678" spans="8:8" x14ac:dyDescent="0.25">
      <c r="H7678" s="134"/>
    </row>
    <row r="7679" spans="8:8" x14ac:dyDescent="0.25">
      <c r="H7679" s="134"/>
    </row>
    <row r="7680" spans="8:8" x14ac:dyDescent="0.25">
      <c r="H7680" s="134"/>
    </row>
    <row r="7681" spans="8:8" x14ac:dyDescent="0.25">
      <c r="H7681" s="134"/>
    </row>
    <row r="7682" spans="8:8" x14ac:dyDescent="0.25">
      <c r="H7682" s="134"/>
    </row>
    <row r="7683" spans="8:8" x14ac:dyDescent="0.25">
      <c r="H7683" s="134"/>
    </row>
    <row r="7684" spans="8:8" x14ac:dyDescent="0.25">
      <c r="H7684" s="134"/>
    </row>
    <row r="7685" spans="8:8" x14ac:dyDescent="0.25">
      <c r="H7685" s="134"/>
    </row>
    <row r="7686" spans="8:8" x14ac:dyDescent="0.25">
      <c r="H7686" s="134"/>
    </row>
    <row r="7687" spans="8:8" x14ac:dyDescent="0.25">
      <c r="H7687" s="134"/>
    </row>
    <row r="7688" spans="8:8" x14ac:dyDescent="0.25">
      <c r="H7688" s="134"/>
    </row>
    <row r="7689" spans="8:8" x14ac:dyDescent="0.25">
      <c r="H7689" s="134"/>
    </row>
    <row r="7690" spans="8:8" x14ac:dyDescent="0.25">
      <c r="H7690" s="134"/>
    </row>
    <row r="7691" spans="8:8" x14ac:dyDescent="0.25">
      <c r="H7691" s="134"/>
    </row>
    <row r="7692" spans="8:8" x14ac:dyDescent="0.25">
      <c r="H7692" s="134"/>
    </row>
    <row r="7693" spans="8:8" x14ac:dyDescent="0.25">
      <c r="H7693" s="134"/>
    </row>
    <row r="7694" spans="8:8" x14ac:dyDescent="0.25">
      <c r="H7694" s="134"/>
    </row>
    <row r="7695" spans="8:8" x14ac:dyDescent="0.25">
      <c r="H7695" s="134"/>
    </row>
    <row r="7696" spans="8:8" x14ac:dyDescent="0.25">
      <c r="H7696" s="134"/>
    </row>
    <row r="7697" spans="8:8" x14ac:dyDescent="0.25">
      <c r="H7697" s="134"/>
    </row>
    <row r="7698" spans="8:8" x14ac:dyDescent="0.25">
      <c r="H7698" s="134"/>
    </row>
    <row r="7699" spans="8:8" x14ac:dyDescent="0.25">
      <c r="H7699" s="134"/>
    </row>
    <row r="7700" spans="8:8" x14ac:dyDescent="0.25">
      <c r="H7700" s="134"/>
    </row>
    <row r="7701" spans="8:8" x14ac:dyDescent="0.25">
      <c r="H7701" s="134"/>
    </row>
    <row r="7702" spans="8:8" x14ac:dyDescent="0.25">
      <c r="H7702" s="134"/>
    </row>
    <row r="7703" spans="8:8" x14ac:dyDescent="0.25">
      <c r="H7703" s="134"/>
    </row>
    <row r="7704" spans="8:8" x14ac:dyDescent="0.25">
      <c r="H7704" s="134"/>
    </row>
    <row r="7705" spans="8:8" x14ac:dyDescent="0.25">
      <c r="H7705" s="134"/>
    </row>
    <row r="7706" spans="8:8" x14ac:dyDescent="0.25">
      <c r="H7706" s="134"/>
    </row>
    <row r="7707" spans="8:8" x14ac:dyDescent="0.25">
      <c r="H7707" s="134"/>
    </row>
    <row r="7708" spans="8:8" x14ac:dyDescent="0.25">
      <c r="H7708" s="134"/>
    </row>
    <row r="7709" spans="8:8" x14ac:dyDescent="0.25">
      <c r="H7709" s="134"/>
    </row>
    <row r="7710" spans="8:8" x14ac:dyDescent="0.25">
      <c r="H7710" s="134"/>
    </row>
    <row r="7711" spans="8:8" x14ac:dyDescent="0.25">
      <c r="H7711" s="134"/>
    </row>
    <row r="7712" spans="8:8" x14ac:dyDescent="0.25">
      <c r="H7712" s="134"/>
    </row>
    <row r="7713" spans="8:8" x14ac:dyDescent="0.25">
      <c r="H7713" s="134"/>
    </row>
    <row r="7714" spans="8:8" x14ac:dyDescent="0.25">
      <c r="H7714" s="134"/>
    </row>
    <row r="7715" spans="8:8" x14ac:dyDescent="0.25">
      <c r="H7715" s="134"/>
    </row>
    <row r="7716" spans="8:8" x14ac:dyDescent="0.25">
      <c r="H7716" s="134"/>
    </row>
    <row r="7717" spans="8:8" x14ac:dyDescent="0.25">
      <c r="H7717" s="134"/>
    </row>
    <row r="7718" spans="8:8" x14ac:dyDescent="0.25">
      <c r="H7718" s="134"/>
    </row>
    <row r="7719" spans="8:8" x14ac:dyDescent="0.25">
      <c r="H7719" s="134"/>
    </row>
    <row r="7720" spans="8:8" x14ac:dyDescent="0.25">
      <c r="H7720" s="134"/>
    </row>
    <row r="7721" spans="8:8" x14ac:dyDescent="0.25">
      <c r="H7721" s="134"/>
    </row>
    <row r="7722" spans="8:8" x14ac:dyDescent="0.25">
      <c r="H7722" s="134"/>
    </row>
    <row r="7723" spans="8:8" x14ac:dyDescent="0.25">
      <c r="H7723" s="134"/>
    </row>
    <row r="7724" spans="8:8" x14ac:dyDescent="0.25">
      <c r="H7724" s="134"/>
    </row>
    <row r="7725" spans="8:8" x14ac:dyDescent="0.25">
      <c r="H7725" s="134"/>
    </row>
    <row r="7726" spans="8:8" x14ac:dyDescent="0.25">
      <c r="H7726" s="134"/>
    </row>
    <row r="7727" spans="8:8" x14ac:dyDescent="0.25">
      <c r="H7727" s="134"/>
    </row>
    <row r="7728" spans="8:8" x14ac:dyDescent="0.25">
      <c r="H7728" s="134"/>
    </row>
    <row r="7729" spans="8:8" x14ac:dyDescent="0.25">
      <c r="H7729" s="134"/>
    </row>
    <row r="7730" spans="8:8" x14ac:dyDescent="0.25">
      <c r="H7730" s="134"/>
    </row>
    <row r="7731" spans="8:8" x14ac:dyDescent="0.25">
      <c r="H7731" s="134"/>
    </row>
    <row r="7732" spans="8:8" x14ac:dyDescent="0.25">
      <c r="H7732" s="134"/>
    </row>
    <row r="7733" spans="8:8" x14ac:dyDescent="0.25">
      <c r="H7733" s="134"/>
    </row>
    <row r="7734" spans="8:8" x14ac:dyDescent="0.25">
      <c r="H7734" s="134"/>
    </row>
    <row r="7735" spans="8:8" x14ac:dyDescent="0.25">
      <c r="H7735" s="134"/>
    </row>
    <row r="7736" spans="8:8" x14ac:dyDescent="0.25">
      <c r="H7736" s="134"/>
    </row>
    <row r="7737" spans="8:8" x14ac:dyDescent="0.25">
      <c r="H7737" s="134"/>
    </row>
    <row r="7738" spans="8:8" x14ac:dyDescent="0.25">
      <c r="H7738" s="134"/>
    </row>
    <row r="7739" spans="8:8" x14ac:dyDescent="0.25">
      <c r="H7739" s="134"/>
    </row>
    <row r="7740" spans="8:8" x14ac:dyDescent="0.25">
      <c r="H7740" s="134"/>
    </row>
    <row r="7741" spans="8:8" x14ac:dyDescent="0.25">
      <c r="H7741" s="134"/>
    </row>
    <row r="7742" spans="8:8" x14ac:dyDescent="0.25">
      <c r="H7742" s="134"/>
    </row>
    <row r="7743" spans="8:8" x14ac:dyDescent="0.25">
      <c r="H7743" s="134"/>
    </row>
    <row r="7744" spans="8:8" x14ac:dyDescent="0.25">
      <c r="H7744" s="134"/>
    </row>
    <row r="7745" spans="8:8" x14ac:dyDescent="0.25">
      <c r="H7745" s="134"/>
    </row>
    <row r="7746" spans="8:8" x14ac:dyDescent="0.25">
      <c r="H7746" s="134"/>
    </row>
    <row r="7747" spans="8:8" x14ac:dyDescent="0.25">
      <c r="H7747" s="134"/>
    </row>
    <row r="7748" spans="8:8" x14ac:dyDescent="0.25">
      <c r="H7748" s="134"/>
    </row>
    <row r="7749" spans="8:8" x14ac:dyDescent="0.25">
      <c r="H7749" s="134"/>
    </row>
    <row r="7750" spans="8:8" x14ac:dyDescent="0.25">
      <c r="H7750" s="134"/>
    </row>
    <row r="7751" spans="8:8" x14ac:dyDescent="0.25">
      <c r="H7751" s="134"/>
    </row>
    <row r="7752" spans="8:8" x14ac:dyDescent="0.25">
      <c r="H7752" s="134"/>
    </row>
    <row r="7753" spans="8:8" x14ac:dyDescent="0.25">
      <c r="H7753" s="134"/>
    </row>
    <row r="7754" spans="8:8" x14ac:dyDescent="0.25">
      <c r="H7754" s="134"/>
    </row>
    <row r="7755" spans="8:8" x14ac:dyDescent="0.25">
      <c r="H7755" s="134"/>
    </row>
    <row r="7756" spans="8:8" x14ac:dyDescent="0.25">
      <c r="H7756" s="134"/>
    </row>
    <row r="7757" spans="8:8" x14ac:dyDescent="0.25">
      <c r="H7757" s="134"/>
    </row>
    <row r="7758" spans="8:8" x14ac:dyDescent="0.25">
      <c r="H7758" s="134"/>
    </row>
    <row r="7759" spans="8:8" x14ac:dyDescent="0.25">
      <c r="H7759" s="134"/>
    </row>
    <row r="7760" spans="8:8" x14ac:dyDescent="0.25">
      <c r="H7760" s="134"/>
    </row>
    <row r="7761" spans="8:8" x14ac:dyDescent="0.25">
      <c r="H7761" s="134"/>
    </row>
    <row r="7762" spans="8:8" x14ac:dyDescent="0.25">
      <c r="H7762" s="134"/>
    </row>
    <row r="7763" spans="8:8" x14ac:dyDescent="0.25">
      <c r="H7763" s="134"/>
    </row>
    <row r="7764" spans="8:8" x14ac:dyDescent="0.25">
      <c r="H7764" s="134"/>
    </row>
    <row r="7765" spans="8:8" x14ac:dyDescent="0.25">
      <c r="H7765" s="134"/>
    </row>
    <row r="7766" spans="8:8" x14ac:dyDescent="0.25">
      <c r="H7766" s="134"/>
    </row>
    <row r="7767" spans="8:8" x14ac:dyDescent="0.25">
      <c r="H7767" s="134"/>
    </row>
    <row r="7768" spans="8:8" x14ac:dyDescent="0.25">
      <c r="H7768" s="134"/>
    </row>
    <row r="7769" spans="8:8" x14ac:dyDescent="0.25">
      <c r="H7769" s="134"/>
    </row>
    <row r="7770" spans="8:8" x14ac:dyDescent="0.25">
      <c r="H7770" s="134"/>
    </row>
    <row r="7771" spans="8:8" x14ac:dyDescent="0.25">
      <c r="H7771" s="134"/>
    </row>
    <row r="7772" spans="8:8" x14ac:dyDescent="0.25">
      <c r="H7772" s="134"/>
    </row>
    <row r="7773" spans="8:8" x14ac:dyDescent="0.25">
      <c r="H7773" s="134"/>
    </row>
    <row r="7774" spans="8:8" x14ac:dyDescent="0.25">
      <c r="H7774" s="134"/>
    </row>
    <row r="7775" spans="8:8" x14ac:dyDescent="0.25">
      <c r="H7775" s="134"/>
    </row>
    <row r="7776" spans="8:8" x14ac:dyDescent="0.25">
      <c r="H7776" s="134"/>
    </row>
    <row r="7777" spans="8:8" x14ac:dyDescent="0.25">
      <c r="H7777" s="134"/>
    </row>
    <row r="7778" spans="8:8" x14ac:dyDescent="0.25">
      <c r="H7778" s="134"/>
    </row>
    <row r="7779" spans="8:8" x14ac:dyDescent="0.25">
      <c r="H7779" s="134"/>
    </row>
    <row r="7780" spans="8:8" x14ac:dyDescent="0.25">
      <c r="H7780" s="134"/>
    </row>
    <row r="7781" spans="8:8" x14ac:dyDescent="0.25">
      <c r="H7781" s="134"/>
    </row>
    <row r="7782" spans="8:8" x14ac:dyDescent="0.25">
      <c r="H7782" s="134"/>
    </row>
    <row r="7783" spans="8:8" x14ac:dyDescent="0.25">
      <c r="H7783" s="134"/>
    </row>
    <row r="7784" spans="8:8" x14ac:dyDescent="0.25">
      <c r="H7784" s="134"/>
    </row>
    <row r="7785" spans="8:8" x14ac:dyDescent="0.25">
      <c r="H7785" s="134"/>
    </row>
    <row r="7786" spans="8:8" x14ac:dyDescent="0.25">
      <c r="H7786" s="134"/>
    </row>
    <row r="7787" spans="8:8" x14ac:dyDescent="0.25">
      <c r="H7787" s="134"/>
    </row>
    <row r="7788" spans="8:8" x14ac:dyDescent="0.25">
      <c r="H7788" s="134"/>
    </row>
    <row r="7789" spans="8:8" x14ac:dyDescent="0.25">
      <c r="H7789" s="134"/>
    </row>
    <row r="7790" spans="8:8" x14ac:dyDescent="0.25">
      <c r="H7790" s="134"/>
    </row>
    <row r="7791" spans="8:8" x14ac:dyDescent="0.25">
      <c r="H7791" s="134"/>
    </row>
    <row r="7792" spans="8:8" x14ac:dyDescent="0.25">
      <c r="H7792" s="134"/>
    </row>
    <row r="7793" spans="8:8" x14ac:dyDescent="0.25">
      <c r="H7793" s="134"/>
    </row>
    <row r="7794" spans="8:8" x14ac:dyDescent="0.25">
      <c r="H7794" s="134"/>
    </row>
    <row r="7795" spans="8:8" x14ac:dyDescent="0.25">
      <c r="H7795" s="134"/>
    </row>
    <row r="7796" spans="8:8" x14ac:dyDescent="0.25">
      <c r="H7796" s="134"/>
    </row>
    <row r="7797" spans="8:8" x14ac:dyDescent="0.25">
      <c r="H7797" s="134"/>
    </row>
    <row r="7798" spans="8:8" x14ac:dyDescent="0.25">
      <c r="H7798" s="134"/>
    </row>
    <row r="7799" spans="8:8" x14ac:dyDescent="0.25">
      <c r="H7799" s="134"/>
    </row>
    <row r="7800" spans="8:8" x14ac:dyDescent="0.25">
      <c r="H7800" s="134"/>
    </row>
    <row r="7801" spans="8:8" x14ac:dyDescent="0.25">
      <c r="H7801" s="134"/>
    </row>
    <row r="7802" spans="8:8" x14ac:dyDescent="0.25">
      <c r="H7802" s="134"/>
    </row>
    <row r="7803" spans="8:8" x14ac:dyDescent="0.25">
      <c r="H7803" s="134"/>
    </row>
    <row r="7804" spans="8:8" x14ac:dyDescent="0.25">
      <c r="H7804" s="134"/>
    </row>
    <row r="7805" spans="8:8" x14ac:dyDescent="0.25">
      <c r="H7805" s="134"/>
    </row>
    <row r="7806" spans="8:8" x14ac:dyDescent="0.25">
      <c r="H7806" s="134"/>
    </row>
    <row r="7807" spans="8:8" x14ac:dyDescent="0.25">
      <c r="H7807" s="134"/>
    </row>
    <row r="7808" spans="8:8" x14ac:dyDescent="0.25">
      <c r="H7808" s="134"/>
    </row>
    <row r="7809" spans="8:8" x14ac:dyDescent="0.25">
      <c r="H7809" s="134"/>
    </row>
    <row r="7810" spans="8:8" x14ac:dyDescent="0.25">
      <c r="H7810" s="134"/>
    </row>
    <row r="7811" spans="8:8" x14ac:dyDescent="0.25">
      <c r="H7811" s="134"/>
    </row>
    <row r="7812" spans="8:8" x14ac:dyDescent="0.25">
      <c r="H7812" s="134"/>
    </row>
    <row r="7813" spans="8:8" x14ac:dyDescent="0.25">
      <c r="H7813" s="134"/>
    </row>
    <row r="7814" spans="8:8" x14ac:dyDescent="0.25">
      <c r="H7814" s="134"/>
    </row>
    <row r="7815" spans="8:8" x14ac:dyDescent="0.25">
      <c r="H7815" s="134"/>
    </row>
    <row r="7816" spans="8:8" x14ac:dyDescent="0.25">
      <c r="H7816" s="134"/>
    </row>
    <row r="7817" spans="8:8" x14ac:dyDescent="0.25">
      <c r="H7817" s="134"/>
    </row>
    <row r="7818" spans="8:8" x14ac:dyDescent="0.25">
      <c r="H7818" s="134"/>
    </row>
    <row r="7819" spans="8:8" x14ac:dyDescent="0.25">
      <c r="H7819" s="134"/>
    </row>
    <row r="7820" spans="8:8" x14ac:dyDescent="0.25">
      <c r="H7820" s="134"/>
    </row>
    <row r="7821" spans="8:8" x14ac:dyDescent="0.25">
      <c r="H7821" s="134"/>
    </row>
    <row r="7822" spans="8:8" x14ac:dyDescent="0.25">
      <c r="H7822" s="134"/>
    </row>
    <row r="7823" spans="8:8" x14ac:dyDescent="0.25">
      <c r="H7823" s="134"/>
    </row>
    <row r="7824" spans="8:8" x14ac:dyDescent="0.25">
      <c r="H7824" s="134"/>
    </row>
    <row r="7825" spans="8:8" x14ac:dyDescent="0.25">
      <c r="H7825" s="134"/>
    </row>
    <row r="7826" spans="8:8" x14ac:dyDescent="0.25">
      <c r="H7826" s="134"/>
    </row>
    <row r="7827" spans="8:8" x14ac:dyDescent="0.25">
      <c r="H7827" s="134"/>
    </row>
    <row r="7828" spans="8:8" x14ac:dyDescent="0.25">
      <c r="H7828" s="134"/>
    </row>
    <row r="7829" spans="8:8" x14ac:dyDescent="0.25">
      <c r="H7829" s="134"/>
    </row>
    <row r="7830" spans="8:8" x14ac:dyDescent="0.25">
      <c r="H7830" s="134"/>
    </row>
    <row r="7831" spans="8:8" x14ac:dyDescent="0.25">
      <c r="H7831" s="134"/>
    </row>
    <row r="7832" spans="8:8" x14ac:dyDescent="0.25">
      <c r="H7832" s="134"/>
    </row>
    <row r="7833" spans="8:8" x14ac:dyDescent="0.25">
      <c r="H7833" s="134"/>
    </row>
    <row r="7834" spans="8:8" x14ac:dyDescent="0.25">
      <c r="H7834" s="134"/>
    </row>
    <row r="7835" spans="8:8" x14ac:dyDescent="0.25">
      <c r="H7835" s="134"/>
    </row>
    <row r="7836" spans="8:8" x14ac:dyDescent="0.25">
      <c r="H7836" s="134"/>
    </row>
    <row r="7837" spans="8:8" x14ac:dyDescent="0.25">
      <c r="H7837" s="134"/>
    </row>
    <row r="7838" spans="8:8" x14ac:dyDescent="0.25">
      <c r="H7838" s="134"/>
    </row>
    <row r="7839" spans="8:8" x14ac:dyDescent="0.25">
      <c r="H7839" s="134"/>
    </row>
    <row r="7840" spans="8:8" x14ac:dyDescent="0.25">
      <c r="H7840" s="134"/>
    </row>
    <row r="7841" spans="8:8" x14ac:dyDescent="0.25">
      <c r="H7841" s="134"/>
    </row>
    <row r="7842" spans="8:8" x14ac:dyDescent="0.25">
      <c r="H7842" s="134"/>
    </row>
    <row r="7843" spans="8:8" x14ac:dyDescent="0.25">
      <c r="H7843" s="134"/>
    </row>
    <row r="7844" spans="8:8" x14ac:dyDescent="0.25">
      <c r="H7844" s="134"/>
    </row>
    <row r="7845" spans="8:8" x14ac:dyDescent="0.25">
      <c r="H7845" s="134"/>
    </row>
    <row r="7846" spans="8:8" x14ac:dyDescent="0.25">
      <c r="H7846" s="134"/>
    </row>
    <row r="7847" spans="8:8" x14ac:dyDescent="0.25">
      <c r="H7847" s="134"/>
    </row>
    <row r="7848" spans="8:8" x14ac:dyDescent="0.25">
      <c r="H7848" s="134"/>
    </row>
    <row r="7849" spans="8:8" x14ac:dyDescent="0.25">
      <c r="H7849" s="134"/>
    </row>
    <row r="7850" spans="8:8" x14ac:dyDescent="0.25">
      <c r="H7850" s="134"/>
    </row>
    <row r="7851" spans="8:8" x14ac:dyDescent="0.25">
      <c r="H7851" s="134"/>
    </row>
    <row r="7852" spans="8:8" x14ac:dyDescent="0.25">
      <c r="H7852" s="134"/>
    </row>
    <row r="7853" spans="8:8" x14ac:dyDescent="0.25">
      <c r="H7853" s="134"/>
    </row>
    <row r="7854" spans="8:8" x14ac:dyDescent="0.25">
      <c r="H7854" s="134"/>
    </row>
    <row r="7855" spans="8:8" x14ac:dyDescent="0.25">
      <c r="H7855" s="134"/>
    </row>
    <row r="7856" spans="8:8" x14ac:dyDescent="0.25">
      <c r="H7856" s="134"/>
    </row>
    <row r="7857" spans="8:8" x14ac:dyDescent="0.25">
      <c r="H7857" s="134"/>
    </row>
    <row r="7858" spans="8:8" x14ac:dyDescent="0.25">
      <c r="H7858" s="134"/>
    </row>
    <row r="7859" spans="8:8" x14ac:dyDescent="0.25">
      <c r="H7859" s="134"/>
    </row>
    <row r="7860" spans="8:8" x14ac:dyDescent="0.25">
      <c r="H7860" s="134"/>
    </row>
    <row r="7861" spans="8:8" x14ac:dyDescent="0.25">
      <c r="H7861" s="134"/>
    </row>
    <row r="7862" spans="8:8" x14ac:dyDescent="0.25">
      <c r="H7862" s="134"/>
    </row>
    <row r="7863" spans="8:8" x14ac:dyDescent="0.25">
      <c r="H7863" s="134"/>
    </row>
    <row r="7864" spans="8:8" x14ac:dyDescent="0.25">
      <c r="H7864" s="134"/>
    </row>
    <row r="7865" spans="8:8" x14ac:dyDescent="0.25">
      <c r="H7865" s="134"/>
    </row>
    <row r="7866" spans="8:8" x14ac:dyDescent="0.25">
      <c r="H7866" s="134"/>
    </row>
    <row r="7867" spans="8:8" x14ac:dyDescent="0.25">
      <c r="H7867" s="134"/>
    </row>
    <row r="7868" spans="8:8" x14ac:dyDescent="0.25">
      <c r="H7868" s="134"/>
    </row>
    <row r="7869" spans="8:8" x14ac:dyDescent="0.25">
      <c r="H7869" s="134"/>
    </row>
    <row r="7870" spans="8:8" x14ac:dyDescent="0.25">
      <c r="H7870" s="134"/>
    </row>
    <row r="7871" spans="8:8" x14ac:dyDescent="0.25">
      <c r="H7871" s="134"/>
    </row>
    <row r="7872" spans="8:8" x14ac:dyDescent="0.25">
      <c r="H7872" s="134"/>
    </row>
    <row r="7873" spans="8:8" x14ac:dyDescent="0.25">
      <c r="H7873" s="134"/>
    </row>
    <row r="7874" spans="8:8" x14ac:dyDescent="0.25">
      <c r="H7874" s="134"/>
    </row>
    <row r="7875" spans="8:8" x14ac:dyDescent="0.25">
      <c r="H7875" s="134"/>
    </row>
    <row r="7876" spans="8:8" x14ac:dyDescent="0.25">
      <c r="H7876" s="134"/>
    </row>
    <row r="7877" spans="8:8" x14ac:dyDescent="0.25">
      <c r="H7877" s="134"/>
    </row>
    <row r="7878" spans="8:8" x14ac:dyDescent="0.25">
      <c r="H7878" s="134"/>
    </row>
    <row r="7879" spans="8:8" x14ac:dyDescent="0.25">
      <c r="H7879" s="134"/>
    </row>
    <row r="7880" spans="8:8" x14ac:dyDescent="0.25">
      <c r="H7880" s="134"/>
    </row>
    <row r="7881" spans="8:8" x14ac:dyDescent="0.25">
      <c r="H7881" s="134"/>
    </row>
    <row r="7882" spans="8:8" x14ac:dyDescent="0.25">
      <c r="H7882" s="134"/>
    </row>
    <row r="7883" spans="8:8" x14ac:dyDescent="0.25">
      <c r="H7883" s="134"/>
    </row>
    <row r="7884" spans="8:8" x14ac:dyDescent="0.25">
      <c r="H7884" s="134"/>
    </row>
    <row r="7885" spans="8:8" x14ac:dyDescent="0.25">
      <c r="H7885" s="134"/>
    </row>
    <row r="7886" spans="8:8" x14ac:dyDescent="0.25">
      <c r="H7886" s="134"/>
    </row>
    <row r="7887" spans="8:8" x14ac:dyDescent="0.25">
      <c r="H7887" s="134"/>
    </row>
    <row r="7888" spans="8:8" x14ac:dyDescent="0.25">
      <c r="H7888" s="134"/>
    </row>
    <row r="7889" spans="8:8" x14ac:dyDescent="0.25">
      <c r="H7889" s="134"/>
    </row>
    <row r="7890" spans="8:8" x14ac:dyDescent="0.25">
      <c r="H7890" s="134"/>
    </row>
    <row r="7891" spans="8:8" x14ac:dyDescent="0.25">
      <c r="H7891" s="134"/>
    </row>
    <row r="7892" spans="8:8" x14ac:dyDescent="0.25">
      <c r="H7892" s="134"/>
    </row>
    <row r="7893" spans="8:8" x14ac:dyDescent="0.25">
      <c r="H7893" s="134"/>
    </row>
    <row r="7894" spans="8:8" x14ac:dyDescent="0.25">
      <c r="H7894" s="134"/>
    </row>
    <row r="7895" spans="8:8" x14ac:dyDescent="0.25">
      <c r="H7895" s="134"/>
    </row>
    <row r="7896" spans="8:8" x14ac:dyDescent="0.25">
      <c r="H7896" s="134"/>
    </row>
    <row r="7897" spans="8:8" x14ac:dyDescent="0.25">
      <c r="H7897" s="134"/>
    </row>
    <row r="7898" spans="8:8" x14ac:dyDescent="0.25">
      <c r="H7898" s="134"/>
    </row>
    <row r="7899" spans="8:8" x14ac:dyDescent="0.25">
      <c r="H7899" s="134"/>
    </row>
    <row r="7900" spans="8:8" x14ac:dyDescent="0.25">
      <c r="H7900" s="134"/>
    </row>
    <row r="7901" spans="8:8" x14ac:dyDescent="0.25">
      <c r="H7901" s="134"/>
    </row>
    <row r="7902" spans="8:8" x14ac:dyDescent="0.25">
      <c r="H7902" s="134"/>
    </row>
    <row r="7903" spans="8:8" x14ac:dyDescent="0.25">
      <c r="H7903" s="134"/>
    </row>
    <row r="7904" spans="8:8" x14ac:dyDescent="0.25">
      <c r="H7904" s="134"/>
    </row>
    <row r="7905" spans="8:8" x14ac:dyDescent="0.25">
      <c r="H7905" s="134"/>
    </row>
    <row r="7906" spans="8:8" x14ac:dyDescent="0.25">
      <c r="H7906" s="134"/>
    </row>
    <row r="7907" spans="8:8" x14ac:dyDescent="0.25">
      <c r="H7907" s="134"/>
    </row>
    <row r="7908" spans="8:8" x14ac:dyDescent="0.25">
      <c r="H7908" s="134"/>
    </row>
    <row r="7909" spans="8:8" x14ac:dyDescent="0.25">
      <c r="H7909" s="134"/>
    </row>
    <row r="7910" spans="8:8" x14ac:dyDescent="0.25">
      <c r="H7910" s="134"/>
    </row>
    <row r="7911" spans="8:8" x14ac:dyDescent="0.25">
      <c r="H7911" s="134"/>
    </row>
    <row r="7912" spans="8:8" x14ac:dyDescent="0.25">
      <c r="H7912" s="134"/>
    </row>
    <row r="7913" spans="8:8" x14ac:dyDescent="0.25">
      <c r="H7913" s="134"/>
    </row>
    <row r="7914" spans="8:8" x14ac:dyDescent="0.25">
      <c r="H7914" s="134"/>
    </row>
    <row r="7915" spans="8:8" x14ac:dyDescent="0.25">
      <c r="H7915" s="134"/>
    </row>
    <row r="7916" spans="8:8" x14ac:dyDescent="0.25">
      <c r="H7916" s="134"/>
    </row>
    <row r="7917" spans="8:8" x14ac:dyDescent="0.25">
      <c r="H7917" s="134"/>
    </row>
    <row r="7918" spans="8:8" x14ac:dyDescent="0.25">
      <c r="H7918" s="134"/>
    </row>
    <row r="7919" spans="8:8" x14ac:dyDescent="0.25">
      <c r="H7919" s="134"/>
    </row>
    <row r="7920" spans="8:8" x14ac:dyDescent="0.25">
      <c r="H7920" s="134"/>
    </row>
    <row r="7921" spans="8:8" x14ac:dyDescent="0.25">
      <c r="H7921" s="134"/>
    </row>
    <row r="7922" spans="8:8" x14ac:dyDescent="0.25">
      <c r="H7922" s="134"/>
    </row>
    <row r="7923" spans="8:8" x14ac:dyDescent="0.25">
      <c r="H7923" s="134"/>
    </row>
    <row r="7924" spans="8:8" x14ac:dyDescent="0.25">
      <c r="H7924" s="134"/>
    </row>
    <row r="7925" spans="8:8" x14ac:dyDescent="0.25">
      <c r="H7925" s="134"/>
    </row>
    <row r="7926" spans="8:8" x14ac:dyDescent="0.25">
      <c r="H7926" s="134"/>
    </row>
    <row r="7927" spans="8:8" x14ac:dyDescent="0.25">
      <c r="H7927" s="134"/>
    </row>
    <row r="7928" spans="8:8" x14ac:dyDescent="0.25">
      <c r="H7928" s="134"/>
    </row>
    <row r="7929" spans="8:8" x14ac:dyDescent="0.25">
      <c r="H7929" s="134"/>
    </row>
    <row r="7930" spans="8:8" x14ac:dyDescent="0.25">
      <c r="H7930" s="134"/>
    </row>
    <row r="7931" spans="8:8" x14ac:dyDescent="0.25">
      <c r="H7931" s="134"/>
    </row>
    <row r="7932" spans="8:8" x14ac:dyDescent="0.25">
      <c r="H7932" s="134"/>
    </row>
    <row r="7933" spans="8:8" x14ac:dyDescent="0.25">
      <c r="H7933" s="134"/>
    </row>
    <row r="7934" spans="8:8" x14ac:dyDescent="0.25">
      <c r="H7934" s="134"/>
    </row>
    <row r="7935" spans="8:8" x14ac:dyDescent="0.25">
      <c r="H7935" s="134"/>
    </row>
    <row r="7936" spans="8:8" x14ac:dyDescent="0.25">
      <c r="H7936" s="134"/>
    </row>
    <row r="7937" spans="8:8" x14ac:dyDescent="0.25">
      <c r="H7937" s="134"/>
    </row>
    <row r="7938" spans="8:8" x14ac:dyDescent="0.25">
      <c r="H7938" s="134"/>
    </row>
    <row r="7939" spans="8:8" x14ac:dyDescent="0.25">
      <c r="H7939" s="134"/>
    </row>
    <row r="7940" spans="8:8" x14ac:dyDescent="0.25">
      <c r="H7940" s="134"/>
    </row>
    <row r="7941" spans="8:8" x14ac:dyDescent="0.25">
      <c r="H7941" s="134"/>
    </row>
    <row r="7942" spans="8:8" x14ac:dyDescent="0.25">
      <c r="H7942" s="134"/>
    </row>
    <row r="7943" spans="8:8" x14ac:dyDescent="0.25">
      <c r="H7943" s="134"/>
    </row>
    <row r="7944" spans="8:8" x14ac:dyDescent="0.25">
      <c r="H7944" s="134"/>
    </row>
    <row r="7945" spans="8:8" x14ac:dyDescent="0.25">
      <c r="H7945" s="134"/>
    </row>
    <row r="7946" spans="8:8" x14ac:dyDescent="0.25">
      <c r="H7946" s="134"/>
    </row>
    <row r="7947" spans="8:8" x14ac:dyDescent="0.25">
      <c r="H7947" s="134"/>
    </row>
    <row r="7948" spans="8:8" x14ac:dyDescent="0.25">
      <c r="H7948" s="134"/>
    </row>
    <row r="7949" spans="8:8" x14ac:dyDescent="0.25">
      <c r="H7949" s="134"/>
    </row>
    <row r="7950" spans="8:8" x14ac:dyDescent="0.25">
      <c r="H7950" s="134"/>
    </row>
    <row r="7951" spans="8:8" x14ac:dyDescent="0.25">
      <c r="H7951" s="134"/>
    </row>
    <row r="7952" spans="8:8" x14ac:dyDescent="0.25">
      <c r="H7952" s="134"/>
    </row>
    <row r="7953" spans="8:8" x14ac:dyDescent="0.25">
      <c r="H7953" s="134"/>
    </row>
    <row r="7954" spans="8:8" x14ac:dyDescent="0.25">
      <c r="H7954" s="134"/>
    </row>
    <row r="7955" spans="8:8" x14ac:dyDescent="0.25">
      <c r="H7955" s="134"/>
    </row>
    <row r="7956" spans="8:8" x14ac:dyDescent="0.25">
      <c r="H7956" s="134"/>
    </row>
    <row r="7957" spans="8:8" x14ac:dyDescent="0.25">
      <c r="H7957" s="134"/>
    </row>
    <row r="7958" spans="8:8" x14ac:dyDescent="0.25">
      <c r="H7958" s="134"/>
    </row>
    <row r="7959" spans="8:8" x14ac:dyDescent="0.25">
      <c r="H7959" s="134"/>
    </row>
    <row r="7960" spans="8:8" x14ac:dyDescent="0.25">
      <c r="H7960" s="134"/>
    </row>
    <row r="7961" spans="8:8" x14ac:dyDescent="0.25">
      <c r="H7961" s="134"/>
    </row>
    <row r="7962" spans="8:8" x14ac:dyDescent="0.25">
      <c r="H7962" s="134"/>
    </row>
    <row r="7963" spans="8:8" x14ac:dyDescent="0.25">
      <c r="H7963" s="134"/>
    </row>
    <row r="7964" spans="8:8" x14ac:dyDescent="0.25">
      <c r="H7964" s="134"/>
    </row>
    <row r="7965" spans="8:8" x14ac:dyDescent="0.25">
      <c r="H7965" s="134"/>
    </row>
    <row r="7966" spans="8:8" x14ac:dyDescent="0.25">
      <c r="H7966" s="134"/>
    </row>
    <row r="7967" spans="8:8" x14ac:dyDescent="0.25">
      <c r="H7967" s="134"/>
    </row>
    <row r="7968" spans="8:8" x14ac:dyDescent="0.25">
      <c r="H7968" s="134"/>
    </row>
    <row r="7969" spans="8:8" x14ac:dyDescent="0.25">
      <c r="H7969" s="134"/>
    </row>
    <row r="7970" spans="8:8" x14ac:dyDescent="0.25">
      <c r="H7970" s="134"/>
    </row>
    <row r="7971" spans="8:8" x14ac:dyDescent="0.25">
      <c r="H7971" s="134"/>
    </row>
    <row r="7972" spans="8:8" x14ac:dyDescent="0.25">
      <c r="H7972" s="134"/>
    </row>
    <row r="7973" spans="8:8" x14ac:dyDescent="0.25">
      <c r="H7973" s="134"/>
    </row>
    <row r="7974" spans="8:8" x14ac:dyDescent="0.25">
      <c r="H7974" s="134"/>
    </row>
    <row r="7975" spans="8:8" x14ac:dyDescent="0.25">
      <c r="H7975" s="134"/>
    </row>
    <row r="7976" spans="8:8" x14ac:dyDescent="0.25">
      <c r="H7976" s="134"/>
    </row>
    <row r="7977" spans="8:8" x14ac:dyDescent="0.25">
      <c r="H7977" s="134"/>
    </row>
    <row r="7978" spans="8:8" x14ac:dyDescent="0.25">
      <c r="H7978" s="134"/>
    </row>
    <row r="7979" spans="8:8" x14ac:dyDescent="0.25">
      <c r="H7979" s="134"/>
    </row>
    <row r="7980" spans="8:8" x14ac:dyDescent="0.25">
      <c r="H7980" s="134"/>
    </row>
    <row r="7981" spans="8:8" x14ac:dyDescent="0.25">
      <c r="H7981" s="134"/>
    </row>
    <row r="7982" spans="8:8" x14ac:dyDescent="0.25">
      <c r="H7982" s="134"/>
    </row>
    <row r="7983" spans="8:8" x14ac:dyDescent="0.25">
      <c r="H7983" s="134"/>
    </row>
    <row r="7984" spans="8:8" x14ac:dyDescent="0.25">
      <c r="H7984" s="134"/>
    </row>
    <row r="7985" spans="8:8" x14ac:dyDescent="0.25">
      <c r="H7985" s="134"/>
    </row>
    <row r="7986" spans="8:8" x14ac:dyDescent="0.25">
      <c r="H7986" s="134"/>
    </row>
    <row r="7987" spans="8:8" x14ac:dyDescent="0.25">
      <c r="H7987" s="134"/>
    </row>
    <row r="7988" spans="8:8" x14ac:dyDescent="0.25">
      <c r="H7988" s="134"/>
    </row>
    <row r="7989" spans="8:8" x14ac:dyDescent="0.25">
      <c r="H7989" s="134"/>
    </row>
    <row r="7990" spans="8:8" x14ac:dyDescent="0.25">
      <c r="H7990" s="134"/>
    </row>
    <row r="7991" spans="8:8" x14ac:dyDescent="0.25">
      <c r="H7991" s="134"/>
    </row>
    <row r="7992" spans="8:8" x14ac:dyDescent="0.25">
      <c r="H7992" s="134"/>
    </row>
    <row r="7993" spans="8:8" x14ac:dyDescent="0.25">
      <c r="H7993" s="134"/>
    </row>
    <row r="7994" spans="8:8" x14ac:dyDescent="0.25">
      <c r="H7994" s="134"/>
    </row>
    <row r="7995" spans="8:8" x14ac:dyDescent="0.25">
      <c r="H7995" s="134"/>
    </row>
    <row r="7996" spans="8:8" x14ac:dyDescent="0.25">
      <c r="H7996" s="134"/>
    </row>
    <row r="7997" spans="8:8" x14ac:dyDescent="0.25">
      <c r="H7997" s="134"/>
    </row>
    <row r="7998" spans="8:8" x14ac:dyDescent="0.25">
      <c r="H7998" s="134"/>
    </row>
    <row r="7999" spans="8:8" x14ac:dyDescent="0.25">
      <c r="H7999" s="134"/>
    </row>
    <row r="8000" spans="8:8" x14ac:dyDescent="0.25">
      <c r="H8000" s="134"/>
    </row>
    <row r="8001" spans="8:8" x14ac:dyDescent="0.25">
      <c r="H8001" s="134"/>
    </row>
    <row r="8002" spans="8:8" x14ac:dyDescent="0.25">
      <c r="H8002" s="134"/>
    </row>
    <row r="8003" spans="8:8" x14ac:dyDescent="0.25">
      <c r="H8003" s="134"/>
    </row>
    <row r="8004" spans="8:8" x14ac:dyDescent="0.25">
      <c r="H8004" s="134"/>
    </row>
    <row r="8005" spans="8:8" x14ac:dyDescent="0.25">
      <c r="H8005" s="134"/>
    </row>
    <row r="8006" spans="8:8" x14ac:dyDescent="0.25">
      <c r="H8006" s="134"/>
    </row>
    <row r="8007" spans="8:8" x14ac:dyDescent="0.25">
      <c r="H8007" s="134"/>
    </row>
    <row r="8008" spans="8:8" x14ac:dyDescent="0.25">
      <c r="H8008" s="134"/>
    </row>
    <row r="8009" spans="8:8" x14ac:dyDescent="0.25">
      <c r="H8009" s="134"/>
    </row>
    <row r="8010" spans="8:8" x14ac:dyDescent="0.25">
      <c r="H8010" s="134"/>
    </row>
    <row r="8011" spans="8:8" x14ac:dyDescent="0.25">
      <c r="H8011" s="134"/>
    </row>
    <row r="8012" spans="8:8" x14ac:dyDescent="0.25">
      <c r="H8012" s="134"/>
    </row>
    <row r="8013" spans="8:8" x14ac:dyDescent="0.25">
      <c r="H8013" s="134"/>
    </row>
    <row r="8014" spans="8:8" x14ac:dyDescent="0.25">
      <c r="H8014" s="134"/>
    </row>
    <row r="8015" spans="8:8" x14ac:dyDescent="0.25">
      <c r="H8015" s="134"/>
    </row>
    <row r="8016" spans="8:8" x14ac:dyDescent="0.25">
      <c r="H8016" s="134"/>
    </row>
    <row r="8017" spans="8:8" x14ac:dyDescent="0.25">
      <c r="H8017" s="134"/>
    </row>
    <row r="8018" spans="8:8" x14ac:dyDescent="0.25">
      <c r="H8018" s="134"/>
    </row>
    <row r="8019" spans="8:8" x14ac:dyDescent="0.25">
      <c r="H8019" s="134"/>
    </row>
    <row r="8020" spans="8:8" x14ac:dyDescent="0.25">
      <c r="H8020" s="134"/>
    </row>
    <row r="8021" spans="8:8" x14ac:dyDescent="0.25">
      <c r="H8021" s="134"/>
    </row>
    <row r="8022" spans="8:8" x14ac:dyDescent="0.25">
      <c r="H8022" s="134"/>
    </row>
    <row r="8023" spans="8:8" x14ac:dyDescent="0.25">
      <c r="H8023" s="134"/>
    </row>
    <row r="8024" spans="8:8" x14ac:dyDescent="0.25">
      <c r="H8024" s="134"/>
    </row>
    <row r="8025" spans="8:8" x14ac:dyDescent="0.25">
      <c r="H8025" s="134"/>
    </row>
    <row r="8026" spans="8:8" x14ac:dyDescent="0.25">
      <c r="H8026" s="134"/>
    </row>
    <row r="8027" spans="8:8" x14ac:dyDescent="0.25">
      <c r="H8027" s="134"/>
    </row>
    <row r="8028" spans="8:8" x14ac:dyDescent="0.25">
      <c r="H8028" s="134"/>
    </row>
    <row r="8029" spans="8:8" x14ac:dyDescent="0.25">
      <c r="H8029" s="134"/>
    </row>
    <row r="8030" spans="8:8" x14ac:dyDescent="0.25">
      <c r="H8030" s="134"/>
    </row>
    <row r="8031" spans="8:8" x14ac:dyDescent="0.25">
      <c r="H8031" s="134"/>
    </row>
    <row r="8032" spans="8:8" x14ac:dyDescent="0.25">
      <c r="H8032" s="134"/>
    </row>
    <row r="8033" spans="8:8" x14ac:dyDescent="0.25">
      <c r="H8033" s="134"/>
    </row>
    <row r="8034" spans="8:8" x14ac:dyDescent="0.25">
      <c r="H8034" s="134"/>
    </row>
    <row r="8035" spans="8:8" x14ac:dyDescent="0.25">
      <c r="H8035" s="134"/>
    </row>
    <row r="8036" spans="8:8" x14ac:dyDescent="0.25">
      <c r="H8036" s="134"/>
    </row>
    <row r="8037" spans="8:8" x14ac:dyDescent="0.25">
      <c r="H8037" s="134"/>
    </row>
    <row r="8038" spans="8:8" x14ac:dyDescent="0.25">
      <c r="H8038" s="134"/>
    </row>
    <row r="8039" spans="8:8" x14ac:dyDescent="0.25">
      <c r="H8039" s="134"/>
    </row>
    <row r="8040" spans="8:8" x14ac:dyDescent="0.25">
      <c r="H8040" s="134"/>
    </row>
    <row r="8041" spans="8:8" x14ac:dyDescent="0.25">
      <c r="H8041" s="134"/>
    </row>
    <row r="8042" spans="8:8" x14ac:dyDescent="0.25">
      <c r="H8042" s="134"/>
    </row>
    <row r="8043" spans="8:8" x14ac:dyDescent="0.25">
      <c r="H8043" s="134"/>
    </row>
    <row r="8044" spans="8:8" x14ac:dyDescent="0.25">
      <c r="H8044" s="134"/>
    </row>
    <row r="8045" spans="8:8" x14ac:dyDescent="0.25">
      <c r="H8045" s="134"/>
    </row>
    <row r="8046" spans="8:8" x14ac:dyDescent="0.25">
      <c r="H8046" s="134"/>
    </row>
    <row r="8047" spans="8:8" x14ac:dyDescent="0.25">
      <c r="H8047" s="134"/>
    </row>
    <row r="8048" spans="8:8" x14ac:dyDescent="0.25">
      <c r="H8048" s="134"/>
    </row>
    <row r="8049" spans="8:8" x14ac:dyDescent="0.25">
      <c r="H8049" s="134"/>
    </row>
    <row r="8050" spans="8:8" x14ac:dyDescent="0.25">
      <c r="H8050" s="134"/>
    </row>
    <row r="8051" spans="8:8" x14ac:dyDescent="0.25">
      <c r="H8051" s="134"/>
    </row>
    <row r="8052" spans="8:8" x14ac:dyDescent="0.25">
      <c r="H8052" s="134"/>
    </row>
    <row r="8053" spans="8:8" x14ac:dyDescent="0.25">
      <c r="H8053" s="134"/>
    </row>
    <row r="8054" spans="8:8" x14ac:dyDescent="0.25">
      <c r="H8054" s="134"/>
    </row>
    <row r="8055" spans="8:8" x14ac:dyDescent="0.25">
      <c r="H8055" s="134"/>
    </row>
    <row r="8056" spans="8:8" x14ac:dyDescent="0.25">
      <c r="H8056" s="134"/>
    </row>
    <row r="8057" spans="8:8" x14ac:dyDescent="0.25">
      <c r="H8057" s="134"/>
    </row>
    <row r="8058" spans="8:8" x14ac:dyDescent="0.25">
      <c r="H8058" s="134"/>
    </row>
    <row r="8059" spans="8:8" x14ac:dyDescent="0.25">
      <c r="H8059" s="134"/>
    </row>
    <row r="8060" spans="8:8" x14ac:dyDescent="0.25">
      <c r="H8060" s="134"/>
    </row>
    <row r="8061" spans="8:8" x14ac:dyDescent="0.25">
      <c r="H8061" s="134"/>
    </row>
    <row r="8062" spans="8:8" x14ac:dyDescent="0.25">
      <c r="H8062" s="134"/>
    </row>
    <row r="8063" spans="8:8" x14ac:dyDescent="0.25">
      <c r="H8063" s="134"/>
    </row>
    <row r="8064" spans="8:8" x14ac:dyDescent="0.25">
      <c r="H8064" s="134"/>
    </row>
    <row r="8065" spans="8:8" x14ac:dyDescent="0.25">
      <c r="H8065" s="134"/>
    </row>
    <row r="8066" spans="8:8" x14ac:dyDescent="0.25">
      <c r="H8066" s="134"/>
    </row>
    <row r="8067" spans="8:8" x14ac:dyDescent="0.25">
      <c r="H8067" s="134"/>
    </row>
    <row r="8068" spans="8:8" x14ac:dyDescent="0.25">
      <c r="H8068" s="134"/>
    </row>
    <row r="8069" spans="8:8" x14ac:dyDescent="0.25">
      <c r="H8069" s="134"/>
    </row>
    <row r="8070" spans="8:8" x14ac:dyDescent="0.25">
      <c r="H8070" s="134"/>
    </row>
    <row r="8071" spans="8:8" x14ac:dyDescent="0.25">
      <c r="H8071" s="134"/>
    </row>
    <row r="8072" spans="8:8" x14ac:dyDescent="0.25">
      <c r="H8072" s="134"/>
    </row>
    <row r="8073" spans="8:8" x14ac:dyDescent="0.25">
      <c r="H8073" s="134"/>
    </row>
    <row r="8074" spans="8:8" x14ac:dyDescent="0.25">
      <c r="H8074" s="134"/>
    </row>
    <row r="8075" spans="8:8" x14ac:dyDescent="0.25">
      <c r="H8075" s="134"/>
    </row>
    <row r="8076" spans="8:8" x14ac:dyDescent="0.25">
      <c r="H8076" s="134"/>
    </row>
    <row r="8077" spans="8:8" x14ac:dyDescent="0.25">
      <c r="H8077" s="134"/>
    </row>
    <row r="8078" spans="8:8" x14ac:dyDescent="0.25">
      <c r="H8078" s="134"/>
    </row>
    <row r="8079" spans="8:8" x14ac:dyDescent="0.25">
      <c r="H8079" s="134"/>
    </row>
    <row r="8080" spans="8:8" x14ac:dyDescent="0.25">
      <c r="H8080" s="134"/>
    </row>
    <row r="8081" spans="8:8" x14ac:dyDescent="0.25">
      <c r="H8081" s="134"/>
    </row>
    <row r="8082" spans="8:8" x14ac:dyDescent="0.25">
      <c r="H8082" s="134"/>
    </row>
    <row r="8083" spans="8:8" x14ac:dyDescent="0.25">
      <c r="H8083" s="134"/>
    </row>
    <row r="8084" spans="8:8" x14ac:dyDescent="0.25">
      <c r="H8084" s="134"/>
    </row>
    <row r="8085" spans="8:8" x14ac:dyDescent="0.25">
      <c r="H8085" s="134"/>
    </row>
    <row r="8086" spans="8:8" x14ac:dyDescent="0.25">
      <c r="H8086" s="134"/>
    </row>
    <row r="8087" spans="8:8" x14ac:dyDescent="0.25">
      <c r="H8087" s="134"/>
    </row>
    <row r="8088" spans="8:8" x14ac:dyDescent="0.25">
      <c r="H8088" s="134"/>
    </row>
    <row r="8089" spans="8:8" x14ac:dyDescent="0.25">
      <c r="H8089" s="134"/>
    </row>
    <row r="8090" spans="8:8" x14ac:dyDescent="0.25">
      <c r="H8090" s="134"/>
    </row>
    <row r="8091" spans="8:8" x14ac:dyDescent="0.25">
      <c r="H8091" s="134"/>
    </row>
    <row r="8092" spans="8:8" x14ac:dyDescent="0.25">
      <c r="H8092" s="134"/>
    </row>
    <row r="8093" spans="8:8" x14ac:dyDescent="0.25">
      <c r="H8093" s="134"/>
    </row>
    <row r="8094" spans="8:8" x14ac:dyDescent="0.25">
      <c r="H8094" s="134"/>
    </row>
    <row r="8095" spans="8:8" x14ac:dyDescent="0.25">
      <c r="H8095" s="134"/>
    </row>
    <row r="8096" spans="8:8" x14ac:dyDescent="0.25">
      <c r="H8096" s="134"/>
    </row>
    <row r="8097" spans="8:8" x14ac:dyDescent="0.25">
      <c r="H8097" s="134"/>
    </row>
    <row r="8098" spans="8:8" x14ac:dyDescent="0.25">
      <c r="H8098" s="134"/>
    </row>
    <row r="8099" spans="8:8" x14ac:dyDescent="0.25">
      <c r="H8099" s="134"/>
    </row>
    <row r="8100" spans="8:8" x14ac:dyDescent="0.25">
      <c r="H8100" s="134"/>
    </row>
    <row r="8101" spans="8:8" x14ac:dyDescent="0.25">
      <c r="H8101" s="134"/>
    </row>
    <row r="8102" spans="8:8" x14ac:dyDescent="0.25">
      <c r="H8102" s="134"/>
    </row>
    <row r="8103" spans="8:8" x14ac:dyDescent="0.25">
      <c r="H8103" s="134"/>
    </row>
    <row r="8104" spans="8:8" x14ac:dyDescent="0.25">
      <c r="H8104" s="134"/>
    </row>
    <row r="8105" spans="8:8" x14ac:dyDescent="0.25">
      <c r="H8105" s="134"/>
    </row>
    <row r="8106" spans="8:8" x14ac:dyDescent="0.25">
      <c r="H8106" s="134"/>
    </row>
    <row r="8107" spans="8:8" x14ac:dyDescent="0.25">
      <c r="H8107" s="134"/>
    </row>
    <row r="8108" spans="8:8" x14ac:dyDescent="0.25">
      <c r="H8108" s="134"/>
    </row>
    <row r="8109" spans="8:8" x14ac:dyDescent="0.25">
      <c r="H8109" s="134"/>
    </row>
    <row r="8110" spans="8:8" x14ac:dyDescent="0.25">
      <c r="H8110" s="134"/>
    </row>
    <row r="8111" spans="8:8" x14ac:dyDescent="0.25">
      <c r="H8111" s="134"/>
    </row>
    <row r="8112" spans="8:8" x14ac:dyDescent="0.25">
      <c r="H8112" s="134"/>
    </row>
    <row r="8113" spans="8:8" x14ac:dyDescent="0.25">
      <c r="H8113" s="134"/>
    </row>
    <row r="8114" spans="8:8" x14ac:dyDescent="0.25">
      <c r="H8114" s="134"/>
    </row>
    <row r="8115" spans="8:8" x14ac:dyDescent="0.25">
      <c r="H8115" s="134"/>
    </row>
    <row r="8116" spans="8:8" x14ac:dyDescent="0.25">
      <c r="H8116" s="134"/>
    </row>
    <row r="8117" spans="8:8" x14ac:dyDescent="0.25">
      <c r="H8117" s="134"/>
    </row>
    <row r="8118" spans="8:8" x14ac:dyDescent="0.25">
      <c r="H8118" s="134"/>
    </row>
    <row r="8119" spans="8:8" x14ac:dyDescent="0.25">
      <c r="H8119" s="134"/>
    </row>
    <row r="8120" spans="8:8" x14ac:dyDescent="0.25">
      <c r="H8120" s="134"/>
    </row>
    <row r="8121" spans="8:8" x14ac:dyDescent="0.25">
      <c r="H8121" s="134"/>
    </row>
    <row r="8122" spans="8:8" x14ac:dyDescent="0.25">
      <c r="H8122" s="134"/>
    </row>
    <row r="8123" spans="8:8" x14ac:dyDescent="0.25">
      <c r="H8123" s="134"/>
    </row>
    <row r="8124" spans="8:8" x14ac:dyDescent="0.25">
      <c r="H8124" s="134"/>
    </row>
    <row r="8125" spans="8:8" x14ac:dyDescent="0.25">
      <c r="H8125" s="134"/>
    </row>
    <row r="8126" spans="8:8" x14ac:dyDescent="0.25">
      <c r="H8126" s="134"/>
    </row>
    <row r="8127" spans="8:8" x14ac:dyDescent="0.25">
      <c r="H8127" s="134"/>
    </row>
    <row r="8128" spans="8:8" x14ac:dyDescent="0.25">
      <c r="H8128" s="134"/>
    </row>
    <row r="8129" spans="8:8" x14ac:dyDescent="0.25">
      <c r="H8129" s="134"/>
    </row>
    <row r="8130" spans="8:8" x14ac:dyDescent="0.25">
      <c r="H8130" s="134"/>
    </row>
    <row r="8131" spans="8:8" x14ac:dyDescent="0.25">
      <c r="H8131" s="134"/>
    </row>
    <row r="8132" spans="8:8" x14ac:dyDescent="0.25">
      <c r="H8132" s="134"/>
    </row>
    <row r="8133" spans="8:8" x14ac:dyDescent="0.25">
      <c r="H8133" s="134"/>
    </row>
    <row r="8134" spans="8:8" x14ac:dyDescent="0.25">
      <c r="H8134" s="134"/>
    </row>
    <row r="8135" spans="8:8" x14ac:dyDescent="0.25">
      <c r="H8135" s="134"/>
    </row>
    <row r="8136" spans="8:8" x14ac:dyDescent="0.25">
      <c r="H8136" s="134"/>
    </row>
    <row r="8137" spans="8:8" x14ac:dyDescent="0.25">
      <c r="H8137" s="134"/>
    </row>
    <row r="8138" spans="8:8" x14ac:dyDescent="0.25">
      <c r="H8138" s="134"/>
    </row>
    <row r="8139" spans="8:8" x14ac:dyDescent="0.25">
      <c r="H8139" s="134"/>
    </row>
    <row r="8140" spans="8:8" x14ac:dyDescent="0.25">
      <c r="H8140" s="134"/>
    </row>
    <row r="8141" spans="8:8" x14ac:dyDescent="0.25">
      <c r="H8141" s="134"/>
    </row>
    <row r="8142" spans="8:8" x14ac:dyDescent="0.25">
      <c r="H8142" s="134"/>
    </row>
    <row r="8143" spans="8:8" x14ac:dyDescent="0.25">
      <c r="H8143" s="134"/>
    </row>
    <row r="8144" spans="8:8" x14ac:dyDescent="0.25">
      <c r="H8144" s="134"/>
    </row>
    <row r="8145" spans="8:8" x14ac:dyDescent="0.25">
      <c r="H8145" s="134"/>
    </row>
    <row r="8146" spans="8:8" x14ac:dyDescent="0.25">
      <c r="H8146" s="134"/>
    </row>
    <row r="8147" spans="8:8" x14ac:dyDescent="0.25">
      <c r="H8147" s="134"/>
    </row>
    <row r="8148" spans="8:8" x14ac:dyDescent="0.25">
      <c r="H8148" s="134"/>
    </row>
    <row r="8149" spans="8:8" x14ac:dyDescent="0.25">
      <c r="H8149" s="134"/>
    </row>
    <row r="8150" spans="8:8" x14ac:dyDescent="0.25">
      <c r="H8150" s="134"/>
    </row>
    <row r="8151" spans="8:8" x14ac:dyDescent="0.25">
      <c r="H8151" s="134"/>
    </row>
    <row r="8152" spans="8:8" x14ac:dyDescent="0.25">
      <c r="H8152" s="134"/>
    </row>
    <row r="8153" spans="8:8" x14ac:dyDescent="0.25">
      <c r="H8153" s="134"/>
    </row>
    <row r="8154" spans="8:8" x14ac:dyDescent="0.25">
      <c r="H8154" s="134"/>
    </row>
    <row r="8155" spans="8:8" x14ac:dyDescent="0.25">
      <c r="H8155" s="134"/>
    </row>
    <row r="8156" spans="8:8" x14ac:dyDescent="0.25">
      <c r="H8156" s="134"/>
    </row>
    <row r="8157" spans="8:8" x14ac:dyDescent="0.25">
      <c r="H8157" s="134"/>
    </row>
    <row r="8158" spans="8:8" x14ac:dyDescent="0.25">
      <c r="H8158" s="134"/>
    </row>
    <row r="8159" spans="8:8" x14ac:dyDescent="0.25">
      <c r="H8159" s="134"/>
    </row>
    <row r="8160" spans="8:8" x14ac:dyDescent="0.25">
      <c r="H8160" s="134"/>
    </row>
    <row r="8161" spans="8:8" x14ac:dyDescent="0.25">
      <c r="H8161" s="134"/>
    </row>
    <row r="8162" spans="8:8" x14ac:dyDescent="0.25">
      <c r="H8162" s="134"/>
    </row>
    <row r="8163" spans="8:8" x14ac:dyDescent="0.25">
      <c r="H8163" s="134"/>
    </row>
    <row r="8164" spans="8:8" x14ac:dyDescent="0.25">
      <c r="H8164" s="134"/>
    </row>
    <row r="8165" spans="8:8" x14ac:dyDescent="0.25">
      <c r="H8165" s="134"/>
    </row>
    <row r="8166" spans="8:8" x14ac:dyDescent="0.25">
      <c r="H8166" s="134"/>
    </row>
    <row r="8167" spans="8:8" x14ac:dyDescent="0.25">
      <c r="H8167" s="134"/>
    </row>
    <row r="8168" spans="8:8" x14ac:dyDescent="0.25">
      <c r="H8168" s="134"/>
    </row>
    <row r="8169" spans="8:8" x14ac:dyDescent="0.25">
      <c r="H8169" s="134"/>
    </row>
    <row r="8170" spans="8:8" x14ac:dyDescent="0.25">
      <c r="H8170" s="134"/>
    </row>
    <row r="8171" spans="8:8" x14ac:dyDescent="0.25">
      <c r="H8171" s="134"/>
    </row>
    <row r="8172" spans="8:8" x14ac:dyDescent="0.25">
      <c r="H8172" s="134"/>
    </row>
    <row r="8173" spans="8:8" x14ac:dyDescent="0.25">
      <c r="H8173" s="134"/>
    </row>
    <row r="8174" spans="8:8" x14ac:dyDescent="0.25">
      <c r="H8174" s="134"/>
    </row>
    <row r="8175" spans="8:8" x14ac:dyDescent="0.25">
      <c r="H8175" s="134"/>
    </row>
    <row r="8176" spans="8:8" x14ac:dyDescent="0.25">
      <c r="H8176" s="134"/>
    </row>
    <row r="8177" spans="8:8" x14ac:dyDescent="0.25">
      <c r="H8177" s="134"/>
    </row>
    <row r="8178" spans="8:8" x14ac:dyDescent="0.25">
      <c r="H8178" s="134"/>
    </row>
    <row r="8179" spans="8:8" x14ac:dyDescent="0.25">
      <c r="H8179" s="134"/>
    </row>
    <row r="8180" spans="8:8" x14ac:dyDescent="0.25">
      <c r="H8180" s="134"/>
    </row>
    <row r="8181" spans="8:8" x14ac:dyDescent="0.25">
      <c r="H8181" s="134"/>
    </row>
    <row r="8182" spans="8:8" x14ac:dyDescent="0.25">
      <c r="H8182" s="134"/>
    </row>
    <row r="8183" spans="8:8" x14ac:dyDescent="0.25">
      <c r="H8183" s="134"/>
    </row>
    <row r="8184" spans="8:8" x14ac:dyDescent="0.25">
      <c r="H8184" s="134"/>
    </row>
    <row r="8185" spans="8:8" x14ac:dyDescent="0.25">
      <c r="H8185" s="134"/>
    </row>
    <row r="8186" spans="8:8" x14ac:dyDescent="0.25">
      <c r="H8186" s="134"/>
    </row>
    <row r="8187" spans="8:8" x14ac:dyDescent="0.25">
      <c r="H8187" s="134"/>
    </row>
    <row r="8188" spans="8:8" x14ac:dyDescent="0.25">
      <c r="H8188" s="134"/>
    </row>
    <row r="8189" spans="8:8" x14ac:dyDescent="0.25">
      <c r="H8189" s="134"/>
    </row>
    <row r="8190" spans="8:8" x14ac:dyDescent="0.25">
      <c r="H8190" s="134"/>
    </row>
    <row r="8191" spans="8:8" x14ac:dyDescent="0.25">
      <c r="H8191" s="134"/>
    </row>
    <row r="8192" spans="8:8" x14ac:dyDescent="0.25">
      <c r="H8192" s="134"/>
    </row>
    <row r="8193" spans="8:8" x14ac:dyDescent="0.25">
      <c r="H8193" s="134"/>
    </row>
    <row r="8194" spans="8:8" x14ac:dyDescent="0.25">
      <c r="H8194" s="134"/>
    </row>
    <row r="8195" spans="8:8" x14ac:dyDescent="0.25">
      <c r="H8195" s="134"/>
    </row>
    <row r="8196" spans="8:8" x14ac:dyDescent="0.25">
      <c r="H8196" s="134"/>
    </row>
    <row r="8197" spans="8:8" x14ac:dyDescent="0.25">
      <c r="H8197" s="134"/>
    </row>
    <row r="8198" spans="8:8" x14ac:dyDescent="0.25">
      <c r="H8198" s="134"/>
    </row>
    <row r="8199" spans="8:8" x14ac:dyDescent="0.25">
      <c r="H8199" s="134"/>
    </row>
    <row r="8200" spans="8:8" x14ac:dyDescent="0.25">
      <c r="H8200" s="134"/>
    </row>
    <row r="8201" spans="8:8" x14ac:dyDescent="0.25">
      <c r="H8201" s="134"/>
    </row>
    <row r="8202" spans="8:8" x14ac:dyDescent="0.25">
      <c r="H8202" s="134"/>
    </row>
    <row r="8203" spans="8:8" x14ac:dyDescent="0.25">
      <c r="H8203" s="134"/>
    </row>
    <row r="8204" spans="8:8" x14ac:dyDescent="0.25">
      <c r="H8204" s="134"/>
    </row>
    <row r="8205" spans="8:8" x14ac:dyDescent="0.25">
      <c r="H8205" s="134"/>
    </row>
    <row r="8206" spans="8:8" x14ac:dyDescent="0.25">
      <c r="H8206" s="134"/>
    </row>
    <row r="8207" spans="8:8" x14ac:dyDescent="0.25">
      <c r="H8207" s="134"/>
    </row>
    <row r="8208" spans="8:8" x14ac:dyDescent="0.25">
      <c r="H8208" s="134"/>
    </row>
    <row r="8209" spans="8:8" x14ac:dyDescent="0.25">
      <c r="H8209" s="134"/>
    </row>
    <row r="8210" spans="8:8" x14ac:dyDescent="0.25">
      <c r="H8210" s="134"/>
    </row>
    <row r="8211" spans="8:8" x14ac:dyDescent="0.25">
      <c r="H8211" s="134"/>
    </row>
    <row r="8212" spans="8:8" x14ac:dyDescent="0.25">
      <c r="H8212" s="134"/>
    </row>
    <row r="8213" spans="8:8" x14ac:dyDescent="0.25">
      <c r="H8213" s="134"/>
    </row>
    <row r="8214" spans="8:8" x14ac:dyDescent="0.25">
      <c r="H8214" s="134"/>
    </row>
    <row r="8215" spans="8:8" x14ac:dyDescent="0.25">
      <c r="H8215" s="134"/>
    </row>
    <row r="8216" spans="8:8" x14ac:dyDescent="0.25">
      <c r="H8216" s="134"/>
    </row>
    <row r="8217" spans="8:8" x14ac:dyDescent="0.25">
      <c r="H8217" s="134"/>
    </row>
    <row r="8218" spans="8:8" x14ac:dyDescent="0.25">
      <c r="H8218" s="134"/>
    </row>
    <row r="8219" spans="8:8" x14ac:dyDescent="0.25">
      <c r="H8219" s="134"/>
    </row>
    <row r="8220" spans="8:8" x14ac:dyDescent="0.25">
      <c r="H8220" s="134"/>
    </row>
    <row r="8221" spans="8:8" x14ac:dyDescent="0.25">
      <c r="H8221" s="134"/>
    </row>
    <row r="8222" spans="8:8" x14ac:dyDescent="0.25">
      <c r="H8222" s="134"/>
    </row>
    <row r="8223" spans="8:8" x14ac:dyDescent="0.25">
      <c r="H8223" s="134"/>
    </row>
    <row r="8224" spans="8:8" x14ac:dyDescent="0.25">
      <c r="H8224" s="134"/>
    </row>
    <row r="8225" spans="8:8" x14ac:dyDescent="0.25">
      <c r="H8225" s="134"/>
    </row>
    <row r="8226" spans="8:8" x14ac:dyDescent="0.25">
      <c r="H8226" s="134"/>
    </row>
    <row r="8227" spans="8:8" x14ac:dyDescent="0.25">
      <c r="H8227" s="134"/>
    </row>
    <row r="8228" spans="8:8" x14ac:dyDescent="0.25">
      <c r="H8228" s="134"/>
    </row>
    <row r="8229" spans="8:8" x14ac:dyDescent="0.25">
      <c r="H8229" s="134"/>
    </row>
    <row r="8230" spans="8:8" x14ac:dyDescent="0.25">
      <c r="H8230" s="134"/>
    </row>
    <row r="8231" spans="8:8" x14ac:dyDescent="0.25">
      <c r="H8231" s="134"/>
    </row>
    <row r="8232" spans="8:8" x14ac:dyDescent="0.25">
      <c r="H8232" s="134"/>
    </row>
    <row r="8233" spans="8:8" x14ac:dyDescent="0.25">
      <c r="H8233" s="134"/>
    </row>
    <row r="8234" spans="8:8" x14ac:dyDescent="0.25">
      <c r="H8234" s="134"/>
    </row>
    <row r="8235" spans="8:8" x14ac:dyDescent="0.25">
      <c r="H8235" s="134"/>
    </row>
    <row r="8236" spans="8:8" x14ac:dyDescent="0.25">
      <c r="H8236" s="134"/>
    </row>
    <row r="8237" spans="8:8" x14ac:dyDescent="0.25">
      <c r="H8237" s="134"/>
    </row>
    <row r="8238" spans="8:8" x14ac:dyDescent="0.25">
      <c r="H8238" s="134"/>
    </row>
    <row r="8239" spans="8:8" x14ac:dyDescent="0.25">
      <c r="H8239" s="134"/>
    </row>
    <row r="8240" spans="8:8" x14ac:dyDescent="0.25">
      <c r="H8240" s="134"/>
    </row>
    <row r="8241" spans="8:8" x14ac:dyDescent="0.25">
      <c r="H8241" s="134"/>
    </row>
    <row r="8242" spans="8:8" x14ac:dyDescent="0.25">
      <c r="H8242" s="134"/>
    </row>
    <row r="8243" spans="8:8" x14ac:dyDescent="0.25">
      <c r="H8243" s="134"/>
    </row>
    <row r="8244" spans="8:8" x14ac:dyDescent="0.25">
      <c r="H8244" s="134"/>
    </row>
    <row r="8245" spans="8:8" x14ac:dyDescent="0.25">
      <c r="H8245" s="134"/>
    </row>
    <row r="8246" spans="8:8" x14ac:dyDescent="0.25">
      <c r="H8246" s="134"/>
    </row>
    <row r="8247" spans="8:8" x14ac:dyDescent="0.25">
      <c r="H8247" s="134"/>
    </row>
    <row r="8248" spans="8:8" x14ac:dyDescent="0.25">
      <c r="H8248" s="134"/>
    </row>
    <row r="8249" spans="8:8" x14ac:dyDescent="0.25">
      <c r="H8249" s="134"/>
    </row>
    <row r="8250" spans="8:8" x14ac:dyDescent="0.25">
      <c r="H8250" s="134"/>
    </row>
    <row r="8251" spans="8:8" x14ac:dyDescent="0.25">
      <c r="H8251" s="134"/>
    </row>
    <row r="8252" spans="8:8" x14ac:dyDescent="0.25">
      <c r="H8252" s="134"/>
    </row>
    <row r="8253" spans="8:8" x14ac:dyDescent="0.25">
      <c r="H8253" s="134"/>
    </row>
    <row r="8254" spans="8:8" x14ac:dyDescent="0.25">
      <c r="H8254" s="134"/>
    </row>
    <row r="8255" spans="8:8" x14ac:dyDescent="0.25">
      <c r="H8255" s="134"/>
    </row>
    <row r="8256" spans="8:8" x14ac:dyDescent="0.25">
      <c r="H8256" s="134"/>
    </row>
    <row r="8257" spans="8:8" x14ac:dyDescent="0.25">
      <c r="H8257" s="134"/>
    </row>
    <row r="8258" spans="8:8" x14ac:dyDescent="0.25">
      <c r="H8258" s="134"/>
    </row>
    <row r="8259" spans="8:8" x14ac:dyDescent="0.25">
      <c r="H8259" s="134"/>
    </row>
    <row r="8260" spans="8:8" x14ac:dyDescent="0.25">
      <c r="H8260" s="134"/>
    </row>
    <row r="8261" spans="8:8" x14ac:dyDescent="0.25">
      <c r="H8261" s="134"/>
    </row>
    <row r="8262" spans="8:8" x14ac:dyDescent="0.25">
      <c r="H8262" s="134"/>
    </row>
    <row r="8263" spans="8:8" x14ac:dyDescent="0.25">
      <c r="H8263" s="134"/>
    </row>
    <row r="8264" spans="8:8" x14ac:dyDescent="0.25">
      <c r="H8264" s="134"/>
    </row>
    <row r="8265" spans="8:8" x14ac:dyDescent="0.25">
      <c r="H8265" s="134"/>
    </row>
    <row r="8266" spans="8:8" x14ac:dyDescent="0.25">
      <c r="H8266" s="134"/>
    </row>
    <row r="8267" spans="8:8" x14ac:dyDescent="0.25">
      <c r="H8267" s="134"/>
    </row>
    <row r="8268" spans="8:8" x14ac:dyDescent="0.25">
      <c r="H8268" s="134"/>
    </row>
    <row r="8269" spans="8:8" x14ac:dyDescent="0.25">
      <c r="H8269" s="134"/>
    </row>
    <row r="8270" spans="8:8" x14ac:dyDescent="0.25">
      <c r="H8270" s="134"/>
    </row>
    <row r="8271" spans="8:8" x14ac:dyDescent="0.25">
      <c r="H8271" s="134"/>
    </row>
    <row r="8272" spans="8:8" x14ac:dyDescent="0.25">
      <c r="H8272" s="134"/>
    </row>
    <row r="8273" spans="8:8" x14ac:dyDescent="0.25">
      <c r="H8273" s="134"/>
    </row>
    <row r="8274" spans="8:8" x14ac:dyDescent="0.25">
      <c r="H8274" s="134"/>
    </row>
    <row r="8275" spans="8:8" x14ac:dyDescent="0.25">
      <c r="H8275" s="134"/>
    </row>
    <row r="8276" spans="8:8" x14ac:dyDescent="0.25">
      <c r="H8276" s="134"/>
    </row>
    <row r="8277" spans="8:8" x14ac:dyDescent="0.25">
      <c r="H8277" s="134"/>
    </row>
    <row r="8278" spans="8:8" x14ac:dyDescent="0.25">
      <c r="H8278" s="134"/>
    </row>
    <row r="8279" spans="8:8" x14ac:dyDescent="0.25">
      <c r="H8279" s="134"/>
    </row>
    <row r="8280" spans="8:8" x14ac:dyDescent="0.25">
      <c r="H8280" s="134"/>
    </row>
    <row r="8281" spans="8:8" x14ac:dyDescent="0.25">
      <c r="H8281" s="134"/>
    </row>
    <row r="8282" spans="8:8" x14ac:dyDescent="0.25">
      <c r="H8282" s="134"/>
    </row>
    <row r="8283" spans="8:8" x14ac:dyDescent="0.25">
      <c r="H8283" s="134"/>
    </row>
    <row r="8284" spans="8:8" x14ac:dyDescent="0.25">
      <c r="H8284" s="134"/>
    </row>
    <row r="8285" spans="8:8" x14ac:dyDescent="0.25">
      <c r="H8285" s="134"/>
    </row>
    <row r="8286" spans="8:8" x14ac:dyDescent="0.25">
      <c r="H8286" s="134"/>
    </row>
    <row r="8287" spans="8:8" x14ac:dyDescent="0.25">
      <c r="H8287" s="134"/>
    </row>
    <row r="8288" spans="8:8" x14ac:dyDescent="0.25">
      <c r="H8288" s="134"/>
    </row>
    <row r="8289" spans="8:8" x14ac:dyDescent="0.25">
      <c r="H8289" s="134"/>
    </row>
    <row r="8290" spans="8:8" x14ac:dyDescent="0.25">
      <c r="H8290" s="134"/>
    </row>
    <row r="8291" spans="8:8" x14ac:dyDescent="0.25">
      <c r="H8291" s="134"/>
    </row>
    <row r="8292" spans="8:8" x14ac:dyDescent="0.25">
      <c r="H8292" s="134"/>
    </row>
    <row r="8293" spans="8:8" x14ac:dyDescent="0.25">
      <c r="H8293" s="134"/>
    </row>
    <row r="8294" spans="8:8" x14ac:dyDescent="0.25">
      <c r="H8294" s="134"/>
    </row>
    <row r="8295" spans="8:8" x14ac:dyDescent="0.25">
      <c r="H8295" s="134"/>
    </row>
    <row r="8296" spans="8:8" x14ac:dyDescent="0.25">
      <c r="H8296" s="134"/>
    </row>
    <row r="8297" spans="8:8" x14ac:dyDescent="0.25">
      <c r="H8297" s="134"/>
    </row>
    <row r="8298" spans="8:8" x14ac:dyDescent="0.25">
      <c r="H8298" s="134"/>
    </row>
    <row r="8299" spans="8:8" x14ac:dyDescent="0.25">
      <c r="H8299" s="134"/>
    </row>
    <row r="8300" spans="8:8" x14ac:dyDescent="0.25">
      <c r="H8300" s="134"/>
    </row>
    <row r="8301" spans="8:8" x14ac:dyDescent="0.25">
      <c r="H8301" s="134"/>
    </row>
    <row r="8302" spans="8:8" x14ac:dyDescent="0.25">
      <c r="H8302" s="134"/>
    </row>
    <row r="8303" spans="8:8" x14ac:dyDescent="0.25">
      <c r="H8303" s="134"/>
    </row>
    <row r="8304" spans="8:8" x14ac:dyDescent="0.25">
      <c r="H8304" s="134"/>
    </row>
    <row r="8305" spans="8:8" x14ac:dyDescent="0.25">
      <c r="H8305" s="134"/>
    </row>
    <row r="8306" spans="8:8" x14ac:dyDescent="0.25">
      <c r="H8306" s="134"/>
    </row>
    <row r="8307" spans="8:8" x14ac:dyDescent="0.25">
      <c r="H8307" s="134"/>
    </row>
    <row r="8308" spans="8:8" x14ac:dyDescent="0.25">
      <c r="H8308" s="134"/>
    </row>
    <row r="8309" spans="8:8" x14ac:dyDescent="0.25">
      <c r="H8309" s="134"/>
    </row>
    <row r="8310" spans="8:8" x14ac:dyDescent="0.25">
      <c r="H8310" s="134"/>
    </row>
    <row r="8311" spans="8:8" x14ac:dyDescent="0.25">
      <c r="H8311" s="134"/>
    </row>
    <row r="8312" spans="8:8" x14ac:dyDescent="0.25">
      <c r="H8312" s="134"/>
    </row>
    <row r="8313" spans="8:8" x14ac:dyDescent="0.25">
      <c r="H8313" s="134"/>
    </row>
    <row r="8314" spans="8:8" x14ac:dyDescent="0.25">
      <c r="H8314" s="134"/>
    </row>
    <row r="8315" spans="8:8" x14ac:dyDescent="0.25">
      <c r="H8315" s="134"/>
    </row>
    <row r="8316" spans="8:8" x14ac:dyDescent="0.25">
      <c r="H8316" s="134"/>
    </row>
    <row r="8317" spans="8:8" x14ac:dyDescent="0.25">
      <c r="H8317" s="134"/>
    </row>
    <row r="8318" spans="8:8" x14ac:dyDescent="0.25">
      <c r="H8318" s="134"/>
    </row>
    <row r="8319" spans="8:8" x14ac:dyDescent="0.25">
      <c r="H8319" s="134"/>
    </row>
    <row r="8320" spans="8:8" x14ac:dyDescent="0.25">
      <c r="H8320" s="134"/>
    </row>
    <row r="8321" spans="8:8" x14ac:dyDescent="0.25">
      <c r="H8321" s="134"/>
    </row>
    <row r="8322" spans="8:8" x14ac:dyDescent="0.25">
      <c r="H8322" s="134"/>
    </row>
    <row r="8323" spans="8:8" x14ac:dyDescent="0.25">
      <c r="H8323" s="134"/>
    </row>
    <row r="8324" spans="8:8" x14ac:dyDescent="0.25">
      <c r="H8324" s="134"/>
    </row>
    <row r="8325" spans="8:8" x14ac:dyDescent="0.25">
      <c r="H8325" s="134"/>
    </row>
    <row r="8326" spans="8:8" x14ac:dyDescent="0.25">
      <c r="H8326" s="134"/>
    </row>
    <row r="8327" spans="8:8" x14ac:dyDescent="0.25">
      <c r="H8327" s="134"/>
    </row>
    <row r="8328" spans="8:8" x14ac:dyDescent="0.25">
      <c r="H8328" s="134"/>
    </row>
    <row r="8329" spans="8:8" x14ac:dyDescent="0.25">
      <c r="H8329" s="134"/>
    </row>
    <row r="8330" spans="8:8" x14ac:dyDescent="0.25">
      <c r="H8330" s="134"/>
    </row>
    <row r="8331" spans="8:8" x14ac:dyDescent="0.25">
      <c r="H8331" s="134"/>
    </row>
    <row r="8332" spans="8:8" x14ac:dyDescent="0.25">
      <c r="H8332" s="134"/>
    </row>
    <row r="8333" spans="8:8" x14ac:dyDescent="0.25">
      <c r="H8333" s="134"/>
    </row>
    <row r="8334" spans="8:8" x14ac:dyDescent="0.25">
      <c r="H8334" s="134"/>
    </row>
    <row r="8335" spans="8:8" x14ac:dyDescent="0.25">
      <c r="H8335" s="134"/>
    </row>
    <row r="8336" spans="8:8" x14ac:dyDescent="0.25">
      <c r="H8336" s="134"/>
    </row>
    <row r="8337" spans="8:8" x14ac:dyDescent="0.25">
      <c r="H8337" s="134"/>
    </row>
    <row r="8338" spans="8:8" x14ac:dyDescent="0.25">
      <c r="H8338" s="134"/>
    </row>
    <row r="8339" spans="8:8" x14ac:dyDescent="0.25">
      <c r="H8339" s="134"/>
    </row>
    <row r="8340" spans="8:8" x14ac:dyDescent="0.25">
      <c r="H8340" s="134"/>
    </row>
    <row r="8341" spans="8:8" x14ac:dyDescent="0.25">
      <c r="H8341" s="134"/>
    </row>
    <row r="8342" spans="8:8" x14ac:dyDescent="0.25">
      <c r="H8342" s="134"/>
    </row>
    <row r="8343" spans="8:8" x14ac:dyDescent="0.25">
      <c r="H8343" s="134"/>
    </row>
    <row r="8344" spans="8:8" x14ac:dyDescent="0.25">
      <c r="H8344" s="134"/>
    </row>
    <row r="8345" spans="8:8" x14ac:dyDescent="0.25">
      <c r="H8345" s="134"/>
    </row>
    <row r="8346" spans="8:8" x14ac:dyDescent="0.25">
      <c r="H8346" s="134"/>
    </row>
    <row r="8347" spans="8:8" x14ac:dyDescent="0.25">
      <c r="H8347" s="134"/>
    </row>
    <row r="8348" spans="8:8" x14ac:dyDescent="0.25">
      <c r="H8348" s="134"/>
    </row>
    <row r="8349" spans="8:8" x14ac:dyDescent="0.25">
      <c r="H8349" s="134"/>
    </row>
    <row r="8350" spans="8:8" x14ac:dyDescent="0.25">
      <c r="H8350" s="134"/>
    </row>
    <row r="8351" spans="8:8" x14ac:dyDescent="0.25">
      <c r="H8351" s="134"/>
    </row>
    <row r="8352" spans="8:8" x14ac:dyDescent="0.25">
      <c r="H8352" s="134"/>
    </row>
    <row r="8353" spans="8:8" x14ac:dyDescent="0.25">
      <c r="H8353" s="134"/>
    </row>
    <row r="8354" spans="8:8" x14ac:dyDescent="0.25">
      <c r="H8354" s="134"/>
    </row>
    <row r="8355" spans="8:8" x14ac:dyDescent="0.25">
      <c r="H8355" s="134"/>
    </row>
    <row r="8356" spans="8:8" x14ac:dyDescent="0.25">
      <c r="H8356" s="134"/>
    </row>
    <row r="8357" spans="8:8" x14ac:dyDescent="0.25">
      <c r="H8357" s="134"/>
    </row>
    <row r="8358" spans="8:8" x14ac:dyDescent="0.25">
      <c r="H8358" s="134"/>
    </row>
    <row r="8359" spans="8:8" x14ac:dyDescent="0.25">
      <c r="H8359" s="134"/>
    </row>
    <row r="8360" spans="8:8" x14ac:dyDescent="0.25">
      <c r="H8360" s="134"/>
    </row>
    <row r="8361" spans="8:8" x14ac:dyDescent="0.25">
      <c r="H8361" s="134"/>
    </row>
    <row r="8362" spans="8:8" x14ac:dyDescent="0.25">
      <c r="H8362" s="134"/>
    </row>
    <row r="8363" spans="8:8" x14ac:dyDescent="0.25">
      <c r="H8363" s="134"/>
    </row>
    <row r="8364" spans="8:8" x14ac:dyDescent="0.25">
      <c r="H8364" s="134"/>
    </row>
    <row r="8365" spans="8:8" x14ac:dyDescent="0.25">
      <c r="H8365" s="134"/>
    </row>
    <row r="8366" spans="8:8" x14ac:dyDescent="0.25">
      <c r="H8366" s="134"/>
    </row>
    <row r="8367" spans="8:8" x14ac:dyDescent="0.25">
      <c r="H8367" s="134"/>
    </row>
    <row r="8368" spans="8:8" x14ac:dyDescent="0.25">
      <c r="H8368" s="134"/>
    </row>
    <row r="8369" spans="8:8" x14ac:dyDescent="0.25">
      <c r="H8369" s="134"/>
    </row>
    <row r="8370" spans="8:8" x14ac:dyDescent="0.25">
      <c r="H8370" s="134"/>
    </row>
    <row r="8371" spans="8:8" x14ac:dyDescent="0.25">
      <c r="H8371" s="134"/>
    </row>
    <row r="8372" spans="8:8" x14ac:dyDescent="0.25">
      <c r="H8372" s="134"/>
    </row>
    <row r="8373" spans="8:8" x14ac:dyDescent="0.25">
      <c r="H8373" s="134"/>
    </row>
    <row r="8374" spans="8:8" x14ac:dyDescent="0.25">
      <c r="H8374" s="134"/>
    </row>
    <row r="8375" spans="8:8" x14ac:dyDescent="0.25">
      <c r="H8375" s="134"/>
    </row>
    <row r="8376" spans="8:8" x14ac:dyDescent="0.25">
      <c r="H8376" s="134"/>
    </row>
    <row r="8377" spans="8:8" x14ac:dyDescent="0.25">
      <c r="H8377" s="134"/>
    </row>
    <row r="8378" spans="8:8" x14ac:dyDescent="0.25">
      <c r="H8378" s="134"/>
    </row>
    <row r="8379" spans="8:8" x14ac:dyDescent="0.25">
      <c r="H8379" s="134"/>
    </row>
    <row r="8380" spans="8:8" x14ac:dyDescent="0.25">
      <c r="H8380" s="134"/>
    </row>
    <row r="8381" spans="8:8" x14ac:dyDescent="0.25">
      <c r="H8381" s="134"/>
    </row>
    <row r="8382" spans="8:8" x14ac:dyDescent="0.25">
      <c r="H8382" s="134"/>
    </row>
    <row r="8383" spans="8:8" x14ac:dyDescent="0.25">
      <c r="H8383" s="134"/>
    </row>
    <row r="8384" spans="8:8" x14ac:dyDescent="0.25">
      <c r="H8384" s="134"/>
    </row>
    <row r="8385" spans="8:8" x14ac:dyDescent="0.25">
      <c r="H8385" s="134"/>
    </row>
    <row r="8386" spans="8:8" x14ac:dyDescent="0.25">
      <c r="H8386" s="134"/>
    </row>
    <row r="8387" spans="8:8" x14ac:dyDescent="0.25">
      <c r="H8387" s="134"/>
    </row>
    <row r="8388" spans="8:8" x14ac:dyDescent="0.25">
      <c r="H8388" s="134"/>
    </row>
    <row r="8389" spans="8:8" x14ac:dyDescent="0.25">
      <c r="H8389" s="134"/>
    </row>
    <row r="8390" spans="8:8" x14ac:dyDescent="0.25">
      <c r="H8390" s="134"/>
    </row>
    <row r="8391" spans="8:8" x14ac:dyDescent="0.25">
      <c r="H8391" s="134"/>
    </row>
    <row r="8392" spans="8:8" x14ac:dyDescent="0.25">
      <c r="H8392" s="134"/>
    </row>
    <row r="8393" spans="8:8" x14ac:dyDescent="0.25">
      <c r="H8393" s="134"/>
    </row>
    <row r="8394" spans="8:8" x14ac:dyDescent="0.25">
      <c r="H8394" s="134"/>
    </row>
    <row r="8395" spans="8:8" x14ac:dyDescent="0.25">
      <c r="H8395" s="134"/>
    </row>
    <row r="8396" spans="8:8" x14ac:dyDescent="0.25">
      <c r="H8396" s="134"/>
    </row>
    <row r="8397" spans="8:8" x14ac:dyDescent="0.25">
      <c r="H8397" s="134"/>
    </row>
    <row r="8398" spans="8:8" x14ac:dyDescent="0.25">
      <c r="H8398" s="134"/>
    </row>
    <row r="8399" spans="8:8" x14ac:dyDescent="0.25">
      <c r="H8399" s="134"/>
    </row>
    <row r="8400" spans="8:8" x14ac:dyDescent="0.25">
      <c r="H8400" s="134"/>
    </row>
    <row r="8401" spans="8:8" x14ac:dyDescent="0.25">
      <c r="H8401" s="134"/>
    </row>
    <row r="8402" spans="8:8" x14ac:dyDescent="0.25">
      <c r="H8402" s="134"/>
    </row>
    <row r="8403" spans="8:8" x14ac:dyDescent="0.25">
      <c r="H8403" s="134"/>
    </row>
    <row r="8404" spans="8:8" x14ac:dyDescent="0.25">
      <c r="H8404" s="134"/>
    </row>
    <row r="8405" spans="8:8" x14ac:dyDescent="0.25">
      <c r="H8405" s="134"/>
    </row>
    <row r="8406" spans="8:8" x14ac:dyDescent="0.25">
      <c r="H8406" s="134"/>
    </row>
    <row r="8407" spans="8:8" x14ac:dyDescent="0.25">
      <c r="H8407" s="134"/>
    </row>
    <row r="8408" spans="8:8" x14ac:dyDescent="0.25">
      <c r="H8408" s="134"/>
    </row>
    <row r="8409" spans="8:8" x14ac:dyDescent="0.25">
      <c r="H8409" s="134"/>
    </row>
    <row r="8410" spans="8:8" x14ac:dyDescent="0.25">
      <c r="H8410" s="134"/>
    </row>
    <row r="8411" spans="8:8" x14ac:dyDescent="0.25">
      <c r="H8411" s="134"/>
    </row>
    <row r="8412" spans="8:8" x14ac:dyDescent="0.25">
      <c r="H8412" s="134"/>
    </row>
    <row r="8413" spans="8:8" x14ac:dyDescent="0.25">
      <c r="H8413" s="134"/>
    </row>
    <row r="8414" spans="8:8" x14ac:dyDescent="0.25">
      <c r="H8414" s="134"/>
    </row>
    <row r="8415" spans="8:8" x14ac:dyDescent="0.25">
      <c r="H8415" s="134"/>
    </row>
    <row r="8416" spans="8:8" x14ac:dyDescent="0.25">
      <c r="H8416" s="134"/>
    </row>
    <row r="8417" spans="8:8" x14ac:dyDescent="0.25">
      <c r="H8417" s="134"/>
    </row>
    <row r="8418" spans="8:8" x14ac:dyDescent="0.25">
      <c r="H8418" s="134"/>
    </row>
    <row r="8419" spans="8:8" x14ac:dyDescent="0.25">
      <c r="H8419" s="134"/>
    </row>
    <row r="8420" spans="8:8" x14ac:dyDescent="0.25">
      <c r="H8420" s="134"/>
    </row>
    <row r="8421" spans="8:8" x14ac:dyDescent="0.25">
      <c r="H8421" s="134"/>
    </row>
    <row r="8422" spans="8:8" x14ac:dyDescent="0.25">
      <c r="H8422" s="134"/>
    </row>
    <row r="8423" spans="8:8" x14ac:dyDescent="0.25">
      <c r="H8423" s="134"/>
    </row>
    <row r="8424" spans="8:8" x14ac:dyDescent="0.25">
      <c r="H8424" s="134"/>
    </row>
    <row r="8425" spans="8:8" x14ac:dyDescent="0.25">
      <c r="H8425" s="134"/>
    </row>
    <row r="8426" spans="8:8" x14ac:dyDescent="0.25">
      <c r="H8426" s="134"/>
    </row>
    <row r="8427" spans="8:8" x14ac:dyDescent="0.25">
      <c r="H8427" s="134"/>
    </row>
    <row r="8428" spans="8:8" x14ac:dyDescent="0.25">
      <c r="H8428" s="134"/>
    </row>
    <row r="8429" spans="8:8" x14ac:dyDescent="0.25">
      <c r="H8429" s="134"/>
    </row>
    <row r="8430" spans="8:8" x14ac:dyDescent="0.25">
      <c r="H8430" s="134"/>
    </row>
    <row r="8431" spans="8:8" x14ac:dyDescent="0.25">
      <c r="H8431" s="134"/>
    </row>
    <row r="8432" spans="8:8" x14ac:dyDescent="0.25">
      <c r="H8432" s="134"/>
    </row>
    <row r="8433" spans="8:8" x14ac:dyDescent="0.25">
      <c r="H8433" s="134"/>
    </row>
    <row r="8434" spans="8:8" x14ac:dyDescent="0.25">
      <c r="H8434" s="134"/>
    </row>
    <row r="8435" spans="8:8" x14ac:dyDescent="0.25">
      <c r="H8435" s="134"/>
    </row>
    <row r="8436" spans="8:8" x14ac:dyDescent="0.25">
      <c r="H8436" s="134"/>
    </row>
    <row r="8437" spans="8:8" x14ac:dyDescent="0.25">
      <c r="H8437" s="134"/>
    </row>
    <row r="8438" spans="8:8" x14ac:dyDescent="0.25">
      <c r="H8438" s="134"/>
    </row>
    <row r="8439" spans="8:8" x14ac:dyDescent="0.25">
      <c r="H8439" s="134"/>
    </row>
    <row r="8440" spans="8:8" x14ac:dyDescent="0.25">
      <c r="H8440" s="134"/>
    </row>
    <row r="8441" spans="8:8" x14ac:dyDescent="0.25">
      <c r="H8441" s="134"/>
    </row>
    <row r="8442" spans="8:8" x14ac:dyDescent="0.25">
      <c r="H8442" s="134"/>
    </row>
    <row r="8443" spans="8:8" x14ac:dyDescent="0.25">
      <c r="H8443" s="134"/>
    </row>
    <row r="8444" spans="8:8" x14ac:dyDescent="0.25">
      <c r="H8444" s="134"/>
    </row>
    <row r="8445" spans="8:8" x14ac:dyDescent="0.25">
      <c r="H8445" s="134"/>
    </row>
    <row r="8446" spans="8:8" x14ac:dyDescent="0.25">
      <c r="H8446" s="134"/>
    </row>
    <row r="8447" spans="8:8" x14ac:dyDescent="0.25">
      <c r="H8447" s="134"/>
    </row>
    <row r="8448" spans="8:8" x14ac:dyDescent="0.25">
      <c r="H8448" s="134"/>
    </row>
    <row r="8449" spans="8:8" x14ac:dyDescent="0.25">
      <c r="H8449" s="134"/>
    </row>
    <row r="8450" spans="8:8" x14ac:dyDescent="0.25">
      <c r="H8450" s="134"/>
    </row>
    <row r="8451" spans="8:8" x14ac:dyDescent="0.25">
      <c r="H8451" s="134"/>
    </row>
    <row r="8452" spans="8:8" x14ac:dyDescent="0.25">
      <c r="H8452" s="134"/>
    </row>
    <row r="8453" spans="8:8" x14ac:dyDescent="0.25">
      <c r="H8453" s="134"/>
    </row>
    <row r="8454" spans="8:8" x14ac:dyDescent="0.25">
      <c r="H8454" s="134"/>
    </row>
    <row r="8455" spans="8:8" x14ac:dyDescent="0.25">
      <c r="H8455" s="134"/>
    </row>
    <row r="8456" spans="8:8" x14ac:dyDescent="0.25">
      <c r="H8456" s="134"/>
    </row>
    <row r="8457" spans="8:8" x14ac:dyDescent="0.25">
      <c r="H8457" s="134"/>
    </row>
    <row r="8458" spans="8:8" x14ac:dyDescent="0.25">
      <c r="H8458" s="134"/>
    </row>
    <row r="8459" spans="8:8" x14ac:dyDescent="0.25">
      <c r="H8459" s="134"/>
    </row>
    <row r="8460" spans="8:8" x14ac:dyDescent="0.25">
      <c r="H8460" s="134"/>
    </row>
    <row r="8461" spans="8:8" x14ac:dyDescent="0.25">
      <c r="H8461" s="134"/>
    </row>
    <row r="8462" spans="8:8" x14ac:dyDescent="0.25">
      <c r="H8462" s="134"/>
    </row>
    <row r="8463" spans="8:8" x14ac:dyDescent="0.25">
      <c r="H8463" s="134"/>
    </row>
    <row r="8464" spans="8:8" x14ac:dyDescent="0.25">
      <c r="H8464" s="134"/>
    </row>
    <row r="8465" spans="8:8" x14ac:dyDescent="0.25">
      <c r="H8465" s="134"/>
    </row>
    <row r="8466" spans="8:8" x14ac:dyDescent="0.25">
      <c r="H8466" s="134"/>
    </row>
    <row r="8467" spans="8:8" x14ac:dyDescent="0.25">
      <c r="H8467" s="134"/>
    </row>
    <row r="8468" spans="8:8" x14ac:dyDescent="0.25">
      <c r="H8468" s="134"/>
    </row>
    <row r="8469" spans="8:8" x14ac:dyDescent="0.25">
      <c r="H8469" s="134"/>
    </row>
    <row r="8470" spans="8:8" x14ac:dyDescent="0.25">
      <c r="H8470" s="134"/>
    </row>
    <row r="8471" spans="8:8" x14ac:dyDescent="0.25">
      <c r="H8471" s="134"/>
    </row>
    <row r="8472" spans="8:8" x14ac:dyDescent="0.25">
      <c r="H8472" s="134"/>
    </row>
    <row r="8473" spans="8:8" x14ac:dyDescent="0.25">
      <c r="H8473" s="134"/>
    </row>
    <row r="8474" spans="8:8" x14ac:dyDescent="0.25">
      <c r="H8474" s="134"/>
    </row>
    <row r="8475" spans="8:8" x14ac:dyDescent="0.25">
      <c r="H8475" s="134"/>
    </row>
    <row r="8476" spans="8:8" x14ac:dyDescent="0.25">
      <c r="H8476" s="134"/>
    </row>
    <row r="8477" spans="8:8" x14ac:dyDescent="0.25">
      <c r="H8477" s="134"/>
    </row>
    <row r="8478" spans="8:8" x14ac:dyDescent="0.25">
      <c r="H8478" s="134"/>
    </row>
    <row r="8479" spans="8:8" x14ac:dyDescent="0.25">
      <c r="H8479" s="134"/>
    </row>
    <row r="8480" spans="8:8" x14ac:dyDescent="0.25">
      <c r="H8480" s="134"/>
    </row>
    <row r="8481" spans="8:8" x14ac:dyDescent="0.25">
      <c r="H8481" s="134"/>
    </row>
    <row r="8482" spans="8:8" x14ac:dyDescent="0.25">
      <c r="H8482" s="134"/>
    </row>
    <row r="8483" spans="8:8" x14ac:dyDescent="0.25">
      <c r="H8483" s="134"/>
    </row>
    <row r="8484" spans="8:8" x14ac:dyDescent="0.25">
      <c r="H8484" s="134"/>
    </row>
    <row r="8485" spans="8:8" x14ac:dyDescent="0.25">
      <c r="H8485" s="134"/>
    </row>
    <row r="8486" spans="8:8" x14ac:dyDescent="0.25">
      <c r="H8486" s="134"/>
    </row>
    <row r="8487" spans="8:8" x14ac:dyDescent="0.25">
      <c r="H8487" s="134"/>
    </row>
    <row r="8488" spans="8:8" x14ac:dyDescent="0.25">
      <c r="H8488" s="134"/>
    </row>
    <row r="8489" spans="8:8" x14ac:dyDescent="0.25">
      <c r="H8489" s="134"/>
    </row>
    <row r="8490" spans="8:8" x14ac:dyDescent="0.25">
      <c r="H8490" s="134"/>
    </row>
    <row r="8491" spans="8:8" x14ac:dyDescent="0.25">
      <c r="H8491" s="134"/>
    </row>
    <row r="8492" spans="8:8" x14ac:dyDescent="0.25">
      <c r="H8492" s="134"/>
    </row>
    <row r="8493" spans="8:8" x14ac:dyDescent="0.25">
      <c r="H8493" s="134"/>
    </row>
    <row r="8494" spans="8:8" x14ac:dyDescent="0.25">
      <c r="H8494" s="134"/>
    </row>
    <row r="8495" spans="8:8" x14ac:dyDescent="0.25">
      <c r="H8495" s="134"/>
    </row>
    <row r="8496" spans="8:8" x14ac:dyDescent="0.25">
      <c r="H8496" s="134"/>
    </row>
    <row r="8497" spans="8:8" x14ac:dyDescent="0.25">
      <c r="H8497" s="134"/>
    </row>
    <row r="8498" spans="8:8" x14ac:dyDescent="0.25">
      <c r="H8498" s="134"/>
    </row>
    <row r="8499" spans="8:8" x14ac:dyDescent="0.25">
      <c r="H8499" s="134"/>
    </row>
    <row r="8500" spans="8:8" x14ac:dyDescent="0.25">
      <c r="H8500" s="134"/>
    </row>
    <row r="8501" spans="8:8" x14ac:dyDescent="0.25">
      <c r="H8501" s="134"/>
    </row>
    <row r="8502" spans="8:8" x14ac:dyDescent="0.25">
      <c r="H8502" s="134"/>
    </row>
    <row r="8503" spans="8:8" x14ac:dyDescent="0.25">
      <c r="H8503" s="134"/>
    </row>
    <row r="8504" spans="8:8" x14ac:dyDescent="0.25">
      <c r="H8504" s="134"/>
    </row>
    <row r="8505" spans="8:8" x14ac:dyDescent="0.25">
      <c r="H8505" s="134"/>
    </row>
    <row r="8506" spans="8:8" x14ac:dyDescent="0.25">
      <c r="H8506" s="134"/>
    </row>
    <row r="8507" spans="8:8" x14ac:dyDescent="0.25">
      <c r="H8507" s="134"/>
    </row>
    <row r="8508" spans="8:8" x14ac:dyDescent="0.25">
      <c r="H8508" s="134"/>
    </row>
    <row r="8509" spans="8:8" x14ac:dyDescent="0.25">
      <c r="H8509" s="134"/>
    </row>
    <row r="8510" spans="8:8" x14ac:dyDescent="0.25">
      <c r="H8510" s="134"/>
    </row>
    <row r="8511" spans="8:8" x14ac:dyDescent="0.25">
      <c r="H8511" s="134"/>
    </row>
    <row r="8512" spans="8:8" x14ac:dyDescent="0.25">
      <c r="H8512" s="134"/>
    </row>
    <row r="8513" spans="8:8" x14ac:dyDescent="0.25">
      <c r="H8513" s="134"/>
    </row>
    <row r="8514" spans="8:8" x14ac:dyDescent="0.25">
      <c r="H8514" s="134"/>
    </row>
    <row r="8515" spans="8:8" x14ac:dyDescent="0.25">
      <c r="H8515" s="134"/>
    </row>
    <row r="8516" spans="8:8" x14ac:dyDescent="0.25">
      <c r="H8516" s="134"/>
    </row>
    <row r="8517" spans="8:8" x14ac:dyDescent="0.25">
      <c r="H8517" s="134"/>
    </row>
    <row r="8518" spans="8:8" x14ac:dyDescent="0.25">
      <c r="H8518" s="134"/>
    </row>
    <row r="8519" spans="8:8" x14ac:dyDescent="0.25">
      <c r="H8519" s="134"/>
    </row>
    <row r="8520" spans="8:8" x14ac:dyDescent="0.25">
      <c r="H8520" s="134"/>
    </row>
    <row r="8521" spans="8:8" x14ac:dyDescent="0.25">
      <c r="H8521" s="134"/>
    </row>
    <row r="8522" spans="8:8" x14ac:dyDescent="0.25">
      <c r="H8522" s="134"/>
    </row>
    <row r="8523" spans="8:8" x14ac:dyDescent="0.25">
      <c r="H8523" s="134"/>
    </row>
    <row r="8524" spans="8:8" x14ac:dyDescent="0.25">
      <c r="H8524" s="134"/>
    </row>
    <row r="8525" spans="8:8" x14ac:dyDescent="0.25">
      <c r="H8525" s="134"/>
    </row>
    <row r="8526" spans="8:8" x14ac:dyDescent="0.25">
      <c r="H8526" s="134"/>
    </row>
    <row r="8527" spans="8:8" x14ac:dyDescent="0.25">
      <c r="H8527" s="134"/>
    </row>
    <row r="8528" spans="8:8" x14ac:dyDescent="0.25">
      <c r="H8528" s="134"/>
    </row>
    <row r="8529" spans="8:8" x14ac:dyDescent="0.25">
      <c r="H8529" s="134"/>
    </row>
    <row r="8530" spans="8:8" x14ac:dyDescent="0.25">
      <c r="H8530" s="134"/>
    </row>
    <row r="8531" spans="8:8" x14ac:dyDescent="0.25">
      <c r="H8531" s="134"/>
    </row>
    <row r="8532" spans="8:8" x14ac:dyDescent="0.25">
      <c r="H8532" s="134"/>
    </row>
    <row r="8533" spans="8:8" x14ac:dyDescent="0.25">
      <c r="H8533" s="134"/>
    </row>
    <row r="8534" spans="8:8" x14ac:dyDescent="0.25">
      <c r="H8534" s="134"/>
    </row>
    <row r="8535" spans="8:8" x14ac:dyDescent="0.25">
      <c r="H8535" s="134"/>
    </row>
    <row r="8536" spans="8:8" x14ac:dyDescent="0.25">
      <c r="H8536" s="134"/>
    </row>
    <row r="8537" spans="8:8" x14ac:dyDescent="0.25">
      <c r="H8537" s="134"/>
    </row>
    <row r="8538" spans="8:8" x14ac:dyDescent="0.25">
      <c r="H8538" s="134"/>
    </row>
    <row r="8539" spans="8:8" x14ac:dyDescent="0.25">
      <c r="H8539" s="134"/>
    </row>
    <row r="8540" spans="8:8" x14ac:dyDescent="0.25">
      <c r="H8540" s="134"/>
    </row>
    <row r="8541" spans="8:8" x14ac:dyDescent="0.25">
      <c r="H8541" s="134"/>
    </row>
    <row r="8542" spans="8:8" x14ac:dyDescent="0.25">
      <c r="H8542" s="134"/>
    </row>
    <row r="8543" spans="8:8" x14ac:dyDescent="0.25">
      <c r="H8543" s="134"/>
    </row>
    <row r="8544" spans="8:8" x14ac:dyDescent="0.25">
      <c r="H8544" s="134"/>
    </row>
    <row r="8545" spans="8:8" x14ac:dyDescent="0.25">
      <c r="H8545" s="134"/>
    </row>
    <row r="8546" spans="8:8" x14ac:dyDescent="0.25">
      <c r="H8546" s="134"/>
    </row>
    <row r="8547" spans="8:8" x14ac:dyDescent="0.25">
      <c r="H8547" s="134"/>
    </row>
    <row r="8548" spans="8:8" x14ac:dyDescent="0.25">
      <c r="H8548" s="134"/>
    </row>
    <row r="8549" spans="8:8" x14ac:dyDescent="0.25">
      <c r="H8549" s="134"/>
    </row>
    <row r="8550" spans="8:8" x14ac:dyDescent="0.25">
      <c r="H8550" s="134"/>
    </row>
    <row r="8551" spans="8:8" x14ac:dyDescent="0.25">
      <c r="H8551" s="134"/>
    </row>
    <row r="8552" spans="8:8" x14ac:dyDescent="0.25">
      <c r="H8552" s="134"/>
    </row>
    <row r="8553" spans="8:8" x14ac:dyDescent="0.25">
      <c r="H8553" s="134"/>
    </row>
    <row r="8554" spans="8:8" x14ac:dyDescent="0.25">
      <c r="H8554" s="134"/>
    </row>
    <row r="8555" spans="8:8" x14ac:dyDescent="0.25">
      <c r="H8555" s="134"/>
    </row>
    <row r="8556" spans="8:8" x14ac:dyDescent="0.25">
      <c r="H8556" s="134"/>
    </row>
    <row r="8557" spans="8:8" x14ac:dyDescent="0.25">
      <c r="H8557" s="134"/>
    </row>
    <row r="8558" spans="8:8" x14ac:dyDescent="0.25">
      <c r="H8558" s="134"/>
    </row>
    <row r="8559" spans="8:8" x14ac:dyDescent="0.25">
      <c r="H8559" s="134"/>
    </row>
    <row r="8560" spans="8:8" x14ac:dyDescent="0.25">
      <c r="H8560" s="134"/>
    </row>
    <row r="8561" spans="8:8" x14ac:dyDescent="0.25">
      <c r="H8561" s="134"/>
    </row>
    <row r="8562" spans="8:8" x14ac:dyDescent="0.25">
      <c r="H8562" s="134"/>
    </row>
    <row r="8563" spans="8:8" x14ac:dyDescent="0.25">
      <c r="H8563" s="134"/>
    </row>
    <row r="8564" spans="8:8" x14ac:dyDescent="0.25">
      <c r="H8564" s="134"/>
    </row>
    <row r="8565" spans="8:8" x14ac:dyDescent="0.25">
      <c r="H8565" s="134"/>
    </row>
    <row r="8566" spans="8:8" x14ac:dyDescent="0.25">
      <c r="H8566" s="134"/>
    </row>
    <row r="8567" spans="8:8" x14ac:dyDescent="0.25">
      <c r="H8567" s="134"/>
    </row>
    <row r="8568" spans="8:8" x14ac:dyDescent="0.25">
      <c r="H8568" s="134"/>
    </row>
    <row r="8569" spans="8:8" x14ac:dyDescent="0.25">
      <c r="H8569" s="134"/>
    </row>
    <row r="8570" spans="8:8" x14ac:dyDescent="0.25">
      <c r="H8570" s="134"/>
    </row>
    <row r="8571" spans="8:8" x14ac:dyDescent="0.25">
      <c r="H8571" s="134"/>
    </row>
    <row r="8572" spans="8:8" x14ac:dyDescent="0.25">
      <c r="H8572" s="134"/>
    </row>
    <row r="8573" spans="8:8" x14ac:dyDescent="0.25">
      <c r="H8573" s="134"/>
    </row>
    <row r="8574" spans="8:8" x14ac:dyDescent="0.25">
      <c r="H8574" s="134"/>
    </row>
    <row r="8575" spans="8:8" x14ac:dyDescent="0.25">
      <c r="H8575" s="134"/>
    </row>
    <row r="8576" spans="8:8" x14ac:dyDescent="0.25">
      <c r="H8576" s="134"/>
    </row>
    <row r="8577" spans="8:8" x14ac:dyDescent="0.25">
      <c r="H8577" s="134"/>
    </row>
    <row r="8578" spans="8:8" x14ac:dyDescent="0.25">
      <c r="H8578" s="134"/>
    </row>
    <row r="8579" spans="8:8" x14ac:dyDescent="0.25">
      <c r="H8579" s="134"/>
    </row>
    <row r="8580" spans="8:8" x14ac:dyDescent="0.25">
      <c r="H8580" s="134"/>
    </row>
    <row r="8581" spans="8:8" x14ac:dyDescent="0.25">
      <c r="H8581" s="134"/>
    </row>
    <row r="8582" spans="8:8" x14ac:dyDescent="0.25">
      <c r="H8582" s="134"/>
    </row>
    <row r="8583" spans="8:8" x14ac:dyDescent="0.25">
      <c r="H8583" s="134"/>
    </row>
    <row r="8584" spans="8:8" x14ac:dyDescent="0.25">
      <c r="H8584" s="134"/>
    </row>
    <row r="8585" spans="8:8" x14ac:dyDescent="0.25">
      <c r="H8585" s="134"/>
    </row>
    <row r="8586" spans="8:8" x14ac:dyDescent="0.25">
      <c r="H8586" s="134"/>
    </row>
    <row r="8587" spans="8:8" x14ac:dyDescent="0.25">
      <c r="H8587" s="134"/>
    </row>
    <row r="8588" spans="8:8" x14ac:dyDescent="0.25">
      <c r="H8588" s="134"/>
    </row>
    <row r="8589" spans="8:8" x14ac:dyDescent="0.25">
      <c r="H8589" s="134"/>
    </row>
    <row r="8590" spans="8:8" x14ac:dyDescent="0.25">
      <c r="H8590" s="134"/>
    </row>
    <row r="8591" spans="8:8" x14ac:dyDescent="0.25">
      <c r="H8591" s="134"/>
    </row>
    <row r="8592" spans="8:8" x14ac:dyDescent="0.25">
      <c r="H8592" s="134"/>
    </row>
    <row r="8593" spans="8:8" x14ac:dyDescent="0.25">
      <c r="H8593" s="134"/>
    </row>
    <row r="8594" spans="8:8" x14ac:dyDescent="0.25">
      <c r="H8594" s="134"/>
    </row>
    <row r="8595" spans="8:8" x14ac:dyDescent="0.25">
      <c r="H8595" s="134"/>
    </row>
    <row r="8596" spans="8:8" x14ac:dyDescent="0.25">
      <c r="H8596" s="134"/>
    </row>
    <row r="8597" spans="8:8" x14ac:dyDescent="0.25">
      <c r="H8597" s="134"/>
    </row>
    <row r="8598" spans="8:8" x14ac:dyDescent="0.25">
      <c r="H8598" s="134"/>
    </row>
    <row r="8599" spans="8:8" x14ac:dyDescent="0.25">
      <c r="H8599" s="134"/>
    </row>
    <row r="8600" spans="8:8" x14ac:dyDescent="0.25">
      <c r="H8600" s="134"/>
    </row>
    <row r="8601" spans="8:8" x14ac:dyDescent="0.25">
      <c r="H8601" s="134"/>
    </row>
    <row r="8602" spans="8:8" x14ac:dyDescent="0.25">
      <c r="H8602" s="134"/>
    </row>
    <row r="8603" spans="8:8" x14ac:dyDescent="0.25">
      <c r="H8603" s="134"/>
    </row>
    <row r="8604" spans="8:8" x14ac:dyDescent="0.25">
      <c r="H8604" s="134"/>
    </row>
    <row r="8605" spans="8:8" x14ac:dyDescent="0.25">
      <c r="H8605" s="134"/>
    </row>
    <row r="8606" spans="8:8" x14ac:dyDescent="0.25">
      <c r="H8606" s="134"/>
    </row>
    <row r="8607" spans="8:8" x14ac:dyDescent="0.25">
      <c r="H8607" s="134"/>
    </row>
    <row r="8608" spans="8:8" x14ac:dyDescent="0.25">
      <c r="H8608" s="134"/>
    </row>
    <row r="8609" spans="8:8" x14ac:dyDescent="0.25">
      <c r="H8609" s="134"/>
    </row>
    <row r="8610" spans="8:8" x14ac:dyDescent="0.25">
      <c r="H8610" s="134"/>
    </row>
    <row r="8611" spans="8:8" x14ac:dyDescent="0.25">
      <c r="H8611" s="134"/>
    </row>
    <row r="8612" spans="8:8" x14ac:dyDescent="0.25">
      <c r="H8612" s="134"/>
    </row>
    <row r="8613" spans="8:8" x14ac:dyDescent="0.25">
      <c r="H8613" s="134"/>
    </row>
    <row r="8614" spans="8:8" x14ac:dyDescent="0.25">
      <c r="H8614" s="134"/>
    </row>
    <row r="8615" spans="8:8" x14ac:dyDescent="0.25">
      <c r="H8615" s="134"/>
    </row>
    <row r="8616" spans="8:8" x14ac:dyDescent="0.25">
      <c r="H8616" s="134"/>
    </row>
    <row r="8617" spans="8:8" x14ac:dyDescent="0.25">
      <c r="H8617" s="134"/>
    </row>
    <row r="8618" spans="8:8" x14ac:dyDescent="0.25">
      <c r="H8618" s="134"/>
    </row>
    <row r="8619" spans="8:8" x14ac:dyDescent="0.25">
      <c r="H8619" s="134"/>
    </row>
    <row r="8620" spans="8:8" x14ac:dyDescent="0.25">
      <c r="H8620" s="134"/>
    </row>
    <row r="8621" spans="8:8" x14ac:dyDescent="0.25">
      <c r="H8621" s="134"/>
    </row>
    <row r="8622" spans="8:8" x14ac:dyDescent="0.25">
      <c r="H8622" s="134"/>
    </row>
    <row r="8623" spans="8:8" x14ac:dyDescent="0.25">
      <c r="H8623" s="134"/>
    </row>
    <row r="8624" spans="8:8" x14ac:dyDescent="0.25">
      <c r="H8624" s="134"/>
    </row>
    <row r="8625" spans="8:8" x14ac:dyDescent="0.25">
      <c r="H8625" s="134"/>
    </row>
    <row r="8626" spans="8:8" x14ac:dyDescent="0.25">
      <c r="H8626" s="134"/>
    </row>
    <row r="8627" spans="8:8" x14ac:dyDescent="0.25">
      <c r="H8627" s="134"/>
    </row>
    <row r="8628" spans="8:8" x14ac:dyDescent="0.25">
      <c r="H8628" s="134"/>
    </row>
    <row r="8629" spans="8:8" x14ac:dyDescent="0.25">
      <c r="H8629" s="134"/>
    </row>
    <row r="8630" spans="8:8" x14ac:dyDescent="0.25">
      <c r="H8630" s="134"/>
    </row>
    <row r="8631" spans="8:8" x14ac:dyDescent="0.25">
      <c r="H8631" s="134"/>
    </row>
    <row r="8632" spans="8:8" x14ac:dyDescent="0.25">
      <c r="H8632" s="134"/>
    </row>
    <row r="8633" spans="8:8" x14ac:dyDescent="0.25">
      <c r="H8633" s="134"/>
    </row>
    <row r="8634" spans="8:8" x14ac:dyDescent="0.25">
      <c r="H8634" s="134"/>
    </row>
    <row r="8635" spans="8:8" x14ac:dyDescent="0.25">
      <c r="H8635" s="134"/>
    </row>
    <row r="8636" spans="8:8" x14ac:dyDescent="0.25">
      <c r="H8636" s="134"/>
    </row>
    <row r="8637" spans="8:8" x14ac:dyDescent="0.25">
      <c r="H8637" s="134"/>
    </row>
    <row r="8638" spans="8:8" x14ac:dyDescent="0.25">
      <c r="H8638" s="134"/>
    </row>
    <row r="8639" spans="8:8" x14ac:dyDescent="0.25">
      <c r="H8639" s="134"/>
    </row>
    <row r="8640" spans="8:8" x14ac:dyDescent="0.25">
      <c r="H8640" s="134"/>
    </row>
    <row r="8641" spans="8:8" x14ac:dyDescent="0.25">
      <c r="H8641" s="134"/>
    </row>
    <row r="8642" spans="8:8" x14ac:dyDescent="0.25">
      <c r="H8642" s="134"/>
    </row>
    <row r="8643" spans="8:8" x14ac:dyDescent="0.25">
      <c r="H8643" s="134"/>
    </row>
    <row r="8644" spans="8:8" x14ac:dyDescent="0.25">
      <c r="H8644" s="134"/>
    </row>
    <row r="8645" spans="8:8" x14ac:dyDescent="0.25">
      <c r="H8645" s="134"/>
    </row>
    <row r="8646" spans="8:8" x14ac:dyDescent="0.25">
      <c r="H8646" s="134"/>
    </row>
    <row r="8647" spans="8:8" x14ac:dyDescent="0.25">
      <c r="H8647" s="134"/>
    </row>
    <row r="8648" spans="8:8" x14ac:dyDescent="0.25">
      <c r="H8648" s="134"/>
    </row>
    <row r="8649" spans="8:8" x14ac:dyDescent="0.25">
      <c r="H8649" s="134"/>
    </row>
    <row r="8650" spans="8:8" x14ac:dyDescent="0.25">
      <c r="H8650" s="134"/>
    </row>
    <row r="8651" spans="8:8" x14ac:dyDescent="0.25">
      <c r="H8651" s="134"/>
    </row>
    <row r="8652" spans="8:8" x14ac:dyDescent="0.25">
      <c r="H8652" s="134"/>
    </row>
    <row r="8653" spans="8:8" x14ac:dyDescent="0.25">
      <c r="H8653" s="134"/>
    </row>
    <row r="8654" spans="8:8" x14ac:dyDescent="0.25">
      <c r="H8654" s="134"/>
    </row>
    <row r="8655" spans="8:8" x14ac:dyDescent="0.25">
      <c r="H8655" s="134"/>
    </row>
    <row r="8656" spans="8:8" x14ac:dyDescent="0.25">
      <c r="H8656" s="134"/>
    </row>
    <row r="8657" spans="8:8" x14ac:dyDescent="0.25">
      <c r="H8657" s="134"/>
    </row>
    <row r="8658" spans="8:8" x14ac:dyDescent="0.25">
      <c r="H8658" s="134"/>
    </row>
    <row r="8659" spans="8:8" x14ac:dyDescent="0.25">
      <c r="H8659" s="134"/>
    </row>
    <row r="8660" spans="8:8" x14ac:dyDescent="0.25">
      <c r="H8660" s="134"/>
    </row>
    <row r="8661" spans="8:8" x14ac:dyDescent="0.25">
      <c r="H8661" s="134"/>
    </row>
    <row r="8662" spans="8:8" x14ac:dyDescent="0.25">
      <c r="H8662" s="134"/>
    </row>
    <row r="8663" spans="8:8" x14ac:dyDescent="0.25">
      <c r="H8663" s="134"/>
    </row>
    <row r="8664" spans="8:8" x14ac:dyDescent="0.25">
      <c r="H8664" s="134"/>
    </row>
    <row r="8665" spans="8:8" x14ac:dyDescent="0.25">
      <c r="H8665" s="134"/>
    </row>
    <row r="8666" spans="8:8" x14ac:dyDescent="0.25">
      <c r="H8666" s="134"/>
    </row>
    <row r="8667" spans="8:8" x14ac:dyDescent="0.25">
      <c r="H8667" s="134"/>
    </row>
    <row r="8668" spans="8:8" x14ac:dyDescent="0.25">
      <c r="H8668" s="134"/>
    </row>
    <row r="8669" spans="8:8" x14ac:dyDescent="0.25">
      <c r="H8669" s="134"/>
    </row>
    <row r="8670" spans="8:8" x14ac:dyDescent="0.25">
      <c r="H8670" s="134"/>
    </row>
    <row r="8671" spans="8:8" x14ac:dyDescent="0.25">
      <c r="H8671" s="134"/>
    </row>
    <row r="8672" spans="8:8" x14ac:dyDescent="0.25">
      <c r="H8672" s="134"/>
    </row>
    <row r="8673" spans="8:8" x14ac:dyDescent="0.25">
      <c r="H8673" s="134"/>
    </row>
    <row r="8674" spans="8:8" x14ac:dyDescent="0.25">
      <c r="H8674" s="134"/>
    </row>
    <row r="8675" spans="8:8" x14ac:dyDescent="0.25">
      <c r="H8675" s="134"/>
    </row>
    <row r="8676" spans="8:8" x14ac:dyDescent="0.25">
      <c r="H8676" s="134"/>
    </row>
    <row r="8677" spans="8:8" x14ac:dyDescent="0.25">
      <c r="H8677" s="134"/>
    </row>
    <row r="8678" spans="8:8" x14ac:dyDescent="0.25">
      <c r="H8678" s="134"/>
    </row>
    <row r="8679" spans="8:8" x14ac:dyDescent="0.25">
      <c r="H8679" s="134"/>
    </row>
    <row r="8680" spans="8:8" x14ac:dyDescent="0.25">
      <c r="H8680" s="134"/>
    </row>
    <row r="8681" spans="8:8" x14ac:dyDescent="0.25">
      <c r="H8681" s="134"/>
    </row>
    <row r="8682" spans="8:8" x14ac:dyDescent="0.25">
      <c r="H8682" s="134"/>
    </row>
    <row r="8683" spans="8:8" x14ac:dyDescent="0.25">
      <c r="H8683" s="134"/>
    </row>
    <row r="8684" spans="8:8" x14ac:dyDescent="0.25">
      <c r="H8684" s="134"/>
    </row>
    <row r="8685" spans="8:8" x14ac:dyDescent="0.25">
      <c r="H8685" s="134"/>
    </row>
    <row r="8686" spans="8:8" x14ac:dyDescent="0.25">
      <c r="H8686" s="134"/>
    </row>
    <row r="8687" spans="8:8" x14ac:dyDescent="0.25">
      <c r="H8687" s="134"/>
    </row>
    <row r="8688" spans="8:8" x14ac:dyDescent="0.25">
      <c r="H8688" s="134"/>
    </row>
    <row r="8689" spans="8:8" x14ac:dyDescent="0.25">
      <c r="H8689" s="134"/>
    </row>
    <row r="8690" spans="8:8" x14ac:dyDescent="0.25">
      <c r="H8690" s="134"/>
    </row>
    <row r="8691" spans="8:8" x14ac:dyDescent="0.25">
      <c r="H8691" s="134"/>
    </row>
    <row r="8692" spans="8:8" x14ac:dyDescent="0.25">
      <c r="H8692" s="134"/>
    </row>
    <row r="8693" spans="8:8" x14ac:dyDescent="0.25">
      <c r="H8693" s="134"/>
    </row>
    <row r="8694" spans="8:8" x14ac:dyDescent="0.25">
      <c r="H8694" s="134"/>
    </row>
    <row r="8695" spans="8:8" x14ac:dyDescent="0.25">
      <c r="H8695" s="134"/>
    </row>
    <row r="8696" spans="8:8" x14ac:dyDescent="0.25">
      <c r="H8696" s="134"/>
    </row>
    <row r="8697" spans="8:8" x14ac:dyDescent="0.25">
      <c r="H8697" s="134"/>
    </row>
    <row r="8698" spans="8:8" x14ac:dyDescent="0.25">
      <c r="H8698" s="134"/>
    </row>
    <row r="8699" spans="8:8" x14ac:dyDescent="0.25">
      <c r="H8699" s="134"/>
    </row>
    <row r="8700" spans="8:8" x14ac:dyDescent="0.25">
      <c r="H8700" s="134"/>
    </row>
    <row r="8701" spans="8:8" x14ac:dyDescent="0.25">
      <c r="H8701" s="134"/>
    </row>
    <row r="8702" spans="8:8" x14ac:dyDescent="0.25">
      <c r="H8702" s="134"/>
    </row>
    <row r="8703" spans="8:8" x14ac:dyDescent="0.25">
      <c r="H8703" s="134"/>
    </row>
    <row r="8704" spans="8:8" x14ac:dyDescent="0.25">
      <c r="H8704" s="134"/>
    </row>
    <row r="8705" spans="8:8" x14ac:dyDescent="0.25">
      <c r="H8705" s="134"/>
    </row>
    <row r="8706" spans="8:8" x14ac:dyDescent="0.25">
      <c r="H8706" s="134"/>
    </row>
    <row r="8707" spans="8:8" x14ac:dyDescent="0.25">
      <c r="H8707" s="134"/>
    </row>
    <row r="8708" spans="8:8" x14ac:dyDescent="0.25">
      <c r="H8708" s="134"/>
    </row>
    <row r="8709" spans="8:8" x14ac:dyDescent="0.25">
      <c r="H8709" s="134"/>
    </row>
    <row r="8710" spans="8:8" x14ac:dyDescent="0.25">
      <c r="H8710" s="134"/>
    </row>
    <row r="8711" spans="8:8" x14ac:dyDescent="0.25">
      <c r="H8711" s="134"/>
    </row>
    <row r="8712" spans="8:8" x14ac:dyDescent="0.25">
      <c r="H8712" s="134"/>
    </row>
    <row r="8713" spans="8:8" x14ac:dyDescent="0.25">
      <c r="H8713" s="134"/>
    </row>
    <row r="8714" spans="8:8" x14ac:dyDescent="0.25">
      <c r="H8714" s="134"/>
    </row>
    <row r="8715" spans="8:8" x14ac:dyDescent="0.25">
      <c r="H8715" s="134"/>
    </row>
    <row r="8716" spans="8:8" x14ac:dyDescent="0.25">
      <c r="H8716" s="134"/>
    </row>
    <row r="8717" spans="8:8" x14ac:dyDescent="0.25">
      <c r="H8717" s="134"/>
    </row>
    <row r="8718" spans="8:8" x14ac:dyDescent="0.25">
      <c r="H8718" s="134"/>
    </row>
    <row r="8719" spans="8:8" x14ac:dyDescent="0.25">
      <c r="H8719" s="134"/>
    </row>
    <row r="8720" spans="8:8" x14ac:dyDescent="0.25">
      <c r="H8720" s="134"/>
    </row>
    <row r="8721" spans="8:8" x14ac:dyDescent="0.25">
      <c r="H8721" s="134"/>
    </row>
    <row r="8722" spans="8:8" x14ac:dyDescent="0.25">
      <c r="H8722" s="134"/>
    </row>
    <row r="8723" spans="8:8" x14ac:dyDescent="0.25">
      <c r="H8723" s="134"/>
    </row>
    <row r="8724" spans="8:8" x14ac:dyDescent="0.25">
      <c r="H8724" s="134"/>
    </row>
    <row r="8725" spans="8:8" x14ac:dyDescent="0.25">
      <c r="H8725" s="134"/>
    </row>
    <row r="8726" spans="8:8" x14ac:dyDescent="0.25">
      <c r="H8726" s="134"/>
    </row>
    <row r="8727" spans="8:8" x14ac:dyDescent="0.25">
      <c r="H8727" s="134"/>
    </row>
    <row r="8728" spans="8:8" x14ac:dyDescent="0.25">
      <c r="H8728" s="134"/>
    </row>
    <row r="8729" spans="8:8" x14ac:dyDescent="0.25">
      <c r="H8729" s="134"/>
    </row>
    <row r="8730" spans="8:8" x14ac:dyDescent="0.25">
      <c r="H8730" s="134"/>
    </row>
    <row r="8731" spans="8:8" x14ac:dyDescent="0.25">
      <c r="H8731" s="134"/>
    </row>
    <row r="8732" spans="8:8" x14ac:dyDescent="0.25">
      <c r="H8732" s="134"/>
    </row>
    <row r="8733" spans="8:8" x14ac:dyDescent="0.25">
      <c r="H8733" s="134"/>
    </row>
    <row r="8734" spans="8:8" x14ac:dyDescent="0.25">
      <c r="H8734" s="134"/>
    </row>
    <row r="8735" spans="8:8" x14ac:dyDescent="0.25">
      <c r="H8735" s="134"/>
    </row>
    <row r="8736" spans="8:8" x14ac:dyDescent="0.25">
      <c r="H8736" s="134"/>
    </row>
    <row r="8737" spans="8:8" x14ac:dyDescent="0.25">
      <c r="H8737" s="134"/>
    </row>
    <row r="8738" spans="8:8" x14ac:dyDescent="0.25">
      <c r="H8738" s="134"/>
    </row>
    <row r="8739" spans="8:8" x14ac:dyDescent="0.25">
      <c r="H8739" s="134"/>
    </row>
    <row r="8740" spans="8:8" x14ac:dyDescent="0.25">
      <c r="H8740" s="134"/>
    </row>
    <row r="8741" spans="8:8" x14ac:dyDescent="0.25">
      <c r="H8741" s="134"/>
    </row>
    <row r="8742" spans="8:8" x14ac:dyDescent="0.25">
      <c r="H8742" s="134"/>
    </row>
    <row r="8743" spans="8:8" x14ac:dyDescent="0.25">
      <c r="H8743" s="134"/>
    </row>
    <row r="8744" spans="8:8" x14ac:dyDescent="0.25">
      <c r="H8744" s="134"/>
    </row>
    <row r="8745" spans="8:8" x14ac:dyDescent="0.25">
      <c r="H8745" s="134"/>
    </row>
    <row r="8746" spans="8:8" x14ac:dyDescent="0.25">
      <c r="H8746" s="134"/>
    </row>
    <row r="8747" spans="8:8" x14ac:dyDescent="0.25">
      <c r="H8747" s="134"/>
    </row>
    <row r="8748" spans="8:8" x14ac:dyDescent="0.25">
      <c r="H8748" s="134"/>
    </row>
    <row r="8749" spans="8:8" x14ac:dyDescent="0.25">
      <c r="H8749" s="134"/>
    </row>
    <row r="8750" spans="8:8" x14ac:dyDescent="0.25">
      <c r="H8750" s="134"/>
    </row>
    <row r="8751" spans="8:8" x14ac:dyDescent="0.25">
      <c r="H8751" s="134"/>
    </row>
    <row r="8752" spans="8:8" x14ac:dyDescent="0.25">
      <c r="H8752" s="134"/>
    </row>
    <row r="8753" spans="8:8" x14ac:dyDescent="0.25">
      <c r="H8753" s="134"/>
    </row>
    <row r="8754" spans="8:8" x14ac:dyDescent="0.25">
      <c r="H8754" s="134"/>
    </row>
    <row r="8755" spans="8:8" x14ac:dyDescent="0.25">
      <c r="H8755" s="134"/>
    </row>
    <row r="8756" spans="8:8" x14ac:dyDescent="0.25">
      <c r="H8756" s="134"/>
    </row>
    <row r="8757" spans="8:8" x14ac:dyDescent="0.25">
      <c r="H8757" s="134"/>
    </row>
    <row r="8758" spans="8:8" x14ac:dyDescent="0.25">
      <c r="H8758" s="134"/>
    </row>
    <row r="8759" spans="8:8" x14ac:dyDescent="0.25">
      <c r="H8759" s="134"/>
    </row>
    <row r="8760" spans="8:8" x14ac:dyDescent="0.25">
      <c r="H8760" s="134"/>
    </row>
    <row r="8761" spans="8:8" x14ac:dyDescent="0.25">
      <c r="H8761" s="134"/>
    </row>
    <row r="8762" spans="8:8" x14ac:dyDescent="0.25">
      <c r="H8762" s="134"/>
    </row>
    <row r="8763" spans="8:8" x14ac:dyDescent="0.25">
      <c r="H8763" s="134"/>
    </row>
    <row r="8764" spans="8:8" x14ac:dyDescent="0.25">
      <c r="H8764" s="134"/>
    </row>
    <row r="8765" spans="8:8" x14ac:dyDescent="0.25">
      <c r="H8765" s="134"/>
    </row>
    <row r="8766" spans="8:8" x14ac:dyDescent="0.25">
      <c r="H8766" s="134"/>
    </row>
    <row r="8767" spans="8:8" x14ac:dyDescent="0.25">
      <c r="H8767" s="134"/>
    </row>
    <row r="8768" spans="8:8" x14ac:dyDescent="0.25">
      <c r="H8768" s="134"/>
    </row>
    <row r="8769" spans="8:8" x14ac:dyDescent="0.25">
      <c r="H8769" s="134"/>
    </row>
    <row r="8770" spans="8:8" x14ac:dyDescent="0.25">
      <c r="H8770" s="134"/>
    </row>
    <row r="8771" spans="8:8" x14ac:dyDescent="0.25">
      <c r="H8771" s="134"/>
    </row>
    <row r="8772" spans="8:8" x14ac:dyDescent="0.25">
      <c r="H8772" s="134"/>
    </row>
    <row r="8773" spans="8:8" x14ac:dyDescent="0.25">
      <c r="H8773" s="134"/>
    </row>
    <row r="8774" spans="8:8" x14ac:dyDescent="0.25">
      <c r="H8774" s="134"/>
    </row>
    <row r="8775" spans="8:8" x14ac:dyDescent="0.25">
      <c r="H8775" s="134"/>
    </row>
    <row r="8776" spans="8:8" x14ac:dyDescent="0.25">
      <c r="H8776" s="134"/>
    </row>
    <row r="8777" spans="8:8" x14ac:dyDescent="0.25">
      <c r="H8777" s="134"/>
    </row>
    <row r="8778" spans="8:8" x14ac:dyDescent="0.25">
      <c r="H8778" s="134"/>
    </row>
    <row r="8779" spans="8:8" x14ac:dyDescent="0.25">
      <c r="H8779" s="134"/>
    </row>
    <row r="8780" spans="8:8" x14ac:dyDescent="0.25">
      <c r="H8780" s="134"/>
    </row>
    <row r="8781" spans="8:8" x14ac:dyDescent="0.25">
      <c r="H8781" s="134"/>
    </row>
    <row r="8782" spans="8:8" x14ac:dyDescent="0.25">
      <c r="H8782" s="134"/>
    </row>
    <row r="8783" spans="8:8" x14ac:dyDescent="0.25">
      <c r="H8783" s="134"/>
    </row>
    <row r="8784" spans="8:8" x14ac:dyDescent="0.25">
      <c r="H8784" s="134"/>
    </row>
    <row r="8785" spans="8:8" x14ac:dyDescent="0.25">
      <c r="H8785" s="134"/>
    </row>
    <row r="8786" spans="8:8" x14ac:dyDescent="0.25">
      <c r="H8786" s="134"/>
    </row>
    <row r="8787" spans="8:8" x14ac:dyDescent="0.25">
      <c r="H8787" s="134"/>
    </row>
    <row r="8788" spans="8:8" x14ac:dyDescent="0.25">
      <c r="H8788" s="134"/>
    </row>
    <row r="8789" spans="8:8" x14ac:dyDescent="0.25">
      <c r="H8789" s="134"/>
    </row>
    <row r="8790" spans="8:8" x14ac:dyDescent="0.25">
      <c r="H8790" s="134"/>
    </row>
    <row r="8791" spans="8:8" x14ac:dyDescent="0.25">
      <c r="H8791" s="134"/>
    </row>
    <row r="8792" spans="8:8" x14ac:dyDescent="0.25">
      <c r="H8792" s="134"/>
    </row>
    <row r="8793" spans="8:8" x14ac:dyDescent="0.25">
      <c r="H8793" s="134"/>
    </row>
    <row r="8794" spans="8:8" x14ac:dyDescent="0.25">
      <c r="H8794" s="134"/>
    </row>
    <row r="8795" spans="8:8" x14ac:dyDescent="0.25">
      <c r="H8795" s="134"/>
    </row>
    <row r="8796" spans="8:8" x14ac:dyDescent="0.25">
      <c r="H8796" s="134"/>
    </row>
    <row r="8797" spans="8:8" x14ac:dyDescent="0.25">
      <c r="H8797" s="134"/>
    </row>
    <row r="8798" spans="8:8" x14ac:dyDescent="0.25">
      <c r="H8798" s="134"/>
    </row>
    <row r="8799" spans="8:8" x14ac:dyDescent="0.25">
      <c r="H8799" s="134"/>
    </row>
    <row r="8800" spans="8:8" x14ac:dyDescent="0.25">
      <c r="H8800" s="134"/>
    </row>
    <row r="8801" spans="8:8" x14ac:dyDescent="0.25">
      <c r="H8801" s="134"/>
    </row>
    <row r="8802" spans="8:8" x14ac:dyDescent="0.25">
      <c r="H8802" s="134"/>
    </row>
    <row r="8803" spans="8:8" x14ac:dyDescent="0.25">
      <c r="H8803" s="134"/>
    </row>
    <row r="8804" spans="8:8" x14ac:dyDescent="0.25">
      <c r="H8804" s="134"/>
    </row>
    <row r="8805" spans="8:8" x14ac:dyDescent="0.25">
      <c r="H8805" s="134"/>
    </row>
    <row r="8806" spans="8:8" x14ac:dyDescent="0.25">
      <c r="H8806" s="134"/>
    </row>
    <row r="8807" spans="8:8" x14ac:dyDescent="0.25">
      <c r="H8807" s="134"/>
    </row>
    <row r="8808" spans="8:8" x14ac:dyDescent="0.25">
      <c r="H8808" s="134"/>
    </row>
    <row r="8809" spans="8:8" x14ac:dyDescent="0.25">
      <c r="H8809" s="134"/>
    </row>
    <row r="8810" spans="8:8" x14ac:dyDescent="0.25">
      <c r="H8810" s="134"/>
    </row>
    <row r="8811" spans="8:8" x14ac:dyDescent="0.25">
      <c r="H8811" s="134"/>
    </row>
    <row r="8812" spans="8:8" x14ac:dyDescent="0.25">
      <c r="H8812" s="134"/>
    </row>
    <row r="8813" spans="8:8" x14ac:dyDescent="0.25">
      <c r="H8813" s="134"/>
    </row>
    <row r="8814" spans="8:8" x14ac:dyDescent="0.25">
      <c r="H8814" s="134"/>
    </row>
    <row r="8815" spans="8:8" x14ac:dyDescent="0.25">
      <c r="H8815" s="134"/>
    </row>
    <row r="8816" spans="8:8" x14ac:dyDescent="0.25">
      <c r="H8816" s="134"/>
    </row>
    <row r="8817" spans="8:8" x14ac:dyDescent="0.25">
      <c r="H8817" s="134"/>
    </row>
    <row r="8818" spans="8:8" x14ac:dyDescent="0.25">
      <c r="H8818" s="134"/>
    </row>
    <row r="8819" spans="8:8" x14ac:dyDescent="0.25">
      <c r="H8819" s="134"/>
    </row>
    <row r="8820" spans="8:8" x14ac:dyDescent="0.25">
      <c r="H8820" s="134"/>
    </row>
    <row r="8821" spans="8:8" x14ac:dyDescent="0.25">
      <c r="H8821" s="134"/>
    </row>
    <row r="8822" spans="8:8" x14ac:dyDescent="0.25">
      <c r="H8822" s="134"/>
    </row>
    <row r="8823" spans="8:8" x14ac:dyDescent="0.25">
      <c r="H8823" s="134"/>
    </row>
    <row r="8824" spans="8:8" x14ac:dyDescent="0.25">
      <c r="H8824" s="134"/>
    </row>
    <row r="8825" spans="8:8" x14ac:dyDescent="0.25">
      <c r="H8825" s="134"/>
    </row>
    <row r="8826" spans="8:8" x14ac:dyDescent="0.25">
      <c r="H8826" s="134"/>
    </row>
    <row r="8827" spans="8:8" x14ac:dyDescent="0.25">
      <c r="H8827" s="134"/>
    </row>
    <row r="8828" spans="8:8" x14ac:dyDescent="0.25">
      <c r="H8828" s="134"/>
    </row>
    <row r="8829" spans="8:8" x14ac:dyDescent="0.25">
      <c r="H8829" s="134"/>
    </row>
    <row r="8830" spans="8:8" x14ac:dyDescent="0.25">
      <c r="H8830" s="134"/>
    </row>
    <row r="8831" spans="8:8" x14ac:dyDescent="0.25">
      <c r="H8831" s="134"/>
    </row>
    <row r="8832" spans="8:8" x14ac:dyDescent="0.25">
      <c r="H8832" s="134"/>
    </row>
    <row r="8833" spans="8:8" x14ac:dyDescent="0.25">
      <c r="H8833" s="134"/>
    </row>
    <row r="8834" spans="8:8" x14ac:dyDescent="0.25">
      <c r="H8834" s="134"/>
    </row>
    <row r="8835" spans="8:8" x14ac:dyDescent="0.25">
      <c r="H8835" s="134"/>
    </row>
    <row r="8836" spans="8:8" x14ac:dyDescent="0.25">
      <c r="H8836" s="134"/>
    </row>
    <row r="8837" spans="8:8" x14ac:dyDescent="0.25">
      <c r="H8837" s="134"/>
    </row>
    <row r="8838" spans="8:8" x14ac:dyDescent="0.25">
      <c r="H8838" s="134"/>
    </row>
    <row r="8839" spans="8:8" x14ac:dyDescent="0.25">
      <c r="H8839" s="134"/>
    </row>
    <row r="8840" spans="8:8" x14ac:dyDescent="0.25">
      <c r="H8840" s="134"/>
    </row>
    <row r="8841" spans="8:8" x14ac:dyDescent="0.25">
      <c r="H8841" s="134"/>
    </row>
    <row r="8842" spans="8:8" x14ac:dyDescent="0.25">
      <c r="H8842" s="134"/>
    </row>
    <row r="8843" spans="8:8" x14ac:dyDescent="0.25">
      <c r="H8843" s="134"/>
    </row>
    <row r="8844" spans="8:8" x14ac:dyDescent="0.25">
      <c r="H8844" s="134"/>
    </row>
    <row r="8845" spans="8:8" x14ac:dyDescent="0.25">
      <c r="H8845" s="134"/>
    </row>
    <row r="8846" spans="8:8" x14ac:dyDescent="0.25">
      <c r="H8846" s="134"/>
    </row>
    <row r="8847" spans="8:8" x14ac:dyDescent="0.25">
      <c r="H8847" s="134"/>
    </row>
    <row r="8848" spans="8:8" x14ac:dyDescent="0.25">
      <c r="H8848" s="134"/>
    </row>
    <row r="8849" spans="8:8" x14ac:dyDescent="0.25">
      <c r="H8849" s="134"/>
    </row>
    <row r="8850" spans="8:8" x14ac:dyDescent="0.25">
      <c r="H8850" s="134"/>
    </row>
    <row r="8851" spans="8:8" x14ac:dyDescent="0.25">
      <c r="H8851" s="134"/>
    </row>
    <row r="8852" spans="8:8" x14ac:dyDescent="0.25">
      <c r="H8852" s="134"/>
    </row>
    <row r="8853" spans="8:8" x14ac:dyDescent="0.25">
      <c r="H8853" s="134"/>
    </row>
    <row r="8854" spans="8:8" x14ac:dyDescent="0.25">
      <c r="H8854" s="134"/>
    </row>
    <row r="8855" spans="8:8" x14ac:dyDescent="0.25">
      <c r="H8855" s="134"/>
    </row>
    <row r="8856" spans="8:8" x14ac:dyDescent="0.25">
      <c r="H8856" s="134"/>
    </row>
    <row r="8857" spans="8:8" x14ac:dyDescent="0.25">
      <c r="H8857" s="134"/>
    </row>
    <row r="8858" spans="8:8" x14ac:dyDescent="0.25">
      <c r="H8858" s="134"/>
    </row>
    <row r="8859" spans="8:8" x14ac:dyDescent="0.25">
      <c r="H8859" s="134"/>
    </row>
    <row r="8860" spans="8:8" x14ac:dyDescent="0.25">
      <c r="H8860" s="134"/>
    </row>
    <row r="8861" spans="8:8" x14ac:dyDescent="0.25">
      <c r="H8861" s="134"/>
    </row>
    <row r="8862" spans="8:8" x14ac:dyDescent="0.25">
      <c r="H8862" s="134"/>
    </row>
    <row r="8863" spans="8:8" x14ac:dyDescent="0.25">
      <c r="H8863" s="134"/>
    </row>
    <row r="8864" spans="8:8" x14ac:dyDescent="0.25">
      <c r="H8864" s="134"/>
    </row>
    <row r="8865" spans="8:8" x14ac:dyDescent="0.25">
      <c r="H8865" s="134"/>
    </row>
    <row r="8866" spans="8:8" x14ac:dyDescent="0.25">
      <c r="H8866" s="134"/>
    </row>
    <row r="8867" spans="8:8" x14ac:dyDescent="0.25">
      <c r="H8867" s="134"/>
    </row>
    <row r="8868" spans="8:8" x14ac:dyDescent="0.25">
      <c r="H8868" s="134"/>
    </row>
    <row r="8869" spans="8:8" x14ac:dyDescent="0.25">
      <c r="H8869" s="134"/>
    </row>
    <row r="8870" spans="8:8" x14ac:dyDescent="0.25">
      <c r="H8870" s="134"/>
    </row>
    <row r="8871" spans="8:8" x14ac:dyDescent="0.25">
      <c r="H8871" s="134"/>
    </row>
    <row r="8872" spans="8:8" x14ac:dyDescent="0.25">
      <c r="H8872" s="134"/>
    </row>
    <row r="8873" spans="8:8" x14ac:dyDescent="0.25">
      <c r="H8873" s="134"/>
    </row>
    <row r="8874" spans="8:8" x14ac:dyDescent="0.25">
      <c r="H8874" s="134"/>
    </row>
    <row r="8875" spans="8:8" x14ac:dyDescent="0.25">
      <c r="H8875" s="134"/>
    </row>
    <row r="8876" spans="8:8" x14ac:dyDescent="0.25">
      <c r="H8876" s="134"/>
    </row>
    <row r="8877" spans="8:8" x14ac:dyDescent="0.25">
      <c r="H8877" s="134"/>
    </row>
    <row r="8878" spans="8:8" x14ac:dyDescent="0.25">
      <c r="H8878" s="134"/>
    </row>
    <row r="8879" spans="8:8" x14ac:dyDescent="0.25">
      <c r="H8879" s="134"/>
    </row>
    <row r="8880" spans="8:8" x14ac:dyDescent="0.25">
      <c r="H8880" s="134"/>
    </row>
    <row r="8881" spans="8:8" x14ac:dyDescent="0.25">
      <c r="H8881" s="134"/>
    </row>
    <row r="8882" spans="8:8" x14ac:dyDescent="0.25">
      <c r="H8882" s="134"/>
    </row>
    <row r="8883" spans="8:8" x14ac:dyDescent="0.25">
      <c r="H8883" s="134"/>
    </row>
    <row r="8884" spans="8:8" x14ac:dyDescent="0.25">
      <c r="H8884" s="134"/>
    </row>
    <row r="8885" spans="8:8" x14ac:dyDescent="0.25">
      <c r="H8885" s="134"/>
    </row>
    <row r="8886" spans="8:8" x14ac:dyDescent="0.25">
      <c r="H8886" s="134"/>
    </row>
    <row r="8887" spans="8:8" x14ac:dyDescent="0.25">
      <c r="H8887" s="134"/>
    </row>
    <row r="8888" spans="8:8" x14ac:dyDescent="0.25">
      <c r="H8888" s="134"/>
    </row>
    <row r="8889" spans="8:8" x14ac:dyDescent="0.25">
      <c r="H8889" s="134"/>
    </row>
    <row r="8890" spans="8:8" x14ac:dyDescent="0.25">
      <c r="H8890" s="134"/>
    </row>
    <row r="8891" spans="8:8" x14ac:dyDescent="0.25">
      <c r="H8891" s="134"/>
    </row>
    <row r="8892" spans="8:8" x14ac:dyDescent="0.25">
      <c r="H8892" s="134"/>
    </row>
    <row r="8893" spans="8:8" x14ac:dyDescent="0.25">
      <c r="H8893" s="134"/>
    </row>
    <row r="8894" spans="8:8" x14ac:dyDescent="0.25">
      <c r="H8894" s="134"/>
    </row>
    <row r="8895" spans="8:8" x14ac:dyDescent="0.25">
      <c r="H8895" s="134"/>
    </row>
    <row r="8896" spans="8:8" x14ac:dyDescent="0.25">
      <c r="H8896" s="134"/>
    </row>
    <row r="8897" spans="8:8" x14ac:dyDescent="0.25">
      <c r="H8897" s="134"/>
    </row>
    <row r="8898" spans="8:8" x14ac:dyDescent="0.25">
      <c r="H8898" s="134"/>
    </row>
    <row r="8899" spans="8:8" x14ac:dyDescent="0.25">
      <c r="H8899" s="134"/>
    </row>
    <row r="8900" spans="8:8" x14ac:dyDescent="0.25">
      <c r="H8900" s="134"/>
    </row>
    <row r="8901" spans="8:8" x14ac:dyDescent="0.25">
      <c r="H8901" s="134"/>
    </row>
    <row r="8902" spans="8:8" x14ac:dyDescent="0.25">
      <c r="H8902" s="134"/>
    </row>
    <row r="8903" spans="8:8" x14ac:dyDescent="0.25">
      <c r="H8903" s="134"/>
    </row>
    <row r="8904" spans="8:8" x14ac:dyDescent="0.25">
      <c r="H8904" s="134"/>
    </row>
    <row r="8905" spans="8:8" x14ac:dyDescent="0.25">
      <c r="H8905" s="134"/>
    </row>
    <row r="8906" spans="8:8" x14ac:dyDescent="0.25">
      <c r="H8906" s="134"/>
    </row>
    <row r="8907" spans="8:8" x14ac:dyDescent="0.25">
      <c r="H8907" s="134"/>
    </row>
    <row r="8908" spans="8:8" x14ac:dyDescent="0.25">
      <c r="H8908" s="134"/>
    </row>
    <row r="8909" spans="8:8" x14ac:dyDescent="0.25">
      <c r="H8909" s="134"/>
    </row>
    <row r="8910" spans="8:8" x14ac:dyDescent="0.25">
      <c r="H8910" s="134"/>
    </row>
    <row r="8911" spans="8:8" x14ac:dyDescent="0.25">
      <c r="H8911" s="134"/>
    </row>
    <row r="8912" spans="8:8" x14ac:dyDescent="0.25">
      <c r="H8912" s="134"/>
    </row>
    <row r="8913" spans="8:8" x14ac:dyDescent="0.25">
      <c r="H8913" s="134"/>
    </row>
    <row r="8914" spans="8:8" x14ac:dyDescent="0.25">
      <c r="H8914" s="134"/>
    </row>
    <row r="8915" spans="8:8" x14ac:dyDescent="0.25">
      <c r="H8915" s="134"/>
    </row>
    <row r="8916" spans="8:8" x14ac:dyDescent="0.25">
      <c r="H8916" s="134"/>
    </row>
    <row r="8917" spans="8:8" x14ac:dyDescent="0.25">
      <c r="H8917" s="134"/>
    </row>
    <row r="8918" spans="8:8" x14ac:dyDescent="0.25">
      <c r="H8918" s="134"/>
    </row>
    <row r="8919" spans="8:8" x14ac:dyDescent="0.25">
      <c r="H8919" s="134"/>
    </row>
    <row r="8920" spans="8:8" x14ac:dyDescent="0.25">
      <c r="H8920" s="134"/>
    </row>
    <row r="8921" spans="8:8" x14ac:dyDescent="0.25">
      <c r="H8921" s="134"/>
    </row>
    <row r="8922" spans="8:8" x14ac:dyDescent="0.25">
      <c r="H8922" s="134"/>
    </row>
    <row r="8923" spans="8:8" x14ac:dyDescent="0.25">
      <c r="H8923" s="134"/>
    </row>
    <row r="8924" spans="8:8" x14ac:dyDescent="0.25">
      <c r="H8924" s="134"/>
    </row>
    <row r="8925" spans="8:8" x14ac:dyDescent="0.25">
      <c r="H8925" s="134"/>
    </row>
    <row r="8926" spans="8:8" x14ac:dyDescent="0.25">
      <c r="H8926" s="134"/>
    </row>
    <row r="8927" spans="8:8" x14ac:dyDescent="0.25">
      <c r="H8927" s="134"/>
    </row>
    <row r="8928" spans="8:8" x14ac:dyDescent="0.25">
      <c r="H8928" s="134"/>
    </row>
    <row r="8929" spans="8:8" x14ac:dyDescent="0.25">
      <c r="H8929" s="134"/>
    </row>
    <row r="8930" spans="8:8" x14ac:dyDescent="0.25">
      <c r="H8930" s="134"/>
    </row>
    <row r="8931" spans="8:8" x14ac:dyDescent="0.25">
      <c r="H8931" s="134"/>
    </row>
    <row r="8932" spans="8:8" x14ac:dyDescent="0.25">
      <c r="H8932" s="134"/>
    </row>
    <row r="8933" spans="8:8" x14ac:dyDescent="0.25">
      <c r="H8933" s="134"/>
    </row>
    <row r="8934" spans="8:8" x14ac:dyDescent="0.25">
      <c r="H8934" s="134"/>
    </row>
    <row r="8935" spans="8:8" x14ac:dyDescent="0.25">
      <c r="H8935" s="134"/>
    </row>
    <row r="8936" spans="8:8" x14ac:dyDescent="0.25">
      <c r="H8936" s="134"/>
    </row>
    <row r="8937" spans="8:8" x14ac:dyDescent="0.25">
      <c r="H8937" s="134"/>
    </row>
    <row r="8938" spans="8:8" x14ac:dyDescent="0.25">
      <c r="H8938" s="134"/>
    </row>
    <row r="8939" spans="8:8" x14ac:dyDescent="0.25">
      <c r="H8939" s="134"/>
    </row>
    <row r="8940" spans="8:8" x14ac:dyDescent="0.25">
      <c r="H8940" s="134"/>
    </row>
    <row r="8941" spans="8:8" x14ac:dyDescent="0.25">
      <c r="H8941" s="134"/>
    </row>
    <row r="8942" spans="8:8" x14ac:dyDescent="0.25">
      <c r="H8942" s="134"/>
    </row>
    <row r="8943" spans="8:8" x14ac:dyDescent="0.25">
      <c r="H8943" s="134"/>
    </row>
    <row r="8944" spans="8:8" x14ac:dyDescent="0.25">
      <c r="H8944" s="134"/>
    </row>
    <row r="8945" spans="8:8" x14ac:dyDescent="0.25">
      <c r="H8945" s="134"/>
    </row>
    <row r="8946" spans="8:8" x14ac:dyDescent="0.25">
      <c r="H8946" s="134"/>
    </row>
    <row r="8947" spans="8:8" x14ac:dyDescent="0.25">
      <c r="H8947" s="134"/>
    </row>
    <row r="8948" spans="8:8" x14ac:dyDescent="0.25">
      <c r="H8948" s="134"/>
    </row>
    <row r="8949" spans="8:8" x14ac:dyDescent="0.25">
      <c r="H8949" s="134"/>
    </row>
    <row r="8950" spans="8:8" x14ac:dyDescent="0.25">
      <c r="H8950" s="134"/>
    </row>
    <row r="8951" spans="8:8" x14ac:dyDescent="0.25">
      <c r="H8951" s="134"/>
    </row>
    <row r="8952" spans="8:8" x14ac:dyDescent="0.25">
      <c r="H8952" s="134"/>
    </row>
    <row r="8953" spans="8:8" x14ac:dyDescent="0.25">
      <c r="H8953" s="134"/>
    </row>
    <row r="8954" spans="8:8" x14ac:dyDescent="0.25">
      <c r="H8954" s="134"/>
    </row>
    <row r="8955" spans="8:8" x14ac:dyDescent="0.25">
      <c r="H8955" s="134"/>
    </row>
    <row r="8956" spans="8:8" x14ac:dyDescent="0.25">
      <c r="H8956" s="134"/>
    </row>
    <row r="8957" spans="8:8" x14ac:dyDescent="0.25">
      <c r="H8957" s="134"/>
    </row>
    <row r="8958" spans="8:8" x14ac:dyDescent="0.25">
      <c r="H8958" s="134"/>
    </row>
    <row r="8959" spans="8:8" x14ac:dyDescent="0.25">
      <c r="H8959" s="134"/>
    </row>
    <row r="8960" spans="8:8" x14ac:dyDescent="0.25">
      <c r="H8960" s="134"/>
    </row>
    <row r="8961" spans="8:8" x14ac:dyDescent="0.25">
      <c r="H8961" s="134"/>
    </row>
    <row r="8962" spans="8:8" x14ac:dyDescent="0.25">
      <c r="H8962" s="134"/>
    </row>
    <row r="8963" spans="8:8" x14ac:dyDescent="0.25">
      <c r="H8963" s="134"/>
    </row>
    <row r="8964" spans="8:8" x14ac:dyDescent="0.25">
      <c r="H8964" s="134"/>
    </row>
    <row r="8965" spans="8:8" x14ac:dyDescent="0.25">
      <c r="H8965" s="134"/>
    </row>
    <row r="8966" spans="8:8" x14ac:dyDescent="0.25">
      <c r="H8966" s="134"/>
    </row>
    <row r="8967" spans="8:8" x14ac:dyDescent="0.25">
      <c r="H8967" s="134"/>
    </row>
    <row r="8968" spans="8:8" x14ac:dyDescent="0.25">
      <c r="H8968" s="134"/>
    </row>
    <row r="8969" spans="8:8" x14ac:dyDescent="0.25">
      <c r="H8969" s="134"/>
    </row>
    <row r="8970" spans="8:8" x14ac:dyDescent="0.25">
      <c r="H8970" s="134"/>
    </row>
    <row r="8971" spans="8:8" x14ac:dyDescent="0.25">
      <c r="H8971" s="134"/>
    </row>
    <row r="8972" spans="8:8" x14ac:dyDescent="0.25">
      <c r="H8972" s="134"/>
    </row>
    <row r="8973" spans="8:8" x14ac:dyDescent="0.25">
      <c r="H8973" s="134"/>
    </row>
    <row r="8974" spans="8:8" x14ac:dyDescent="0.25">
      <c r="H8974" s="134"/>
    </row>
    <row r="8975" spans="8:8" x14ac:dyDescent="0.25">
      <c r="H8975" s="134"/>
    </row>
    <row r="8976" spans="8:8" x14ac:dyDescent="0.25">
      <c r="H8976" s="134"/>
    </row>
    <row r="8977" spans="8:8" x14ac:dyDescent="0.25">
      <c r="H8977" s="134"/>
    </row>
    <row r="8978" spans="8:8" x14ac:dyDescent="0.25">
      <c r="H8978" s="134"/>
    </row>
    <row r="8979" spans="8:8" x14ac:dyDescent="0.25">
      <c r="H8979" s="134"/>
    </row>
    <row r="8980" spans="8:8" x14ac:dyDescent="0.25">
      <c r="H8980" s="134"/>
    </row>
    <row r="8981" spans="8:8" x14ac:dyDescent="0.25">
      <c r="H8981" s="134"/>
    </row>
    <row r="8982" spans="8:8" x14ac:dyDescent="0.25">
      <c r="H8982" s="134"/>
    </row>
    <row r="8983" spans="8:8" x14ac:dyDescent="0.25">
      <c r="H8983" s="134"/>
    </row>
    <row r="8984" spans="8:8" x14ac:dyDescent="0.25">
      <c r="H8984" s="134"/>
    </row>
    <row r="8985" spans="8:8" x14ac:dyDescent="0.25">
      <c r="H8985" s="134"/>
    </row>
    <row r="8986" spans="8:8" x14ac:dyDescent="0.25">
      <c r="H8986" s="134"/>
    </row>
    <row r="8987" spans="8:8" x14ac:dyDescent="0.25">
      <c r="H8987" s="134"/>
    </row>
    <row r="8988" spans="8:8" x14ac:dyDescent="0.25">
      <c r="H8988" s="134"/>
    </row>
    <row r="8989" spans="8:8" x14ac:dyDescent="0.25">
      <c r="H8989" s="134"/>
    </row>
    <row r="8990" spans="8:8" x14ac:dyDescent="0.25">
      <c r="H8990" s="134"/>
    </row>
    <row r="8991" spans="8:8" x14ac:dyDescent="0.25">
      <c r="H8991" s="134"/>
    </row>
    <row r="8992" spans="8:8" x14ac:dyDescent="0.25">
      <c r="H8992" s="134"/>
    </row>
    <row r="8993" spans="8:8" x14ac:dyDescent="0.25">
      <c r="H8993" s="134"/>
    </row>
    <row r="8994" spans="8:8" x14ac:dyDescent="0.25">
      <c r="H8994" s="134"/>
    </row>
    <row r="8995" spans="8:8" x14ac:dyDescent="0.25">
      <c r="H8995" s="134"/>
    </row>
    <row r="8996" spans="8:8" x14ac:dyDescent="0.25">
      <c r="H8996" s="134"/>
    </row>
    <row r="8997" spans="8:8" x14ac:dyDescent="0.25">
      <c r="H8997" s="134"/>
    </row>
    <row r="8998" spans="8:8" x14ac:dyDescent="0.25">
      <c r="H8998" s="134"/>
    </row>
    <row r="8999" spans="8:8" x14ac:dyDescent="0.25">
      <c r="H8999" s="134"/>
    </row>
    <row r="9000" spans="8:8" x14ac:dyDescent="0.25">
      <c r="H9000" s="134"/>
    </row>
    <row r="9001" spans="8:8" x14ac:dyDescent="0.25">
      <c r="H9001" s="134"/>
    </row>
    <row r="9002" spans="8:8" x14ac:dyDescent="0.25">
      <c r="H9002" s="134"/>
    </row>
    <row r="9003" spans="8:8" x14ac:dyDescent="0.25">
      <c r="H9003" s="134"/>
    </row>
    <row r="9004" spans="8:8" x14ac:dyDescent="0.25">
      <c r="H9004" s="134"/>
    </row>
    <row r="9005" spans="8:8" x14ac:dyDescent="0.25">
      <c r="H9005" s="134"/>
    </row>
    <row r="9006" spans="8:8" x14ac:dyDescent="0.25">
      <c r="H9006" s="134"/>
    </row>
    <row r="9007" spans="8:8" x14ac:dyDescent="0.25">
      <c r="H9007" s="134"/>
    </row>
    <row r="9008" spans="8:8" x14ac:dyDescent="0.25">
      <c r="H9008" s="134"/>
    </row>
    <row r="9009" spans="8:8" x14ac:dyDescent="0.25">
      <c r="H9009" s="134"/>
    </row>
    <row r="9010" spans="8:8" x14ac:dyDescent="0.25">
      <c r="H9010" s="134"/>
    </row>
    <row r="9011" spans="8:8" x14ac:dyDescent="0.25">
      <c r="H9011" s="134"/>
    </row>
    <row r="9012" spans="8:8" x14ac:dyDescent="0.25">
      <c r="H9012" s="134"/>
    </row>
    <row r="9013" spans="8:8" x14ac:dyDescent="0.25">
      <c r="H9013" s="134"/>
    </row>
    <row r="9014" spans="8:8" x14ac:dyDescent="0.25">
      <c r="H9014" s="134"/>
    </row>
    <row r="9015" spans="8:8" x14ac:dyDescent="0.25">
      <c r="H9015" s="134"/>
    </row>
    <row r="9016" spans="8:8" x14ac:dyDescent="0.25">
      <c r="H9016" s="134"/>
    </row>
    <row r="9017" spans="8:8" x14ac:dyDescent="0.25">
      <c r="H9017" s="134"/>
    </row>
    <row r="9018" spans="8:8" x14ac:dyDescent="0.25">
      <c r="H9018" s="134"/>
    </row>
    <row r="9019" spans="8:8" x14ac:dyDescent="0.25">
      <c r="H9019" s="134"/>
    </row>
    <row r="9020" spans="8:8" x14ac:dyDescent="0.25">
      <c r="H9020" s="134"/>
    </row>
    <row r="9021" spans="8:8" x14ac:dyDescent="0.25">
      <c r="H9021" s="134"/>
    </row>
    <row r="9022" spans="8:8" x14ac:dyDescent="0.25">
      <c r="H9022" s="134"/>
    </row>
    <row r="9023" spans="8:8" x14ac:dyDescent="0.25">
      <c r="H9023" s="134"/>
    </row>
    <row r="9024" spans="8:8" x14ac:dyDescent="0.25">
      <c r="H9024" s="134"/>
    </row>
    <row r="9025" spans="8:8" x14ac:dyDescent="0.25">
      <c r="H9025" s="134"/>
    </row>
    <row r="9026" spans="8:8" x14ac:dyDescent="0.25">
      <c r="H9026" s="134"/>
    </row>
    <row r="9027" spans="8:8" x14ac:dyDescent="0.25">
      <c r="H9027" s="134"/>
    </row>
    <row r="9028" spans="8:8" x14ac:dyDescent="0.25">
      <c r="H9028" s="134"/>
    </row>
    <row r="9029" spans="8:8" x14ac:dyDescent="0.25">
      <c r="H9029" s="134"/>
    </row>
    <row r="9030" spans="8:8" x14ac:dyDescent="0.25">
      <c r="H9030" s="134"/>
    </row>
    <row r="9031" spans="8:8" x14ac:dyDescent="0.25">
      <c r="H9031" s="134"/>
    </row>
    <row r="9032" spans="8:8" x14ac:dyDescent="0.25">
      <c r="H9032" s="134"/>
    </row>
    <row r="9033" spans="8:8" x14ac:dyDescent="0.25">
      <c r="H9033" s="134"/>
    </row>
    <row r="9034" spans="8:8" x14ac:dyDescent="0.25">
      <c r="H9034" s="134"/>
    </row>
    <row r="9035" spans="8:8" x14ac:dyDescent="0.25">
      <c r="H9035" s="134"/>
    </row>
    <row r="9036" spans="8:8" x14ac:dyDescent="0.25">
      <c r="H9036" s="134"/>
    </row>
    <row r="9037" spans="8:8" x14ac:dyDescent="0.25">
      <c r="H9037" s="134"/>
    </row>
    <row r="9038" spans="8:8" x14ac:dyDescent="0.25">
      <c r="H9038" s="134"/>
    </row>
    <row r="9039" spans="8:8" x14ac:dyDescent="0.25">
      <c r="H9039" s="134"/>
    </row>
    <row r="9040" spans="8:8" x14ac:dyDescent="0.25">
      <c r="H9040" s="134"/>
    </row>
    <row r="9041" spans="8:8" x14ac:dyDescent="0.25">
      <c r="H9041" s="134"/>
    </row>
    <row r="9042" spans="8:8" x14ac:dyDescent="0.25">
      <c r="H9042" s="134"/>
    </row>
    <row r="9043" spans="8:8" x14ac:dyDescent="0.25">
      <c r="H9043" s="134"/>
    </row>
    <row r="9044" spans="8:8" x14ac:dyDescent="0.25">
      <c r="H9044" s="134"/>
    </row>
    <row r="9045" spans="8:8" x14ac:dyDescent="0.25">
      <c r="H9045" s="134"/>
    </row>
    <row r="9046" spans="8:8" x14ac:dyDescent="0.25">
      <c r="H9046" s="134"/>
    </row>
    <row r="9047" spans="8:8" x14ac:dyDescent="0.25">
      <c r="H9047" s="134"/>
    </row>
    <row r="9048" spans="8:8" x14ac:dyDescent="0.25">
      <c r="H9048" s="134"/>
    </row>
    <row r="9049" spans="8:8" x14ac:dyDescent="0.25">
      <c r="H9049" s="134"/>
    </row>
    <row r="9050" spans="8:8" x14ac:dyDescent="0.25">
      <c r="H9050" s="134"/>
    </row>
    <row r="9051" spans="8:8" x14ac:dyDescent="0.25">
      <c r="H9051" s="134"/>
    </row>
    <row r="9052" spans="8:8" x14ac:dyDescent="0.25">
      <c r="H9052" s="134"/>
    </row>
    <row r="9053" spans="8:8" x14ac:dyDescent="0.25">
      <c r="H9053" s="134"/>
    </row>
    <row r="9054" spans="8:8" x14ac:dyDescent="0.25">
      <c r="H9054" s="134"/>
    </row>
    <row r="9055" spans="8:8" x14ac:dyDescent="0.25">
      <c r="H9055" s="134"/>
    </row>
    <row r="9056" spans="8:8" x14ac:dyDescent="0.25">
      <c r="H9056" s="134"/>
    </row>
    <row r="9057" spans="8:8" x14ac:dyDescent="0.25">
      <c r="H9057" s="134"/>
    </row>
    <row r="9058" spans="8:8" x14ac:dyDescent="0.25">
      <c r="H9058" s="134"/>
    </row>
    <row r="9059" spans="8:8" x14ac:dyDescent="0.25">
      <c r="H9059" s="134"/>
    </row>
    <row r="9060" spans="8:8" x14ac:dyDescent="0.25">
      <c r="H9060" s="134"/>
    </row>
    <row r="9061" spans="8:8" x14ac:dyDescent="0.25">
      <c r="H9061" s="134"/>
    </row>
    <row r="9062" spans="8:8" x14ac:dyDescent="0.25">
      <c r="H9062" s="134"/>
    </row>
    <row r="9063" spans="8:8" x14ac:dyDescent="0.25">
      <c r="H9063" s="134"/>
    </row>
    <row r="9064" spans="8:8" x14ac:dyDescent="0.25">
      <c r="H9064" s="134"/>
    </row>
    <row r="9065" spans="8:8" x14ac:dyDescent="0.25">
      <c r="H9065" s="134"/>
    </row>
    <row r="9066" spans="8:8" x14ac:dyDescent="0.25">
      <c r="H9066" s="134"/>
    </row>
    <row r="9067" spans="8:8" x14ac:dyDescent="0.25">
      <c r="H9067" s="134"/>
    </row>
    <row r="9068" spans="8:8" x14ac:dyDescent="0.25">
      <c r="H9068" s="134"/>
    </row>
    <row r="9069" spans="8:8" x14ac:dyDescent="0.25">
      <c r="H9069" s="134"/>
    </row>
    <row r="9070" spans="8:8" x14ac:dyDescent="0.25">
      <c r="H9070" s="134"/>
    </row>
    <row r="9071" spans="8:8" x14ac:dyDescent="0.25">
      <c r="H9071" s="134"/>
    </row>
    <row r="9072" spans="8:8" x14ac:dyDescent="0.25">
      <c r="H9072" s="134"/>
    </row>
    <row r="9073" spans="8:8" x14ac:dyDescent="0.25">
      <c r="H9073" s="134"/>
    </row>
    <row r="9074" spans="8:8" x14ac:dyDescent="0.25">
      <c r="H9074" s="134"/>
    </row>
    <row r="9075" spans="8:8" x14ac:dyDescent="0.25">
      <c r="H9075" s="134"/>
    </row>
    <row r="9076" spans="8:8" x14ac:dyDescent="0.25">
      <c r="H9076" s="134"/>
    </row>
    <row r="9077" spans="8:8" x14ac:dyDescent="0.25">
      <c r="H9077" s="134"/>
    </row>
    <row r="9078" spans="8:8" x14ac:dyDescent="0.25">
      <c r="H9078" s="134"/>
    </row>
    <row r="9079" spans="8:8" x14ac:dyDescent="0.25">
      <c r="H9079" s="134"/>
    </row>
    <row r="9080" spans="8:8" x14ac:dyDescent="0.25">
      <c r="H9080" s="134"/>
    </row>
    <row r="9081" spans="8:8" x14ac:dyDescent="0.25">
      <c r="H9081" s="134"/>
    </row>
    <row r="9082" spans="8:8" x14ac:dyDescent="0.25">
      <c r="H9082" s="134"/>
    </row>
    <row r="9083" spans="8:8" x14ac:dyDescent="0.25">
      <c r="H9083" s="134"/>
    </row>
    <row r="9084" spans="8:8" x14ac:dyDescent="0.25">
      <c r="H9084" s="134"/>
    </row>
    <row r="9085" spans="8:8" x14ac:dyDescent="0.25">
      <c r="H9085" s="134"/>
    </row>
    <row r="9086" spans="8:8" x14ac:dyDescent="0.25">
      <c r="H9086" s="134"/>
    </row>
    <row r="9087" spans="8:8" x14ac:dyDescent="0.25">
      <c r="H9087" s="134"/>
    </row>
    <row r="9088" spans="8:8" x14ac:dyDescent="0.25">
      <c r="H9088" s="134"/>
    </row>
    <row r="9089" spans="8:8" x14ac:dyDescent="0.25">
      <c r="H9089" s="134"/>
    </row>
    <row r="9090" spans="8:8" x14ac:dyDescent="0.25">
      <c r="H9090" s="134"/>
    </row>
    <row r="9091" spans="8:8" x14ac:dyDescent="0.25">
      <c r="H9091" s="134"/>
    </row>
    <row r="9092" spans="8:8" x14ac:dyDescent="0.25">
      <c r="H9092" s="134"/>
    </row>
    <row r="9093" spans="8:8" x14ac:dyDescent="0.25">
      <c r="H9093" s="134"/>
    </row>
    <row r="9094" spans="8:8" x14ac:dyDescent="0.25">
      <c r="H9094" s="134"/>
    </row>
    <row r="9095" spans="8:8" x14ac:dyDescent="0.25">
      <c r="H9095" s="134"/>
    </row>
    <row r="9096" spans="8:8" x14ac:dyDescent="0.25">
      <c r="H9096" s="134"/>
    </row>
    <row r="9097" spans="8:8" x14ac:dyDescent="0.25">
      <c r="H9097" s="134"/>
    </row>
    <row r="9098" spans="8:8" x14ac:dyDescent="0.25">
      <c r="H9098" s="134"/>
    </row>
    <row r="9099" spans="8:8" x14ac:dyDescent="0.25">
      <c r="H9099" s="134"/>
    </row>
    <row r="9100" spans="8:8" x14ac:dyDescent="0.25">
      <c r="H9100" s="134"/>
    </row>
    <row r="9101" spans="8:8" x14ac:dyDescent="0.25">
      <c r="H9101" s="134"/>
    </row>
    <row r="9102" spans="8:8" x14ac:dyDescent="0.25">
      <c r="H9102" s="134"/>
    </row>
    <row r="9103" spans="8:8" x14ac:dyDescent="0.25">
      <c r="H9103" s="134"/>
    </row>
    <row r="9104" spans="8:8" x14ac:dyDescent="0.25">
      <c r="H9104" s="134"/>
    </row>
    <row r="9105" spans="8:8" x14ac:dyDescent="0.25">
      <c r="H9105" s="134"/>
    </row>
    <row r="9106" spans="8:8" x14ac:dyDescent="0.25">
      <c r="H9106" s="134"/>
    </row>
    <row r="9107" spans="8:8" x14ac:dyDescent="0.25">
      <c r="H9107" s="134"/>
    </row>
    <row r="9108" spans="8:8" x14ac:dyDescent="0.25">
      <c r="H9108" s="134"/>
    </row>
    <row r="9109" spans="8:8" x14ac:dyDescent="0.25">
      <c r="H9109" s="134"/>
    </row>
    <row r="9110" spans="8:8" x14ac:dyDescent="0.25">
      <c r="H9110" s="134"/>
    </row>
    <row r="9111" spans="8:8" x14ac:dyDescent="0.25">
      <c r="H9111" s="134"/>
    </row>
    <row r="9112" spans="8:8" x14ac:dyDescent="0.25">
      <c r="H9112" s="134"/>
    </row>
    <row r="9113" spans="8:8" x14ac:dyDescent="0.25">
      <c r="H9113" s="134"/>
    </row>
    <row r="9114" spans="8:8" x14ac:dyDescent="0.25">
      <c r="H9114" s="134"/>
    </row>
    <row r="9115" spans="8:8" x14ac:dyDescent="0.25">
      <c r="H9115" s="134"/>
    </row>
    <row r="9116" spans="8:8" x14ac:dyDescent="0.25">
      <c r="H9116" s="134"/>
    </row>
    <row r="9117" spans="8:8" x14ac:dyDescent="0.25">
      <c r="H9117" s="134"/>
    </row>
    <row r="9118" spans="8:8" x14ac:dyDescent="0.25">
      <c r="H9118" s="134"/>
    </row>
    <row r="9119" spans="8:8" x14ac:dyDescent="0.25">
      <c r="H9119" s="134"/>
    </row>
    <row r="9120" spans="8:8" x14ac:dyDescent="0.25">
      <c r="H9120" s="134"/>
    </row>
    <row r="9121" spans="8:8" x14ac:dyDescent="0.25">
      <c r="H9121" s="134"/>
    </row>
    <row r="9122" spans="8:8" x14ac:dyDescent="0.25">
      <c r="H9122" s="134"/>
    </row>
    <row r="9123" spans="8:8" x14ac:dyDescent="0.25">
      <c r="H9123" s="134"/>
    </row>
    <row r="9124" spans="8:8" x14ac:dyDescent="0.25">
      <c r="H9124" s="134"/>
    </row>
    <row r="9125" spans="8:8" x14ac:dyDescent="0.25">
      <c r="H9125" s="134"/>
    </row>
    <row r="9126" spans="8:8" x14ac:dyDescent="0.25">
      <c r="H9126" s="134"/>
    </row>
    <row r="9127" spans="8:8" x14ac:dyDescent="0.25">
      <c r="H9127" s="134"/>
    </row>
    <row r="9128" spans="8:8" x14ac:dyDescent="0.25">
      <c r="H9128" s="134"/>
    </row>
    <row r="9129" spans="8:8" x14ac:dyDescent="0.25">
      <c r="H9129" s="134"/>
    </row>
    <row r="9130" spans="8:8" x14ac:dyDescent="0.25">
      <c r="H9130" s="134"/>
    </row>
    <row r="9131" spans="8:8" x14ac:dyDescent="0.25">
      <c r="H9131" s="134"/>
    </row>
    <row r="9132" spans="8:8" x14ac:dyDescent="0.25">
      <c r="H9132" s="134"/>
    </row>
    <row r="9133" spans="8:8" x14ac:dyDescent="0.25">
      <c r="H9133" s="134"/>
    </row>
    <row r="9134" spans="8:8" x14ac:dyDescent="0.25">
      <c r="H9134" s="134"/>
    </row>
    <row r="9135" spans="8:8" x14ac:dyDescent="0.25">
      <c r="H9135" s="134"/>
    </row>
    <row r="9136" spans="8:8" x14ac:dyDescent="0.25">
      <c r="H9136" s="134"/>
    </row>
    <row r="9137" spans="8:8" x14ac:dyDescent="0.25">
      <c r="H9137" s="134"/>
    </row>
    <row r="9138" spans="8:8" x14ac:dyDescent="0.25">
      <c r="H9138" s="134"/>
    </row>
    <row r="9139" spans="8:8" x14ac:dyDescent="0.25">
      <c r="H9139" s="134"/>
    </row>
    <row r="9140" spans="8:8" x14ac:dyDescent="0.25">
      <c r="H9140" s="134"/>
    </row>
    <row r="9141" spans="8:8" x14ac:dyDescent="0.25">
      <c r="H9141" s="134"/>
    </row>
    <row r="9142" spans="8:8" x14ac:dyDescent="0.25">
      <c r="H9142" s="134"/>
    </row>
    <row r="9143" spans="8:8" x14ac:dyDescent="0.25">
      <c r="H9143" s="134"/>
    </row>
    <row r="9144" spans="8:8" x14ac:dyDescent="0.25">
      <c r="H9144" s="134"/>
    </row>
    <row r="9145" spans="8:8" x14ac:dyDescent="0.25">
      <c r="H9145" s="134"/>
    </row>
    <row r="9146" spans="8:8" x14ac:dyDescent="0.25">
      <c r="H9146" s="134"/>
    </row>
    <row r="9147" spans="8:8" x14ac:dyDescent="0.25">
      <c r="H9147" s="134"/>
    </row>
    <row r="9148" spans="8:8" x14ac:dyDescent="0.25">
      <c r="H9148" s="134"/>
    </row>
    <row r="9149" spans="8:8" x14ac:dyDescent="0.25">
      <c r="H9149" s="134"/>
    </row>
    <row r="9150" spans="8:8" x14ac:dyDescent="0.25">
      <c r="H9150" s="134"/>
    </row>
    <row r="9151" spans="8:8" x14ac:dyDescent="0.25">
      <c r="H9151" s="134"/>
    </row>
    <row r="9152" spans="8:8" x14ac:dyDescent="0.25">
      <c r="H9152" s="134"/>
    </row>
    <row r="9153" spans="8:8" x14ac:dyDescent="0.25">
      <c r="H9153" s="134"/>
    </row>
    <row r="9154" spans="8:8" x14ac:dyDescent="0.25">
      <c r="H9154" s="134"/>
    </row>
    <row r="9155" spans="8:8" x14ac:dyDescent="0.25">
      <c r="H9155" s="134"/>
    </row>
    <row r="9156" spans="8:8" x14ac:dyDescent="0.25">
      <c r="H9156" s="134"/>
    </row>
    <row r="9157" spans="8:8" x14ac:dyDescent="0.25">
      <c r="H9157" s="134"/>
    </row>
    <row r="9158" spans="8:8" x14ac:dyDescent="0.25">
      <c r="H9158" s="134"/>
    </row>
    <row r="9159" spans="8:8" x14ac:dyDescent="0.25">
      <c r="H9159" s="134"/>
    </row>
    <row r="9160" spans="8:8" x14ac:dyDescent="0.25">
      <c r="H9160" s="134"/>
    </row>
    <row r="9161" spans="8:8" x14ac:dyDescent="0.25">
      <c r="H9161" s="134"/>
    </row>
    <row r="9162" spans="8:8" x14ac:dyDescent="0.25">
      <c r="H9162" s="134"/>
    </row>
    <row r="9163" spans="8:8" x14ac:dyDescent="0.25">
      <c r="H9163" s="134"/>
    </row>
    <row r="9164" spans="8:8" x14ac:dyDescent="0.25">
      <c r="H9164" s="134"/>
    </row>
    <row r="9165" spans="8:8" x14ac:dyDescent="0.25">
      <c r="H9165" s="134"/>
    </row>
    <row r="9166" spans="8:8" x14ac:dyDescent="0.25">
      <c r="H9166" s="134"/>
    </row>
    <row r="9167" spans="8:8" x14ac:dyDescent="0.25">
      <c r="H9167" s="134"/>
    </row>
    <row r="9168" spans="8:8" x14ac:dyDescent="0.25">
      <c r="H9168" s="134"/>
    </row>
    <row r="9169" spans="8:8" x14ac:dyDescent="0.25">
      <c r="H9169" s="134"/>
    </row>
    <row r="9170" spans="8:8" x14ac:dyDescent="0.25">
      <c r="H9170" s="134"/>
    </row>
    <row r="9171" spans="8:8" x14ac:dyDescent="0.25">
      <c r="H9171" s="134"/>
    </row>
    <row r="9172" spans="8:8" x14ac:dyDescent="0.25">
      <c r="H9172" s="134"/>
    </row>
    <row r="9173" spans="8:8" x14ac:dyDescent="0.25">
      <c r="H9173" s="134"/>
    </row>
    <row r="9174" spans="8:8" x14ac:dyDescent="0.25">
      <c r="H9174" s="134"/>
    </row>
    <row r="9175" spans="8:8" x14ac:dyDescent="0.25">
      <c r="H9175" s="134"/>
    </row>
    <row r="9176" spans="8:8" x14ac:dyDescent="0.25">
      <c r="H9176" s="134"/>
    </row>
    <row r="9177" spans="8:8" x14ac:dyDescent="0.25">
      <c r="H9177" s="134"/>
    </row>
    <row r="9178" spans="8:8" x14ac:dyDescent="0.25">
      <c r="H9178" s="134"/>
    </row>
    <row r="9179" spans="8:8" x14ac:dyDescent="0.25">
      <c r="H9179" s="134"/>
    </row>
    <row r="9180" spans="8:8" x14ac:dyDescent="0.25">
      <c r="H9180" s="134"/>
    </row>
    <row r="9181" spans="8:8" x14ac:dyDescent="0.25">
      <c r="H9181" s="134"/>
    </row>
    <row r="9182" spans="8:8" x14ac:dyDescent="0.25">
      <c r="H9182" s="134"/>
    </row>
    <row r="9183" spans="8:8" x14ac:dyDescent="0.25">
      <c r="H9183" s="134"/>
    </row>
    <row r="9184" spans="8:8" x14ac:dyDescent="0.25">
      <c r="H9184" s="134"/>
    </row>
    <row r="9185" spans="8:8" x14ac:dyDescent="0.25">
      <c r="H9185" s="134"/>
    </row>
    <row r="9186" spans="8:8" x14ac:dyDescent="0.25">
      <c r="H9186" s="134"/>
    </row>
    <row r="9187" spans="8:8" x14ac:dyDescent="0.25">
      <c r="H9187" s="134"/>
    </row>
    <row r="9188" spans="8:8" x14ac:dyDescent="0.25">
      <c r="H9188" s="134"/>
    </row>
    <row r="9189" spans="8:8" x14ac:dyDescent="0.25">
      <c r="H9189" s="134"/>
    </row>
    <row r="9190" spans="8:8" x14ac:dyDescent="0.25">
      <c r="H9190" s="134"/>
    </row>
    <row r="9191" spans="8:8" x14ac:dyDescent="0.25">
      <c r="H9191" s="134"/>
    </row>
    <row r="9192" spans="8:8" x14ac:dyDescent="0.25">
      <c r="H9192" s="134"/>
    </row>
    <row r="9193" spans="8:8" x14ac:dyDescent="0.25">
      <c r="H9193" s="134"/>
    </row>
    <row r="9194" spans="8:8" x14ac:dyDescent="0.25">
      <c r="H9194" s="134"/>
    </row>
    <row r="9195" spans="8:8" x14ac:dyDescent="0.25">
      <c r="H9195" s="134"/>
    </row>
    <row r="9196" spans="8:8" x14ac:dyDescent="0.25">
      <c r="H9196" s="134"/>
    </row>
    <row r="9197" spans="8:8" x14ac:dyDescent="0.25">
      <c r="H9197" s="134"/>
    </row>
    <row r="9198" spans="8:8" x14ac:dyDescent="0.25">
      <c r="H9198" s="134"/>
    </row>
    <row r="9199" spans="8:8" x14ac:dyDescent="0.25">
      <c r="H9199" s="134"/>
    </row>
    <row r="9200" spans="8:8" x14ac:dyDescent="0.25">
      <c r="H9200" s="134"/>
    </row>
    <row r="9201" spans="8:8" x14ac:dyDescent="0.25">
      <c r="H9201" s="134"/>
    </row>
    <row r="9202" spans="8:8" x14ac:dyDescent="0.25">
      <c r="H9202" s="134"/>
    </row>
    <row r="9203" spans="8:8" x14ac:dyDescent="0.25">
      <c r="H9203" s="134"/>
    </row>
    <row r="9204" spans="8:8" x14ac:dyDescent="0.25">
      <c r="H9204" s="134"/>
    </row>
    <row r="9205" spans="8:8" x14ac:dyDescent="0.25">
      <c r="H9205" s="134"/>
    </row>
    <row r="9206" spans="8:8" x14ac:dyDescent="0.25">
      <c r="H9206" s="134"/>
    </row>
    <row r="9207" spans="8:8" x14ac:dyDescent="0.25">
      <c r="H9207" s="134"/>
    </row>
    <row r="9208" spans="8:8" x14ac:dyDescent="0.25">
      <c r="H9208" s="134"/>
    </row>
    <row r="9209" spans="8:8" x14ac:dyDescent="0.25">
      <c r="H9209" s="134"/>
    </row>
    <row r="9210" spans="8:8" x14ac:dyDescent="0.25">
      <c r="H9210" s="134"/>
    </row>
    <row r="9211" spans="8:8" x14ac:dyDescent="0.25">
      <c r="H9211" s="134"/>
    </row>
    <row r="9212" spans="8:8" x14ac:dyDescent="0.25">
      <c r="H9212" s="134"/>
    </row>
    <row r="9213" spans="8:8" x14ac:dyDescent="0.25">
      <c r="H9213" s="134"/>
    </row>
    <row r="9214" spans="8:8" x14ac:dyDescent="0.25">
      <c r="H9214" s="134"/>
    </row>
    <row r="9215" spans="8:8" x14ac:dyDescent="0.25">
      <c r="H9215" s="134"/>
    </row>
    <row r="9216" spans="8:8" x14ac:dyDescent="0.25">
      <c r="H9216" s="134"/>
    </row>
    <row r="9217" spans="8:8" x14ac:dyDescent="0.25">
      <c r="H9217" s="134"/>
    </row>
    <row r="9218" spans="8:8" x14ac:dyDescent="0.25">
      <c r="H9218" s="134"/>
    </row>
    <row r="9219" spans="8:8" x14ac:dyDescent="0.25">
      <c r="H9219" s="134"/>
    </row>
    <row r="9220" spans="8:8" x14ac:dyDescent="0.25">
      <c r="H9220" s="134"/>
    </row>
    <row r="9221" spans="8:8" x14ac:dyDescent="0.25">
      <c r="H9221" s="134"/>
    </row>
    <row r="9222" spans="8:8" x14ac:dyDescent="0.25">
      <c r="H9222" s="134"/>
    </row>
    <row r="9223" spans="8:8" x14ac:dyDescent="0.25">
      <c r="H9223" s="134"/>
    </row>
    <row r="9224" spans="8:8" x14ac:dyDescent="0.25">
      <c r="H9224" s="134"/>
    </row>
    <row r="9225" spans="8:8" x14ac:dyDescent="0.25">
      <c r="H9225" s="134"/>
    </row>
    <row r="9226" spans="8:8" x14ac:dyDescent="0.25">
      <c r="H9226" s="134"/>
    </row>
    <row r="9227" spans="8:8" x14ac:dyDescent="0.25">
      <c r="H9227" s="134"/>
    </row>
    <row r="9228" spans="8:8" x14ac:dyDescent="0.25">
      <c r="H9228" s="134"/>
    </row>
    <row r="9229" spans="8:8" x14ac:dyDescent="0.25">
      <c r="H9229" s="134"/>
    </row>
    <row r="9230" spans="8:8" x14ac:dyDescent="0.25">
      <c r="H9230" s="134"/>
    </row>
    <row r="9231" spans="8:8" x14ac:dyDescent="0.25">
      <c r="H9231" s="134"/>
    </row>
    <row r="9232" spans="8:8" x14ac:dyDescent="0.25">
      <c r="H9232" s="134"/>
    </row>
    <row r="9233" spans="8:8" x14ac:dyDescent="0.25">
      <c r="H9233" s="134"/>
    </row>
    <row r="9234" spans="8:8" x14ac:dyDescent="0.25">
      <c r="H9234" s="134"/>
    </row>
    <row r="9235" spans="8:8" x14ac:dyDescent="0.25">
      <c r="H9235" s="134"/>
    </row>
    <row r="9236" spans="8:8" x14ac:dyDescent="0.25">
      <c r="H9236" s="134"/>
    </row>
    <row r="9237" spans="8:8" x14ac:dyDescent="0.25">
      <c r="H9237" s="134"/>
    </row>
    <row r="9238" spans="8:8" x14ac:dyDescent="0.25">
      <c r="H9238" s="134"/>
    </row>
    <row r="9239" spans="8:8" x14ac:dyDescent="0.25">
      <c r="H9239" s="134"/>
    </row>
    <row r="9240" spans="8:8" x14ac:dyDescent="0.25">
      <c r="H9240" s="134"/>
    </row>
    <row r="9241" spans="8:8" x14ac:dyDescent="0.25">
      <c r="H9241" s="134"/>
    </row>
    <row r="9242" spans="8:8" x14ac:dyDescent="0.25">
      <c r="H9242" s="134"/>
    </row>
    <row r="9243" spans="8:8" x14ac:dyDescent="0.25">
      <c r="H9243" s="134"/>
    </row>
    <row r="9244" spans="8:8" x14ac:dyDescent="0.25">
      <c r="H9244" s="134"/>
    </row>
    <row r="9245" spans="8:8" x14ac:dyDescent="0.25">
      <c r="H9245" s="134"/>
    </row>
    <row r="9246" spans="8:8" x14ac:dyDescent="0.25">
      <c r="H9246" s="134"/>
    </row>
    <row r="9247" spans="8:8" x14ac:dyDescent="0.25">
      <c r="H9247" s="134"/>
    </row>
    <row r="9248" spans="8:8" x14ac:dyDescent="0.25">
      <c r="H9248" s="134"/>
    </row>
    <row r="9249" spans="8:8" x14ac:dyDescent="0.25">
      <c r="H9249" s="134"/>
    </row>
    <row r="9250" spans="8:8" x14ac:dyDescent="0.25">
      <c r="H9250" s="134"/>
    </row>
    <row r="9251" spans="8:8" x14ac:dyDescent="0.25">
      <c r="H9251" s="134"/>
    </row>
    <row r="9252" spans="8:8" x14ac:dyDescent="0.25">
      <c r="H9252" s="134"/>
    </row>
    <row r="9253" spans="8:8" x14ac:dyDescent="0.25">
      <c r="H9253" s="134"/>
    </row>
    <row r="9254" spans="8:8" x14ac:dyDescent="0.25">
      <c r="H9254" s="134"/>
    </row>
    <row r="9255" spans="8:8" x14ac:dyDescent="0.25">
      <c r="H9255" s="134"/>
    </row>
    <row r="9256" spans="8:8" x14ac:dyDescent="0.25">
      <c r="H9256" s="134"/>
    </row>
    <row r="9257" spans="8:8" x14ac:dyDescent="0.25">
      <c r="H9257" s="134"/>
    </row>
    <row r="9258" spans="8:8" x14ac:dyDescent="0.25">
      <c r="H9258" s="134"/>
    </row>
    <row r="9259" spans="8:8" x14ac:dyDescent="0.25">
      <c r="H9259" s="134"/>
    </row>
    <row r="9260" spans="8:8" x14ac:dyDescent="0.25">
      <c r="H9260" s="134"/>
    </row>
    <row r="9261" spans="8:8" x14ac:dyDescent="0.25">
      <c r="H9261" s="134"/>
    </row>
    <row r="9262" spans="8:8" x14ac:dyDescent="0.25">
      <c r="H9262" s="134"/>
    </row>
    <row r="9263" spans="8:8" x14ac:dyDescent="0.25">
      <c r="H9263" s="134"/>
    </row>
    <row r="9264" spans="8:8" x14ac:dyDescent="0.25">
      <c r="H9264" s="134"/>
    </row>
    <row r="9265" spans="8:8" x14ac:dyDescent="0.25">
      <c r="H9265" s="134"/>
    </row>
    <row r="9266" spans="8:8" x14ac:dyDescent="0.25">
      <c r="H9266" s="134"/>
    </row>
    <row r="9267" spans="8:8" x14ac:dyDescent="0.25">
      <c r="H9267" s="134"/>
    </row>
    <row r="9268" spans="8:8" x14ac:dyDescent="0.25">
      <c r="H9268" s="134"/>
    </row>
    <row r="9269" spans="8:8" x14ac:dyDescent="0.25">
      <c r="H9269" s="134"/>
    </row>
    <row r="9270" spans="8:8" x14ac:dyDescent="0.25">
      <c r="H9270" s="134"/>
    </row>
    <row r="9271" spans="8:8" x14ac:dyDescent="0.25">
      <c r="H9271" s="134"/>
    </row>
    <row r="9272" spans="8:8" x14ac:dyDescent="0.25">
      <c r="H9272" s="134"/>
    </row>
    <row r="9273" spans="8:8" x14ac:dyDescent="0.25">
      <c r="H9273" s="134"/>
    </row>
    <row r="9274" spans="8:8" x14ac:dyDescent="0.25">
      <c r="H9274" s="134"/>
    </row>
    <row r="9275" spans="8:8" x14ac:dyDescent="0.25">
      <c r="H9275" s="134"/>
    </row>
    <row r="9276" spans="8:8" x14ac:dyDescent="0.25">
      <c r="H9276" s="134"/>
    </row>
    <row r="9277" spans="8:8" x14ac:dyDescent="0.25">
      <c r="H9277" s="134"/>
    </row>
    <row r="9278" spans="8:8" x14ac:dyDescent="0.25">
      <c r="H9278" s="134"/>
    </row>
    <row r="9279" spans="8:8" x14ac:dyDescent="0.25">
      <c r="H9279" s="134"/>
    </row>
    <row r="9280" spans="8:8" x14ac:dyDescent="0.25">
      <c r="H9280" s="134"/>
    </row>
    <row r="9281" spans="8:8" x14ac:dyDescent="0.25">
      <c r="H9281" s="134"/>
    </row>
    <row r="9282" spans="8:8" x14ac:dyDescent="0.25">
      <c r="H9282" s="134"/>
    </row>
    <row r="9283" spans="8:8" x14ac:dyDescent="0.25">
      <c r="H9283" s="134"/>
    </row>
    <row r="9284" spans="8:8" x14ac:dyDescent="0.25">
      <c r="H9284" s="134"/>
    </row>
    <row r="9285" spans="8:8" x14ac:dyDescent="0.25">
      <c r="H9285" s="134"/>
    </row>
    <row r="9286" spans="8:8" x14ac:dyDescent="0.25">
      <c r="H9286" s="134"/>
    </row>
    <row r="9287" spans="8:8" x14ac:dyDescent="0.25">
      <c r="H9287" s="134"/>
    </row>
    <row r="9288" spans="8:8" x14ac:dyDescent="0.25">
      <c r="H9288" s="134"/>
    </row>
    <row r="9289" spans="8:8" x14ac:dyDescent="0.25">
      <c r="H9289" s="134"/>
    </row>
    <row r="9290" spans="8:8" x14ac:dyDescent="0.25">
      <c r="H9290" s="134"/>
    </row>
    <row r="9291" spans="8:8" x14ac:dyDescent="0.25">
      <c r="H9291" s="134"/>
    </row>
    <row r="9292" spans="8:8" x14ac:dyDescent="0.25">
      <c r="H9292" s="134"/>
    </row>
    <row r="9293" spans="8:8" x14ac:dyDescent="0.25">
      <c r="H9293" s="134"/>
    </row>
    <row r="9294" spans="8:8" x14ac:dyDescent="0.25">
      <c r="H9294" s="134"/>
    </row>
    <row r="9295" spans="8:8" x14ac:dyDescent="0.25">
      <c r="H9295" s="134"/>
    </row>
    <row r="9296" spans="8:8" x14ac:dyDescent="0.25">
      <c r="H9296" s="134"/>
    </row>
    <row r="9297" spans="8:8" x14ac:dyDescent="0.25">
      <c r="H9297" s="134"/>
    </row>
    <row r="9298" spans="8:8" x14ac:dyDescent="0.25">
      <c r="H9298" s="134"/>
    </row>
    <row r="9299" spans="8:8" x14ac:dyDescent="0.25">
      <c r="H9299" s="134"/>
    </row>
    <row r="9300" spans="8:8" x14ac:dyDescent="0.25">
      <c r="H9300" s="134"/>
    </row>
    <row r="9301" spans="8:8" x14ac:dyDescent="0.25">
      <c r="H9301" s="134"/>
    </row>
    <row r="9302" spans="8:8" x14ac:dyDescent="0.25">
      <c r="H9302" s="134"/>
    </row>
    <row r="9303" spans="8:8" x14ac:dyDescent="0.25">
      <c r="H9303" s="134"/>
    </row>
    <row r="9304" spans="8:8" x14ac:dyDescent="0.25">
      <c r="H9304" s="134"/>
    </row>
    <row r="9305" spans="8:8" x14ac:dyDescent="0.25">
      <c r="H9305" s="134"/>
    </row>
    <row r="9306" spans="8:8" x14ac:dyDescent="0.25">
      <c r="H9306" s="134"/>
    </row>
    <row r="9307" spans="8:8" x14ac:dyDescent="0.25">
      <c r="H9307" s="134"/>
    </row>
    <row r="9308" spans="8:8" x14ac:dyDescent="0.25">
      <c r="H9308" s="134"/>
    </row>
    <row r="9309" spans="8:8" x14ac:dyDescent="0.25">
      <c r="H9309" s="134"/>
    </row>
    <row r="9310" spans="8:8" x14ac:dyDescent="0.25">
      <c r="H9310" s="134"/>
    </row>
    <row r="9311" spans="8:8" x14ac:dyDescent="0.25">
      <c r="H9311" s="134"/>
    </row>
    <row r="9312" spans="8:8" x14ac:dyDescent="0.25">
      <c r="H9312" s="134"/>
    </row>
    <row r="9313" spans="8:8" x14ac:dyDescent="0.25">
      <c r="H9313" s="134"/>
    </row>
    <row r="9314" spans="8:8" x14ac:dyDescent="0.25">
      <c r="H9314" s="134"/>
    </row>
    <row r="9315" spans="8:8" x14ac:dyDescent="0.25">
      <c r="H9315" s="134"/>
    </row>
    <row r="9316" spans="8:8" x14ac:dyDescent="0.25">
      <c r="H9316" s="134"/>
    </row>
    <row r="9317" spans="8:8" x14ac:dyDescent="0.25">
      <c r="H9317" s="134"/>
    </row>
    <row r="9318" spans="8:8" x14ac:dyDescent="0.25">
      <c r="H9318" s="134"/>
    </row>
    <row r="9319" spans="8:8" x14ac:dyDescent="0.25">
      <c r="H9319" s="134"/>
    </row>
    <row r="9320" spans="8:8" x14ac:dyDescent="0.25">
      <c r="H9320" s="134"/>
    </row>
    <row r="9321" spans="8:8" x14ac:dyDescent="0.25">
      <c r="H9321" s="134"/>
    </row>
    <row r="9322" spans="8:8" x14ac:dyDescent="0.25">
      <c r="H9322" s="134"/>
    </row>
    <row r="9323" spans="8:8" x14ac:dyDescent="0.25">
      <c r="H9323" s="134"/>
    </row>
    <row r="9324" spans="8:8" x14ac:dyDescent="0.25">
      <c r="H9324" s="134"/>
    </row>
    <row r="9325" spans="8:8" x14ac:dyDescent="0.25">
      <c r="H9325" s="134"/>
    </row>
    <row r="9326" spans="8:8" x14ac:dyDescent="0.25">
      <c r="H9326" s="134"/>
    </row>
    <row r="9327" spans="8:8" x14ac:dyDescent="0.25">
      <c r="H9327" s="134"/>
    </row>
    <row r="9328" spans="8:8" x14ac:dyDescent="0.25">
      <c r="H9328" s="134"/>
    </row>
    <row r="9329" spans="8:8" x14ac:dyDescent="0.25">
      <c r="H9329" s="134"/>
    </row>
    <row r="9330" spans="8:8" x14ac:dyDescent="0.25">
      <c r="H9330" s="134"/>
    </row>
    <row r="9331" spans="8:8" x14ac:dyDescent="0.25">
      <c r="H9331" s="134"/>
    </row>
    <row r="9332" spans="8:8" x14ac:dyDescent="0.25">
      <c r="H9332" s="134"/>
    </row>
    <row r="9333" spans="8:8" x14ac:dyDescent="0.25">
      <c r="H9333" s="134"/>
    </row>
    <row r="9334" spans="8:8" x14ac:dyDescent="0.25">
      <c r="H9334" s="134"/>
    </row>
    <row r="9335" spans="8:8" x14ac:dyDescent="0.25">
      <c r="H9335" s="134"/>
    </row>
    <row r="9336" spans="8:8" x14ac:dyDescent="0.25">
      <c r="H9336" s="134"/>
    </row>
    <row r="9337" spans="8:8" x14ac:dyDescent="0.25">
      <c r="H9337" s="134"/>
    </row>
    <row r="9338" spans="8:8" x14ac:dyDescent="0.25">
      <c r="H9338" s="134"/>
    </row>
    <row r="9339" spans="8:8" x14ac:dyDescent="0.25">
      <c r="H9339" s="134"/>
    </row>
    <row r="9340" spans="8:8" x14ac:dyDescent="0.25">
      <c r="H9340" s="134"/>
    </row>
    <row r="9341" spans="8:8" x14ac:dyDescent="0.25">
      <c r="H9341" s="134"/>
    </row>
    <row r="9342" spans="8:8" x14ac:dyDescent="0.25">
      <c r="H9342" s="134"/>
    </row>
    <row r="9343" spans="8:8" x14ac:dyDescent="0.25">
      <c r="H9343" s="134"/>
    </row>
    <row r="9344" spans="8:8" x14ac:dyDescent="0.25">
      <c r="H9344" s="134"/>
    </row>
    <row r="9345" spans="8:8" x14ac:dyDescent="0.25">
      <c r="H9345" s="134"/>
    </row>
    <row r="9346" spans="8:8" x14ac:dyDescent="0.25">
      <c r="H9346" s="134"/>
    </row>
    <row r="9347" spans="8:8" x14ac:dyDescent="0.25">
      <c r="H9347" s="134"/>
    </row>
    <row r="9348" spans="8:8" x14ac:dyDescent="0.25">
      <c r="H9348" s="134"/>
    </row>
    <row r="9349" spans="8:8" x14ac:dyDescent="0.25">
      <c r="H9349" s="134"/>
    </row>
    <row r="9350" spans="8:8" x14ac:dyDescent="0.25">
      <c r="H9350" s="134"/>
    </row>
    <row r="9351" spans="8:8" x14ac:dyDescent="0.25">
      <c r="H9351" s="134"/>
    </row>
    <row r="9352" spans="8:8" x14ac:dyDescent="0.25">
      <c r="H9352" s="134"/>
    </row>
    <row r="9353" spans="8:8" x14ac:dyDescent="0.25">
      <c r="H9353" s="134"/>
    </row>
    <row r="9354" spans="8:8" x14ac:dyDescent="0.25">
      <c r="H9354" s="134"/>
    </row>
    <row r="9355" spans="8:8" x14ac:dyDescent="0.25">
      <c r="H9355" s="134"/>
    </row>
    <row r="9356" spans="8:8" x14ac:dyDescent="0.25">
      <c r="H9356" s="134"/>
    </row>
    <row r="9357" spans="8:8" x14ac:dyDescent="0.25">
      <c r="H9357" s="134"/>
    </row>
    <row r="9358" spans="8:8" x14ac:dyDescent="0.25">
      <c r="H9358" s="134"/>
    </row>
    <row r="9359" spans="8:8" x14ac:dyDescent="0.25">
      <c r="H9359" s="134"/>
    </row>
    <row r="9360" spans="8:8" x14ac:dyDescent="0.25">
      <c r="H9360" s="134"/>
    </row>
    <row r="9361" spans="8:8" x14ac:dyDescent="0.25">
      <c r="H9361" s="134"/>
    </row>
    <row r="9362" spans="8:8" x14ac:dyDescent="0.25">
      <c r="H9362" s="134"/>
    </row>
    <row r="9363" spans="8:8" x14ac:dyDescent="0.25">
      <c r="H9363" s="134"/>
    </row>
    <row r="9364" spans="8:8" x14ac:dyDescent="0.25">
      <c r="H9364" s="134"/>
    </row>
    <row r="9365" spans="8:8" x14ac:dyDescent="0.25">
      <c r="H9365" s="134"/>
    </row>
    <row r="9366" spans="8:8" x14ac:dyDescent="0.25">
      <c r="H9366" s="134"/>
    </row>
    <row r="9367" spans="8:8" x14ac:dyDescent="0.25">
      <c r="H9367" s="134"/>
    </row>
    <row r="9368" spans="8:8" x14ac:dyDescent="0.25">
      <c r="H9368" s="134"/>
    </row>
    <row r="9369" spans="8:8" x14ac:dyDescent="0.25">
      <c r="H9369" s="134"/>
    </row>
    <row r="9370" spans="8:8" x14ac:dyDescent="0.25">
      <c r="H9370" s="134"/>
    </row>
    <row r="9371" spans="8:8" x14ac:dyDescent="0.25">
      <c r="H9371" s="134"/>
    </row>
    <row r="9372" spans="8:8" x14ac:dyDescent="0.25">
      <c r="H9372" s="134"/>
    </row>
    <row r="9373" spans="8:8" x14ac:dyDescent="0.25">
      <c r="H9373" s="134"/>
    </row>
    <row r="9374" spans="8:8" x14ac:dyDescent="0.25">
      <c r="H9374" s="134"/>
    </row>
    <row r="9375" spans="8:8" x14ac:dyDescent="0.25">
      <c r="H9375" s="134"/>
    </row>
    <row r="9376" spans="8:8" x14ac:dyDescent="0.25">
      <c r="H9376" s="134"/>
    </row>
    <row r="9377" spans="8:8" x14ac:dyDescent="0.25">
      <c r="H9377" s="134"/>
    </row>
    <row r="9378" spans="8:8" x14ac:dyDescent="0.25">
      <c r="H9378" s="134"/>
    </row>
    <row r="9379" spans="8:8" x14ac:dyDescent="0.25">
      <c r="H9379" s="134"/>
    </row>
    <row r="9380" spans="8:8" x14ac:dyDescent="0.25">
      <c r="H9380" s="134"/>
    </row>
    <row r="9381" spans="8:8" x14ac:dyDescent="0.25">
      <c r="H9381" s="134"/>
    </row>
    <row r="9382" spans="8:8" x14ac:dyDescent="0.25">
      <c r="H9382" s="134"/>
    </row>
    <row r="9383" spans="8:8" x14ac:dyDescent="0.25">
      <c r="H9383" s="134"/>
    </row>
    <row r="9384" spans="8:8" x14ac:dyDescent="0.25">
      <c r="H9384" s="134"/>
    </row>
    <row r="9385" spans="8:8" x14ac:dyDescent="0.25">
      <c r="H9385" s="134"/>
    </row>
    <row r="9386" spans="8:8" x14ac:dyDescent="0.25">
      <c r="H9386" s="134"/>
    </row>
    <row r="9387" spans="8:8" x14ac:dyDescent="0.25">
      <c r="H9387" s="134"/>
    </row>
    <row r="9388" spans="8:8" x14ac:dyDescent="0.25">
      <c r="H9388" s="134"/>
    </row>
    <row r="9389" spans="8:8" x14ac:dyDescent="0.25">
      <c r="H9389" s="134"/>
    </row>
    <row r="9390" spans="8:8" x14ac:dyDescent="0.25">
      <c r="H9390" s="134"/>
    </row>
    <row r="9391" spans="8:8" x14ac:dyDescent="0.25">
      <c r="H9391" s="134"/>
    </row>
    <row r="9392" spans="8:8" x14ac:dyDescent="0.25">
      <c r="H9392" s="134"/>
    </row>
    <row r="9393" spans="8:8" x14ac:dyDescent="0.25">
      <c r="H9393" s="134"/>
    </row>
    <row r="9394" spans="8:8" x14ac:dyDescent="0.25">
      <c r="H9394" s="134"/>
    </row>
    <row r="9395" spans="8:8" x14ac:dyDescent="0.25">
      <c r="H9395" s="134"/>
    </row>
    <row r="9396" spans="8:8" x14ac:dyDescent="0.25">
      <c r="H9396" s="134"/>
    </row>
    <row r="9397" spans="8:8" x14ac:dyDescent="0.25">
      <c r="H9397" s="134"/>
    </row>
    <row r="9398" spans="8:8" x14ac:dyDescent="0.25">
      <c r="H9398" s="134"/>
    </row>
    <row r="9399" spans="8:8" x14ac:dyDescent="0.25">
      <c r="H9399" s="134"/>
    </row>
    <row r="9400" spans="8:8" x14ac:dyDescent="0.25">
      <c r="H9400" s="134"/>
    </row>
    <row r="9401" spans="8:8" x14ac:dyDescent="0.25">
      <c r="H9401" s="134"/>
    </row>
    <row r="9402" spans="8:8" x14ac:dyDescent="0.25">
      <c r="H9402" s="134"/>
    </row>
    <row r="9403" spans="8:8" x14ac:dyDescent="0.25">
      <c r="H9403" s="134"/>
    </row>
    <row r="9404" spans="8:8" x14ac:dyDescent="0.25">
      <c r="H9404" s="134"/>
    </row>
    <row r="9405" spans="8:8" x14ac:dyDescent="0.25">
      <c r="H9405" s="134"/>
    </row>
    <row r="9406" spans="8:8" x14ac:dyDescent="0.25">
      <c r="H9406" s="134"/>
    </row>
    <row r="9407" spans="8:8" x14ac:dyDescent="0.25">
      <c r="H9407" s="134"/>
    </row>
    <row r="9408" spans="8:8" x14ac:dyDescent="0.25">
      <c r="H9408" s="134"/>
    </row>
    <row r="9409" spans="8:8" x14ac:dyDescent="0.25">
      <c r="H9409" s="134"/>
    </row>
    <row r="9410" spans="8:8" x14ac:dyDescent="0.25">
      <c r="H9410" s="134"/>
    </row>
    <row r="9411" spans="8:8" x14ac:dyDescent="0.25">
      <c r="H9411" s="134"/>
    </row>
    <row r="9412" spans="8:8" x14ac:dyDescent="0.25">
      <c r="H9412" s="134"/>
    </row>
    <row r="9413" spans="8:8" x14ac:dyDescent="0.25">
      <c r="H9413" s="134"/>
    </row>
    <row r="9414" spans="8:8" x14ac:dyDescent="0.25">
      <c r="H9414" s="134"/>
    </row>
    <row r="9415" spans="8:8" x14ac:dyDescent="0.25">
      <c r="H9415" s="134"/>
    </row>
    <row r="9416" spans="8:8" x14ac:dyDescent="0.25">
      <c r="H9416" s="134"/>
    </row>
    <row r="9417" spans="8:8" x14ac:dyDescent="0.25">
      <c r="H9417" s="134"/>
    </row>
    <row r="9418" spans="8:8" x14ac:dyDescent="0.25">
      <c r="H9418" s="134"/>
    </row>
    <row r="9419" spans="8:8" x14ac:dyDescent="0.25">
      <c r="H9419" s="134"/>
    </row>
    <row r="9420" spans="8:8" x14ac:dyDescent="0.25">
      <c r="H9420" s="134"/>
    </row>
    <row r="9421" spans="8:8" x14ac:dyDescent="0.25">
      <c r="H9421" s="134"/>
    </row>
    <row r="9422" spans="8:8" x14ac:dyDescent="0.25">
      <c r="H9422" s="134"/>
    </row>
    <row r="9423" spans="8:8" x14ac:dyDescent="0.25">
      <c r="H9423" s="134"/>
    </row>
    <row r="9424" spans="8:8" x14ac:dyDescent="0.25">
      <c r="H9424" s="134"/>
    </row>
    <row r="9425" spans="8:8" x14ac:dyDescent="0.25">
      <c r="H9425" s="134"/>
    </row>
    <row r="9426" spans="8:8" x14ac:dyDescent="0.25">
      <c r="H9426" s="134"/>
    </row>
    <row r="9427" spans="8:8" x14ac:dyDescent="0.25">
      <c r="H9427" s="134"/>
    </row>
    <row r="9428" spans="8:8" x14ac:dyDescent="0.25">
      <c r="H9428" s="134"/>
    </row>
    <row r="9429" spans="8:8" x14ac:dyDescent="0.25">
      <c r="H9429" s="134"/>
    </row>
    <row r="9430" spans="8:8" x14ac:dyDescent="0.25">
      <c r="H9430" s="134"/>
    </row>
    <row r="9431" spans="8:8" x14ac:dyDescent="0.25">
      <c r="H9431" s="134"/>
    </row>
    <row r="9432" spans="8:8" x14ac:dyDescent="0.25">
      <c r="H9432" s="134"/>
    </row>
    <row r="9433" spans="8:8" x14ac:dyDescent="0.25">
      <c r="H9433" s="134"/>
    </row>
    <row r="9434" spans="8:8" x14ac:dyDescent="0.25">
      <c r="H9434" s="134"/>
    </row>
    <row r="9435" spans="8:8" x14ac:dyDescent="0.25">
      <c r="H9435" s="134"/>
    </row>
    <row r="9436" spans="8:8" x14ac:dyDescent="0.25">
      <c r="H9436" s="134"/>
    </row>
    <row r="9437" spans="8:8" x14ac:dyDescent="0.25">
      <c r="H9437" s="134"/>
    </row>
    <row r="9438" spans="8:8" x14ac:dyDescent="0.25">
      <c r="H9438" s="134"/>
    </row>
    <row r="9439" spans="8:8" x14ac:dyDescent="0.25">
      <c r="H9439" s="134"/>
    </row>
    <row r="9440" spans="8:8" x14ac:dyDescent="0.25">
      <c r="H9440" s="134"/>
    </row>
    <row r="9441" spans="8:8" x14ac:dyDescent="0.25">
      <c r="H9441" s="134"/>
    </row>
    <row r="9442" spans="8:8" x14ac:dyDescent="0.25">
      <c r="H9442" s="134"/>
    </row>
    <row r="9443" spans="8:8" x14ac:dyDescent="0.25">
      <c r="H9443" s="134"/>
    </row>
    <row r="9444" spans="8:8" x14ac:dyDescent="0.25">
      <c r="H9444" s="134"/>
    </row>
    <row r="9445" spans="8:8" x14ac:dyDescent="0.25">
      <c r="H9445" s="134"/>
    </row>
    <row r="9446" spans="8:8" x14ac:dyDescent="0.25">
      <c r="H9446" s="134"/>
    </row>
    <row r="9447" spans="8:8" x14ac:dyDescent="0.25">
      <c r="H9447" s="134"/>
    </row>
    <row r="9448" spans="8:8" x14ac:dyDescent="0.25">
      <c r="H9448" s="134"/>
    </row>
    <row r="9449" spans="8:8" x14ac:dyDescent="0.25">
      <c r="H9449" s="134"/>
    </row>
    <row r="9450" spans="8:8" x14ac:dyDescent="0.25">
      <c r="H9450" s="134"/>
    </row>
    <row r="9451" spans="8:8" x14ac:dyDescent="0.25">
      <c r="H9451" s="134"/>
    </row>
    <row r="9452" spans="8:8" x14ac:dyDescent="0.25">
      <c r="H9452" s="134"/>
    </row>
    <row r="9453" spans="8:8" x14ac:dyDescent="0.25">
      <c r="H9453" s="134"/>
    </row>
    <row r="9454" spans="8:8" x14ac:dyDescent="0.25">
      <c r="H9454" s="134"/>
    </row>
    <row r="9455" spans="8:8" x14ac:dyDescent="0.25">
      <c r="H9455" s="134"/>
    </row>
    <row r="9456" spans="8:8" x14ac:dyDescent="0.25">
      <c r="H9456" s="134"/>
    </row>
    <row r="9457" spans="8:8" x14ac:dyDescent="0.25">
      <c r="H9457" s="134"/>
    </row>
    <row r="9458" spans="8:8" x14ac:dyDescent="0.25">
      <c r="H9458" s="134"/>
    </row>
    <row r="9459" spans="8:8" x14ac:dyDescent="0.25">
      <c r="H9459" s="134"/>
    </row>
    <row r="9460" spans="8:8" x14ac:dyDescent="0.25">
      <c r="H9460" s="134"/>
    </row>
    <row r="9461" spans="8:8" x14ac:dyDescent="0.25">
      <c r="H9461" s="134"/>
    </row>
    <row r="9462" spans="8:8" x14ac:dyDescent="0.25">
      <c r="H9462" s="134"/>
    </row>
    <row r="9463" spans="8:8" x14ac:dyDescent="0.25">
      <c r="H9463" s="134"/>
    </row>
    <row r="9464" spans="8:8" x14ac:dyDescent="0.25">
      <c r="H9464" s="134"/>
    </row>
    <row r="9465" spans="8:8" x14ac:dyDescent="0.25">
      <c r="H9465" s="134"/>
    </row>
    <row r="9466" spans="8:8" x14ac:dyDescent="0.25">
      <c r="H9466" s="134"/>
    </row>
    <row r="9467" spans="8:8" x14ac:dyDescent="0.25">
      <c r="H9467" s="134"/>
    </row>
    <row r="9468" spans="8:8" x14ac:dyDescent="0.25">
      <c r="H9468" s="134"/>
    </row>
    <row r="9469" spans="8:8" x14ac:dyDescent="0.25">
      <c r="H9469" s="134"/>
    </row>
    <row r="9470" spans="8:8" x14ac:dyDescent="0.25">
      <c r="H9470" s="134"/>
    </row>
    <row r="9471" spans="8:8" x14ac:dyDescent="0.25">
      <c r="H9471" s="134"/>
    </row>
    <row r="9472" spans="8:8" x14ac:dyDescent="0.25">
      <c r="H9472" s="134"/>
    </row>
    <row r="9473" spans="8:8" x14ac:dyDescent="0.25">
      <c r="H9473" s="134"/>
    </row>
    <row r="9474" spans="8:8" x14ac:dyDescent="0.25">
      <c r="H9474" s="134"/>
    </row>
    <row r="9475" spans="8:8" x14ac:dyDescent="0.25">
      <c r="H9475" s="134"/>
    </row>
    <row r="9476" spans="8:8" x14ac:dyDescent="0.25">
      <c r="H9476" s="134"/>
    </row>
    <row r="9477" spans="8:8" x14ac:dyDescent="0.25">
      <c r="H9477" s="134"/>
    </row>
    <row r="9478" spans="8:8" x14ac:dyDescent="0.25">
      <c r="H9478" s="134"/>
    </row>
    <row r="9479" spans="8:8" x14ac:dyDescent="0.25">
      <c r="H9479" s="134"/>
    </row>
    <row r="9480" spans="8:8" x14ac:dyDescent="0.25">
      <c r="H9480" s="134"/>
    </row>
    <row r="9481" spans="8:8" x14ac:dyDescent="0.25">
      <c r="H9481" s="134"/>
    </row>
    <row r="9482" spans="8:8" x14ac:dyDescent="0.25">
      <c r="H9482" s="134"/>
    </row>
    <row r="9483" spans="8:8" x14ac:dyDescent="0.25">
      <c r="H9483" s="134"/>
    </row>
    <row r="9484" spans="8:8" x14ac:dyDescent="0.25">
      <c r="H9484" s="134"/>
    </row>
    <row r="9485" spans="8:8" x14ac:dyDescent="0.25">
      <c r="H9485" s="134"/>
    </row>
    <row r="9486" spans="8:8" x14ac:dyDescent="0.25">
      <c r="H9486" s="134"/>
    </row>
    <row r="9487" spans="8:8" x14ac:dyDescent="0.25">
      <c r="H9487" s="134"/>
    </row>
    <row r="9488" spans="8:8" x14ac:dyDescent="0.25">
      <c r="H9488" s="134"/>
    </row>
    <row r="9489" spans="8:8" x14ac:dyDescent="0.25">
      <c r="H9489" s="134"/>
    </row>
    <row r="9490" spans="8:8" x14ac:dyDescent="0.25">
      <c r="H9490" s="134"/>
    </row>
    <row r="9491" spans="8:8" x14ac:dyDescent="0.25">
      <c r="H9491" s="134"/>
    </row>
    <row r="9492" spans="8:8" x14ac:dyDescent="0.25">
      <c r="H9492" s="134"/>
    </row>
    <row r="9493" spans="8:8" x14ac:dyDescent="0.25">
      <c r="H9493" s="134"/>
    </row>
    <row r="9494" spans="8:8" x14ac:dyDescent="0.25">
      <c r="H9494" s="134"/>
    </row>
    <row r="9495" spans="8:8" x14ac:dyDescent="0.25">
      <c r="H9495" s="134"/>
    </row>
    <row r="9496" spans="8:8" x14ac:dyDescent="0.25">
      <c r="H9496" s="134"/>
    </row>
    <row r="9497" spans="8:8" x14ac:dyDescent="0.25">
      <c r="H9497" s="134"/>
    </row>
    <row r="9498" spans="8:8" x14ac:dyDescent="0.25">
      <c r="H9498" s="134"/>
    </row>
    <row r="9499" spans="8:8" x14ac:dyDescent="0.25">
      <c r="H9499" s="134"/>
    </row>
    <row r="9500" spans="8:8" x14ac:dyDescent="0.25">
      <c r="H9500" s="134"/>
    </row>
    <row r="9501" spans="8:8" x14ac:dyDescent="0.25">
      <c r="H9501" s="134"/>
    </row>
    <row r="9502" spans="8:8" x14ac:dyDescent="0.25">
      <c r="H9502" s="134"/>
    </row>
    <row r="9503" spans="8:8" x14ac:dyDescent="0.25">
      <c r="H9503" s="134"/>
    </row>
    <row r="9504" spans="8:8" x14ac:dyDescent="0.25">
      <c r="H9504" s="134"/>
    </row>
    <row r="9505" spans="8:8" x14ac:dyDescent="0.25">
      <c r="H9505" s="134"/>
    </row>
    <row r="9506" spans="8:8" x14ac:dyDescent="0.25">
      <c r="H9506" s="134"/>
    </row>
    <row r="9507" spans="8:8" x14ac:dyDescent="0.25">
      <c r="H9507" s="134"/>
    </row>
    <row r="9508" spans="8:8" x14ac:dyDescent="0.25">
      <c r="H9508" s="134"/>
    </row>
    <row r="9509" spans="8:8" x14ac:dyDescent="0.25">
      <c r="H9509" s="134"/>
    </row>
    <row r="9510" spans="8:8" x14ac:dyDescent="0.25">
      <c r="H9510" s="134"/>
    </row>
    <row r="9511" spans="8:8" x14ac:dyDescent="0.25">
      <c r="H9511" s="134"/>
    </row>
    <row r="9512" spans="8:8" x14ac:dyDescent="0.25">
      <c r="H9512" s="134"/>
    </row>
    <row r="9513" spans="8:8" x14ac:dyDescent="0.25">
      <c r="H9513" s="134"/>
    </row>
    <row r="9514" spans="8:8" x14ac:dyDescent="0.25">
      <c r="H9514" s="134"/>
    </row>
    <row r="9515" spans="8:8" x14ac:dyDescent="0.25">
      <c r="H9515" s="134"/>
    </row>
    <row r="9516" spans="8:8" x14ac:dyDescent="0.25">
      <c r="H9516" s="134"/>
    </row>
    <row r="9517" spans="8:8" x14ac:dyDescent="0.25">
      <c r="H9517" s="134"/>
    </row>
    <row r="9518" spans="8:8" x14ac:dyDescent="0.25">
      <c r="H9518" s="134"/>
    </row>
    <row r="9519" spans="8:8" x14ac:dyDescent="0.25">
      <c r="H9519" s="134"/>
    </row>
    <row r="9520" spans="8:8" x14ac:dyDescent="0.25">
      <c r="H9520" s="134"/>
    </row>
    <row r="9521" spans="8:8" x14ac:dyDescent="0.25">
      <c r="H9521" s="134"/>
    </row>
    <row r="9522" spans="8:8" x14ac:dyDescent="0.25">
      <c r="H9522" s="134"/>
    </row>
    <row r="9523" spans="8:8" x14ac:dyDescent="0.25">
      <c r="H9523" s="134"/>
    </row>
    <row r="9524" spans="8:8" x14ac:dyDescent="0.25">
      <c r="H9524" s="134"/>
    </row>
    <row r="9525" spans="8:8" x14ac:dyDescent="0.25">
      <c r="H9525" s="134"/>
    </row>
    <row r="9526" spans="8:8" x14ac:dyDescent="0.25">
      <c r="H9526" s="134"/>
    </row>
    <row r="9527" spans="8:8" x14ac:dyDescent="0.25">
      <c r="H9527" s="134"/>
    </row>
    <row r="9528" spans="8:8" x14ac:dyDescent="0.25">
      <c r="H9528" s="134"/>
    </row>
    <row r="9529" spans="8:8" x14ac:dyDescent="0.25">
      <c r="H9529" s="134"/>
    </row>
    <row r="9530" spans="8:8" x14ac:dyDescent="0.25">
      <c r="H9530" s="134"/>
    </row>
    <row r="9531" spans="8:8" x14ac:dyDescent="0.25">
      <c r="H9531" s="134"/>
    </row>
    <row r="9532" spans="8:8" x14ac:dyDescent="0.25">
      <c r="H9532" s="134"/>
    </row>
    <row r="9533" spans="8:8" x14ac:dyDescent="0.25">
      <c r="H9533" s="134"/>
    </row>
    <row r="9534" spans="8:8" x14ac:dyDescent="0.25">
      <c r="H9534" s="134"/>
    </row>
    <row r="9535" spans="8:8" x14ac:dyDescent="0.25">
      <c r="H9535" s="134"/>
    </row>
    <row r="9536" spans="8:8" x14ac:dyDescent="0.25">
      <c r="H9536" s="134"/>
    </row>
    <row r="9537" spans="8:8" x14ac:dyDescent="0.25">
      <c r="H9537" s="134"/>
    </row>
    <row r="9538" spans="8:8" x14ac:dyDescent="0.25">
      <c r="H9538" s="134"/>
    </row>
    <row r="9539" spans="8:8" x14ac:dyDescent="0.25">
      <c r="H9539" s="134"/>
    </row>
    <row r="9540" spans="8:8" x14ac:dyDescent="0.25">
      <c r="H9540" s="134"/>
    </row>
    <row r="9541" spans="8:8" x14ac:dyDescent="0.25">
      <c r="H9541" s="134"/>
    </row>
    <row r="9542" spans="8:8" x14ac:dyDescent="0.25">
      <c r="H9542" s="134"/>
    </row>
    <row r="9543" spans="8:8" x14ac:dyDescent="0.25">
      <c r="H9543" s="134"/>
    </row>
    <row r="9544" spans="8:8" x14ac:dyDescent="0.25">
      <c r="H9544" s="134"/>
    </row>
    <row r="9545" spans="8:8" x14ac:dyDescent="0.25">
      <c r="H9545" s="134"/>
    </row>
    <row r="9546" spans="8:8" x14ac:dyDescent="0.25">
      <c r="H9546" s="134"/>
    </row>
    <row r="9547" spans="8:8" x14ac:dyDescent="0.25">
      <c r="H9547" s="134"/>
    </row>
    <row r="9548" spans="8:8" x14ac:dyDescent="0.25">
      <c r="H9548" s="134"/>
    </row>
    <row r="9549" spans="8:8" x14ac:dyDescent="0.25">
      <c r="H9549" s="134"/>
    </row>
    <row r="9550" spans="8:8" x14ac:dyDescent="0.25">
      <c r="H9550" s="134"/>
    </row>
    <row r="9551" spans="8:8" x14ac:dyDescent="0.25">
      <c r="H9551" s="134"/>
    </row>
    <row r="9552" spans="8:8" x14ac:dyDescent="0.25">
      <c r="H9552" s="134"/>
    </row>
    <row r="9553" spans="8:8" x14ac:dyDescent="0.25">
      <c r="H9553" s="134"/>
    </row>
    <row r="9554" spans="8:8" x14ac:dyDescent="0.25">
      <c r="H9554" s="134"/>
    </row>
    <row r="9555" spans="8:8" x14ac:dyDescent="0.25">
      <c r="H9555" s="134"/>
    </row>
    <row r="9556" spans="8:8" x14ac:dyDescent="0.25">
      <c r="H9556" s="134"/>
    </row>
    <row r="9557" spans="8:8" x14ac:dyDescent="0.25">
      <c r="H9557" s="134"/>
    </row>
    <row r="9558" spans="8:8" x14ac:dyDescent="0.25">
      <c r="H9558" s="134"/>
    </row>
    <row r="9559" spans="8:8" x14ac:dyDescent="0.25">
      <c r="H9559" s="134"/>
    </row>
    <row r="9560" spans="8:8" x14ac:dyDescent="0.25">
      <c r="H9560" s="134"/>
    </row>
    <row r="9561" spans="8:8" x14ac:dyDescent="0.25">
      <c r="H9561" s="134"/>
    </row>
    <row r="9562" spans="8:8" x14ac:dyDescent="0.25">
      <c r="H9562" s="134"/>
    </row>
    <row r="9563" spans="8:8" x14ac:dyDescent="0.25">
      <c r="H9563" s="134"/>
    </row>
    <row r="9564" spans="8:8" x14ac:dyDescent="0.25">
      <c r="H9564" s="134"/>
    </row>
    <row r="9565" spans="8:8" x14ac:dyDescent="0.25">
      <c r="H9565" s="134"/>
    </row>
    <row r="9566" spans="8:8" x14ac:dyDescent="0.25">
      <c r="H9566" s="134"/>
    </row>
    <row r="9567" spans="8:8" x14ac:dyDescent="0.25">
      <c r="H9567" s="134"/>
    </row>
    <row r="9568" spans="8:8" x14ac:dyDescent="0.25">
      <c r="H9568" s="134"/>
    </row>
    <row r="9569" spans="8:8" x14ac:dyDescent="0.25">
      <c r="H9569" s="134"/>
    </row>
    <row r="9570" spans="8:8" x14ac:dyDescent="0.25">
      <c r="H9570" s="134"/>
    </row>
    <row r="9571" spans="8:8" x14ac:dyDescent="0.25">
      <c r="H9571" s="134"/>
    </row>
    <row r="9572" spans="8:8" x14ac:dyDescent="0.25">
      <c r="H9572" s="134"/>
    </row>
    <row r="9573" spans="8:8" x14ac:dyDescent="0.25">
      <c r="H9573" s="134"/>
    </row>
    <row r="9574" spans="8:8" x14ac:dyDescent="0.25">
      <c r="H9574" s="134"/>
    </row>
    <row r="9575" spans="8:8" x14ac:dyDescent="0.25">
      <c r="H9575" s="134"/>
    </row>
    <row r="9576" spans="8:8" x14ac:dyDescent="0.25">
      <c r="H9576" s="134"/>
    </row>
    <row r="9577" spans="8:8" x14ac:dyDescent="0.25">
      <c r="H9577" s="134"/>
    </row>
    <row r="9578" spans="8:8" x14ac:dyDescent="0.25">
      <c r="H9578" s="134"/>
    </row>
    <row r="9579" spans="8:8" x14ac:dyDescent="0.25">
      <c r="H9579" s="134"/>
    </row>
    <row r="9580" spans="8:8" x14ac:dyDescent="0.25">
      <c r="H9580" s="134"/>
    </row>
    <row r="9581" spans="8:8" x14ac:dyDescent="0.25">
      <c r="H9581" s="134"/>
    </row>
    <row r="9582" spans="8:8" x14ac:dyDescent="0.25">
      <c r="H9582" s="134"/>
    </row>
    <row r="9583" spans="8:8" x14ac:dyDescent="0.25">
      <c r="H9583" s="134"/>
    </row>
    <row r="9584" spans="8:8" x14ac:dyDescent="0.25">
      <c r="H9584" s="134"/>
    </row>
    <row r="9585" spans="8:8" x14ac:dyDescent="0.25">
      <c r="H9585" s="134"/>
    </row>
    <row r="9586" spans="8:8" x14ac:dyDescent="0.25">
      <c r="H9586" s="134"/>
    </row>
    <row r="9587" spans="8:8" x14ac:dyDescent="0.25">
      <c r="H9587" s="134"/>
    </row>
    <row r="9588" spans="8:8" x14ac:dyDescent="0.25">
      <c r="H9588" s="134"/>
    </row>
    <row r="9589" spans="8:8" x14ac:dyDescent="0.25">
      <c r="H9589" s="134"/>
    </row>
    <row r="9590" spans="8:8" x14ac:dyDescent="0.25">
      <c r="H9590" s="134"/>
    </row>
    <row r="9591" spans="8:8" x14ac:dyDescent="0.25">
      <c r="H9591" s="134"/>
    </row>
    <row r="9592" spans="8:8" x14ac:dyDescent="0.25">
      <c r="H9592" s="134"/>
    </row>
    <row r="9593" spans="8:8" x14ac:dyDescent="0.25">
      <c r="H9593" s="134"/>
    </row>
    <row r="9594" spans="8:8" x14ac:dyDescent="0.25">
      <c r="H9594" s="134"/>
    </row>
    <row r="9595" spans="8:8" x14ac:dyDescent="0.25">
      <c r="H9595" s="134"/>
    </row>
    <row r="9596" spans="8:8" x14ac:dyDescent="0.25">
      <c r="H9596" s="134"/>
    </row>
    <row r="9597" spans="8:8" x14ac:dyDescent="0.25">
      <c r="H9597" s="134"/>
    </row>
    <row r="9598" spans="8:8" x14ac:dyDescent="0.25">
      <c r="H9598" s="134"/>
    </row>
    <row r="9599" spans="8:8" x14ac:dyDescent="0.25">
      <c r="H9599" s="134"/>
    </row>
    <row r="9600" spans="8:8" x14ac:dyDescent="0.25">
      <c r="H9600" s="134"/>
    </row>
    <row r="9601" spans="8:8" x14ac:dyDescent="0.25">
      <c r="H9601" s="134"/>
    </row>
    <row r="9602" spans="8:8" x14ac:dyDescent="0.25">
      <c r="H9602" s="134"/>
    </row>
    <row r="9603" spans="8:8" x14ac:dyDescent="0.25">
      <c r="H9603" s="134"/>
    </row>
    <row r="9604" spans="8:8" x14ac:dyDescent="0.25">
      <c r="H9604" s="134"/>
    </row>
    <row r="9605" spans="8:8" x14ac:dyDescent="0.25">
      <c r="H9605" s="134"/>
    </row>
    <row r="9606" spans="8:8" x14ac:dyDescent="0.25">
      <c r="H9606" s="134"/>
    </row>
    <row r="9607" spans="8:8" x14ac:dyDescent="0.25">
      <c r="H9607" s="134"/>
    </row>
    <row r="9608" spans="8:8" x14ac:dyDescent="0.25">
      <c r="H9608" s="134"/>
    </row>
    <row r="9609" spans="8:8" x14ac:dyDescent="0.25">
      <c r="H9609" s="134"/>
    </row>
    <row r="9610" spans="8:8" x14ac:dyDescent="0.25">
      <c r="H9610" s="134"/>
    </row>
    <row r="9611" spans="8:8" x14ac:dyDescent="0.25">
      <c r="H9611" s="134"/>
    </row>
    <row r="9612" spans="8:8" x14ac:dyDescent="0.25">
      <c r="H9612" s="134"/>
    </row>
    <row r="9613" spans="8:8" x14ac:dyDescent="0.25">
      <c r="H9613" s="134"/>
    </row>
    <row r="9614" spans="8:8" x14ac:dyDescent="0.25">
      <c r="H9614" s="134"/>
    </row>
    <row r="9615" spans="8:8" x14ac:dyDescent="0.25">
      <c r="H9615" s="134"/>
    </row>
    <row r="9616" spans="8:8" x14ac:dyDescent="0.25">
      <c r="H9616" s="134"/>
    </row>
    <row r="9617" spans="8:8" x14ac:dyDescent="0.25">
      <c r="H9617" s="134"/>
    </row>
    <row r="9618" spans="8:8" x14ac:dyDescent="0.25">
      <c r="H9618" s="134"/>
    </row>
    <row r="9619" spans="8:8" x14ac:dyDescent="0.25">
      <c r="H9619" s="134"/>
    </row>
    <row r="9620" spans="8:8" x14ac:dyDescent="0.25">
      <c r="H9620" s="134"/>
    </row>
    <row r="9621" spans="8:8" x14ac:dyDescent="0.25">
      <c r="H9621" s="134"/>
    </row>
    <row r="9622" spans="8:8" x14ac:dyDescent="0.25">
      <c r="H9622" s="134"/>
    </row>
    <row r="9623" spans="8:8" x14ac:dyDescent="0.25">
      <c r="H9623" s="134"/>
    </row>
    <row r="9624" spans="8:8" x14ac:dyDescent="0.25">
      <c r="H9624" s="134"/>
    </row>
    <row r="9625" spans="8:8" x14ac:dyDescent="0.25">
      <c r="H9625" s="134"/>
    </row>
    <row r="9626" spans="8:8" x14ac:dyDescent="0.25">
      <c r="H9626" s="134"/>
    </row>
    <row r="9627" spans="8:8" x14ac:dyDescent="0.25">
      <c r="H9627" s="134"/>
    </row>
    <row r="9628" spans="8:8" x14ac:dyDescent="0.25">
      <c r="H9628" s="134"/>
    </row>
    <row r="9629" spans="8:8" x14ac:dyDescent="0.25">
      <c r="H9629" s="134"/>
    </row>
    <row r="9630" spans="8:8" x14ac:dyDescent="0.25">
      <c r="H9630" s="134"/>
    </row>
    <row r="9631" spans="8:8" x14ac:dyDescent="0.25">
      <c r="H9631" s="134"/>
    </row>
    <row r="9632" spans="8:8" x14ac:dyDescent="0.25">
      <c r="H9632" s="134"/>
    </row>
    <row r="9633" spans="8:8" x14ac:dyDescent="0.25">
      <c r="H9633" s="134"/>
    </row>
    <row r="9634" spans="8:8" x14ac:dyDescent="0.25">
      <c r="H9634" s="134"/>
    </row>
    <row r="9635" spans="8:8" x14ac:dyDescent="0.25">
      <c r="H9635" s="134"/>
    </row>
    <row r="9636" spans="8:8" x14ac:dyDescent="0.25">
      <c r="H9636" s="134"/>
    </row>
    <row r="9637" spans="8:8" x14ac:dyDescent="0.25">
      <c r="H9637" s="134"/>
    </row>
    <row r="9638" spans="8:8" x14ac:dyDescent="0.25">
      <c r="H9638" s="134"/>
    </row>
    <row r="9639" spans="8:8" x14ac:dyDescent="0.25">
      <c r="H9639" s="134"/>
    </row>
    <row r="9640" spans="8:8" x14ac:dyDescent="0.25">
      <c r="H9640" s="134"/>
    </row>
    <row r="9641" spans="8:8" x14ac:dyDescent="0.25">
      <c r="H9641" s="134"/>
    </row>
    <row r="9642" spans="8:8" x14ac:dyDescent="0.25">
      <c r="H9642" s="134"/>
    </row>
    <row r="9643" spans="8:8" x14ac:dyDescent="0.25">
      <c r="H9643" s="134"/>
    </row>
    <row r="9644" spans="8:8" x14ac:dyDescent="0.25">
      <c r="H9644" s="134"/>
    </row>
    <row r="9645" spans="8:8" x14ac:dyDescent="0.25">
      <c r="H9645" s="134"/>
    </row>
    <row r="9646" spans="8:8" x14ac:dyDescent="0.25">
      <c r="H9646" s="134"/>
    </row>
    <row r="9647" spans="8:8" x14ac:dyDescent="0.25">
      <c r="H9647" s="134"/>
    </row>
    <row r="9648" spans="8:8" x14ac:dyDescent="0.25">
      <c r="H9648" s="134"/>
    </row>
    <row r="9649" spans="8:8" x14ac:dyDescent="0.25">
      <c r="H9649" s="134"/>
    </row>
    <row r="9650" spans="8:8" x14ac:dyDescent="0.25">
      <c r="H9650" s="134"/>
    </row>
    <row r="9651" spans="8:8" x14ac:dyDescent="0.25">
      <c r="H9651" s="134"/>
    </row>
    <row r="9652" spans="8:8" x14ac:dyDescent="0.25">
      <c r="H9652" s="134"/>
    </row>
    <row r="9653" spans="8:8" x14ac:dyDescent="0.25">
      <c r="H9653" s="134"/>
    </row>
    <row r="9654" spans="8:8" x14ac:dyDescent="0.25">
      <c r="H9654" s="134"/>
    </row>
    <row r="9655" spans="8:8" x14ac:dyDescent="0.25">
      <c r="H9655" s="134"/>
    </row>
    <row r="9656" spans="8:8" x14ac:dyDescent="0.25">
      <c r="H9656" s="134"/>
    </row>
    <row r="9657" spans="8:8" x14ac:dyDescent="0.25">
      <c r="H9657" s="134"/>
    </row>
    <row r="9658" spans="8:8" x14ac:dyDescent="0.25">
      <c r="H9658" s="134"/>
    </row>
    <row r="9659" spans="8:8" x14ac:dyDescent="0.25">
      <c r="H9659" s="134"/>
    </row>
    <row r="9660" spans="8:8" x14ac:dyDescent="0.25">
      <c r="H9660" s="134"/>
    </row>
    <row r="9661" spans="8:8" x14ac:dyDescent="0.25">
      <c r="H9661" s="134"/>
    </row>
    <row r="9662" spans="8:8" x14ac:dyDescent="0.25">
      <c r="H9662" s="134"/>
    </row>
    <row r="9663" spans="8:8" x14ac:dyDescent="0.25">
      <c r="H9663" s="134"/>
    </row>
    <row r="9664" spans="8:8" x14ac:dyDescent="0.25">
      <c r="H9664" s="134"/>
    </row>
    <row r="9665" spans="8:8" x14ac:dyDescent="0.25">
      <c r="H9665" s="134"/>
    </row>
    <row r="9666" spans="8:8" x14ac:dyDescent="0.25">
      <c r="H9666" s="134"/>
    </row>
    <row r="9667" spans="8:8" x14ac:dyDescent="0.25">
      <c r="H9667" s="134"/>
    </row>
    <row r="9668" spans="8:8" x14ac:dyDescent="0.25">
      <c r="H9668" s="134"/>
    </row>
    <row r="9669" spans="8:8" x14ac:dyDescent="0.25">
      <c r="H9669" s="134"/>
    </row>
    <row r="9670" spans="8:8" x14ac:dyDescent="0.25">
      <c r="H9670" s="134"/>
    </row>
    <row r="9671" spans="8:8" x14ac:dyDescent="0.25">
      <c r="H9671" s="134"/>
    </row>
    <row r="9672" spans="8:8" x14ac:dyDescent="0.25">
      <c r="H9672" s="134"/>
    </row>
    <row r="9673" spans="8:8" x14ac:dyDescent="0.25">
      <c r="H9673" s="134"/>
    </row>
    <row r="9674" spans="8:8" x14ac:dyDescent="0.25">
      <c r="H9674" s="134"/>
    </row>
    <row r="9675" spans="8:8" x14ac:dyDescent="0.25">
      <c r="H9675" s="134"/>
    </row>
    <row r="9676" spans="8:8" x14ac:dyDescent="0.25">
      <c r="H9676" s="134"/>
    </row>
    <row r="9677" spans="8:8" x14ac:dyDescent="0.25">
      <c r="H9677" s="134"/>
    </row>
    <row r="9678" spans="8:8" x14ac:dyDescent="0.25">
      <c r="H9678" s="134"/>
    </row>
    <row r="9679" spans="8:8" x14ac:dyDescent="0.25">
      <c r="H9679" s="134"/>
    </row>
    <row r="9680" spans="8:8" x14ac:dyDescent="0.25">
      <c r="H9680" s="134"/>
    </row>
    <row r="9681" spans="8:8" x14ac:dyDescent="0.25">
      <c r="H9681" s="134"/>
    </row>
    <row r="9682" spans="8:8" x14ac:dyDescent="0.25">
      <c r="H9682" s="134"/>
    </row>
    <row r="9683" spans="8:8" x14ac:dyDescent="0.25">
      <c r="H9683" s="134"/>
    </row>
    <row r="9684" spans="8:8" x14ac:dyDescent="0.25">
      <c r="H9684" s="134"/>
    </row>
    <row r="9685" spans="8:8" x14ac:dyDescent="0.25">
      <c r="H9685" s="134"/>
    </row>
    <row r="9686" spans="8:8" x14ac:dyDescent="0.25">
      <c r="H9686" s="134"/>
    </row>
    <row r="9687" spans="8:8" x14ac:dyDescent="0.25">
      <c r="H9687" s="134"/>
    </row>
    <row r="9688" spans="8:8" x14ac:dyDescent="0.25">
      <c r="H9688" s="134"/>
    </row>
    <row r="9689" spans="8:8" x14ac:dyDescent="0.25">
      <c r="H9689" s="134"/>
    </row>
    <row r="9690" spans="8:8" x14ac:dyDescent="0.25">
      <c r="H9690" s="134"/>
    </row>
    <row r="9691" spans="8:8" x14ac:dyDescent="0.25">
      <c r="H9691" s="134"/>
    </row>
    <row r="9692" spans="8:8" x14ac:dyDescent="0.25">
      <c r="H9692" s="134"/>
    </row>
    <row r="9693" spans="8:8" x14ac:dyDescent="0.25">
      <c r="H9693" s="134"/>
    </row>
    <row r="9694" spans="8:8" x14ac:dyDescent="0.25">
      <c r="H9694" s="134"/>
    </row>
    <row r="9695" spans="8:8" x14ac:dyDescent="0.25">
      <c r="H9695" s="134"/>
    </row>
    <row r="9696" spans="8:8" x14ac:dyDescent="0.25">
      <c r="H9696" s="134"/>
    </row>
    <row r="9697" spans="8:8" x14ac:dyDescent="0.25">
      <c r="H9697" s="134"/>
    </row>
    <row r="9698" spans="8:8" x14ac:dyDescent="0.25">
      <c r="H9698" s="134"/>
    </row>
    <row r="9699" spans="8:8" x14ac:dyDescent="0.25">
      <c r="H9699" s="134"/>
    </row>
    <row r="9700" spans="8:8" x14ac:dyDescent="0.25">
      <c r="H9700" s="134"/>
    </row>
    <row r="9701" spans="8:8" x14ac:dyDescent="0.25">
      <c r="H9701" s="134"/>
    </row>
    <row r="9702" spans="8:8" x14ac:dyDescent="0.25">
      <c r="H9702" s="134"/>
    </row>
    <row r="9703" spans="8:8" x14ac:dyDescent="0.25">
      <c r="H9703" s="134"/>
    </row>
    <row r="9704" spans="8:8" x14ac:dyDescent="0.25">
      <c r="H9704" s="134"/>
    </row>
    <row r="9705" spans="8:8" x14ac:dyDescent="0.25">
      <c r="H9705" s="134"/>
    </row>
    <row r="9706" spans="8:8" x14ac:dyDescent="0.25">
      <c r="H9706" s="134"/>
    </row>
    <row r="9707" spans="8:8" x14ac:dyDescent="0.25">
      <c r="H9707" s="134"/>
    </row>
    <row r="9708" spans="8:8" x14ac:dyDescent="0.25">
      <c r="H9708" s="134"/>
    </row>
    <row r="9709" spans="8:8" x14ac:dyDescent="0.25">
      <c r="H9709" s="134"/>
    </row>
    <row r="9710" spans="8:8" x14ac:dyDescent="0.25">
      <c r="H9710" s="134"/>
    </row>
    <row r="9711" spans="8:8" x14ac:dyDescent="0.25">
      <c r="H9711" s="134"/>
    </row>
    <row r="9712" spans="8:8" x14ac:dyDescent="0.25">
      <c r="H9712" s="134"/>
    </row>
    <row r="9713" spans="8:8" x14ac:dyDescent="0.25">
      <c r="H9713" s="134"/>
    </row>
    <row r="9714" spans="8:8" x14ac:dyDescent="0.25">
      <c r="H9714" s="134"/>
    </row>
    <row r="9715" spans="8:8" x14ac:dyDescent="0.25">
      <c r="H9715" s="134"/>
    </row>
    <row r="9716" spans="8:8" x14ac:dyDescent="0.25">
      <c r="H9716" s="134"/>
    </row>
    <row r="9717" spans="8:8" x14ac:dyDescent="0.25">
      <c r="H9717" s="134"/>
    </row>
    <row r="9718" spans="8:8" x14ac:dyDescent="0.25">
      <c r="H9718" s="134"/>
    </row>
    <row r="9719" spans="8:8" x14ac:dyDescent="0.25">
      <c r="H9719" s="134"/>
    </row>
    <row r="9720" spans="8:8" x14ac:dyDescent="0.25">
      <c r="H9720" s="134"/>
    </row>
    <row r="9721" spans="8:8" x14ac:dyDescent="0.25">
      <c r="H9721" s="134"/>
    </row>
    <row r="9722" spans="8:8" x14ac:dyDescent="0.25">
      <c r="H9722" s="134"/>
    </row>
    <row r="9723" spans="8:8" x14ac:dyDescent="0.25">
      <c r="H9723" s="134"/>
    </row>
    <row r="9724" spans="8:8" x14ac:dyDescent="0.25">
      <c r="H9724" s="134"/>
    </row>
    <row r="9725" spans="8:8" x14ac:dyDescent="0.25">
      <c r="H9725" s="134"/>
    </row>
    <row r="9726" spans="8:8" x14ac:dyDescent="0.25">
      <c r="H9726" s="134"/>
    </row>
    <row r="9727" spans="8:8" x14ac:dyDescent="0.25">
      <c r="H9727" s="134"/>
    </row>
    <row r="9728" spans="8:8" x14ac:dyDescent="0.25">
      <c r="H9728" s="134"/>
    </row>
    <row r="9729" spans="8:8" x14ac:dyDescent="0.25">
      <c r="H9729" s="134"/>
    </row>
    <row r="9730" spans="8:8" x14ac:dyDescent="0.25">
      <c r="H9730" s="134"/>
    </row>
    <row r="9731" spans="8:8" x14ac:dyDescent="0.25">
      <c r="H9731" s="134"/>
    </row>
    <row r="9732" spans="8:8" x14ac:dyDescent="0.25">
      <c r="H9732" s="134"/>
    </row>
    <row r="9733" spans="8:8" x14ac:dyDescent="0.25">
      <c r="H9733" s="134"/>
    </row>
    <row r="9734" spans="8:8" x14ac:dyDescent="0.25">
      <c r="H9734" s="134"/>
    </row>
    <row r="9735" spans="8:8" x14ac:dyDescent="0.25">
      <c r="H9735" s="134"/>
    </row>
    <row r="9736" spans="8:8" x14ac:dyDescent="0.25">
      <c r="H9736" s="134"/>
    </row>
    <row r="9737" spans="8:8" x14ac:dyDescent="0.25">
      <c r="H9737" s="134"/>
    </row>
    <row r="9738" spans="8:8" x14ac:dyDescent="0.25">
      <c r="H9738" s="134"/>
    </row>
    <row r="9739" spans="8:8" x14ac:dyDescent="0.25">
      <c r="H9739" s="134"/>
    </row>
    <row r="9740" spans="8:8" x14ac:dyDescent="0.25">
      <c r="H9740" s="134"/>
    </row>
    <row r="9741" spans="8:8" x14ac:dyDescent="0.25">
      <c r="H9741" s="134"/>
    </row>
    <row r="9742" spans="8:8" x14ac:dyDescent="0.25">
      <c r="H9742" s="134"/>
    </row>
    <row r="9743" spans="8:8" x14ac:dyDescent="0.25">
      <c r="H9743" s="134"/>
    </row>
    <row r="9744" spans="8:8" x14ac:dyDescent="0.25">
      <c r="H9744" s="134"/>
    </row>
    <row r="9745" spans="8:8" x14ac:dyDescent="0.25">
      <c r="H9745" s="134"/>
    </row>
    <row r="9746" spans="8:8" x14ac:dyDescent="0.25">
      <c r="H9746" s="134"/>
    </row>
    <row r="9747" spans="8:8" x14ac:dyDescent="0.25">
      <c r="H9747" s="134"/>
    </row>
    <row r="9748" spans="8:8" x14ac:dyDescent="0.25">
      <c r="H9748" s="134"/>
    </row>
    <row r="9749" spans="8:8" x14ac:dyDescent="0.25">
      <c r="H9749" s="134"/>
    </row>
    <row r="9750" spans="8:8" x14ac:dyDescent="0.25">
      <c r="H9750" s="134"/>
    </row>
    <row r="9751" spans="8:8" x14ac:dyDescent="0.25">
      <c r="H9751" s="134"/>
    </row>
    <row r="9752" spans="8:8" x14ac:dyDescent="0.25">
      <c r="H9752" s="134"/>
    </row>
    <row r="9753" spans="8:8" x14ac:dyDescent="0.25">
      <c r="H9753" s="134"/>
    </row>
    <row r="9754" spans="8:8" x14ac:dyDescent="0.25">
      <c r="H9754" s="134"/>
    </row>
    <row r="9755" spans="8:8" x14ac:dyDescent="0.25">
      <c r="H9755" s="134"/>
    </row>
    <row r="9756" spans="8:8" x14ac:dyDescent="0.25">
      <c r="H9756" s="134"/>
    </row>
    <row r="9757" spans="8:8" x14ac:dyDescent="0.25">
      <c r="H9757" s="134"/>
    </row>
    <row r="9758" spans="8:8" x14ac:dyDescent="0.25">
      <c r="H9758" s="134"/>
    </row>
    <row r="9759" spans="8:8" x14ac:dyDescent="0.25">
      <c r="H9759" s="134"/>
    </row>
    <row r="9760" spans="8:8" x14ac:dyDescent="0.25">
      <c r="H9760" s="134"/>
    </row>
    <row r="9761" spans="8:8" x14ac:dyDescent="0.25">
      <c r="H9761" s="134"/>
    </row>
    <row r="9762" spans="8:8" x14ac:dyDescent="0.25">
      <c r="H9762" s="134"/>
    </row>
    <row r="9763" spans="8:8" x14ac:dyDescent="0.25">
      <c r="H9763" s="134"/>
    </row>
    <row r="9764" spans="8:8" x14ac:dyDescent="0.25">
      <c r="H9764" s="134"/>
    </row>
    <row r="9765" spans="8:8" x14ac:dyDescent="0.25">
      <c r="H9765" s="134"/>
    </row>
    <row r="9766" spans="8:8" x14ac:dyDescent="0.25">
      <c r="H9766" s="134"/>
    </row>
    <row r="9767" spans="8:8" x14ac:dyDescent="0.25">
      <c r="H9767" s="134"/>
    </row>
    <row r="9768" spans="8:8" x14ac:dyDescent="0.25">
      <c r="H9768" s="134"/>
    </row>
    <row r="9769" spans="8:8" x14ac:dyDescent="0.25">
      <c r="H9769" s="134"/>
    </row>
    <row r="9770" spans="8:8" x14ac:dyDescent="0.25">
      <c r="H9770" s="134"/>
    </row>
    <row r="9771" spans="8:8" x14ac:dyDescent="0.25">
      <c r="H9771" s="134"/>
    </row>
    <row r="9772" spans="8:8" x14ac:dyDescent="0.25">
      <c r="H9772" s="134"/>
    </row>
    <row r="9773" spans="8:8" x14ac:dyDescent="0.25">
      <c r="H9773" s="134"/>
    </row>
    <row r="9774" spans="8:8" x14ac:dyDescent="0.25">
      <c r="H9774" s="134"/>
    </row>
    <row r="9775" spans="8:8" x14ac:dyDescent="0.25">
      <c r="H9775" s="134"/>
    </row>
    <row r="9776" spans="8:8" x14ac:dyDescent="0.25">
      <c r="H9776" s="134"/>
    </row>
    <row r="9777" spans="8:8" x14ac:dyDescent="0.25">
      <c r="H9777" s="134"/>
    </row>
    <row r="9778" spans="8:8" x14ac:dyDescent="0.25">
      <c r="H9778" s="134"/>
    </row>
    <row r="9779" spans="8:8" x14ac:dyDescent="0.25">
      <c r="H9779" s="134"/>
    </row>
    <row r="9780" spans="8:8" x14ac:dyDescent="0.25">
      <c r="H9780" s="134"/>
    </row>
    <row r="9781" spans="8:8" x14ac:dyDescent="0.25">
      <c r="H9781" s="134"/>
    </row>
    <row r="9782" spans="8:8" x14ac:dyDescent="0.25">
      <c r="H9782" s="134"/>
    </row>
    <row r="9783" spans="8:8" x14ac:dyDescent="0.25">
      <c r="H9783" s="134"/>
    </row>
    <row r="9784" spans="8:8" x14ac:dyDescent="0.25">
      <c r="H9784" s="134"/>
    </row>
    <row r="9785" spans="8:8" x14ac:dyDescent="0.25">
      <c r="H9785" s="134"/>
    </row>
    <row r="9786" spans="8:8" x14ac:dyDescent="0.25">
      <c r="H9786" s="134"/>
    </row>
    <row r="9787" spans="8:8" x14ac:dyDescent="0.25">
      <c r="H9787" s="134"/>
    </row>
    <row r="9788" spans="8:8" x14ac:dyDescent="0.25">
      <c r="H9788" s="134"/>
    </row>
    <row r="9789" spans="8:8" x14ac:dyDescent="0.25">
      <c r="H9789" s="134"/>
    </row>
    <row r="9790" spans="8:8" x14ac:dyDescent="0.25">
      <c r="H9790" s="134"/>
    </row>
    <row r="9791" spans="8:8" x14ac:dyDescent="0.25">
      <c r="H9791" s="134"/>
    </row>
    <row r="9792" spans="8:8" x14ac:dyDescent="0.25">
      <c r="H9792" s="134"/>
    </row>
    <row r="9793" spans="8:8" x14ac:dyDescent="0.25">
      <c r="H9793" s="134"/>
    </row>
    <row r="9794" spans="8:8" x14ac:dyDescent="0.25">
      <c r="H9794" s="134"/>
    </row>
    <row r="9795" spans="8:8" x14ac:dyDescent="0.25">
      <c r="H9795" s="134"/>
    </row>
    <row r="9796" spans="8:8" x14ac:dyDescent="0.25">
      <c r="H9796" s="134"/>
    </row>
    <row r="9797" spans="8:8" x14ac:dyDescent="0.25">
      <c r="H9797" s="134"/>
    </row>
    <row r="9798" spans="8:8" x14ac:dyDescent="0.25">
      <c r="H9798" s="134"/>
    </row>
    <row r="9799" spans="8:8" x14ac:dyDescent="0.25">
      <c r="H9799" s="134"/>
    </row>
    <row r="9800" spans="8:8" x14ac:dyDescent="0.25">
      <c r="H9800" s="134"/>
    </row>
    <row r="9801" spans="8:8" x14ac:dyDescent="0.25">
      <c r="H9801" s="134"/>
    </row>
    <row r="9802" spans="8:8" x14ac:dyDescent="0.25">
      <c r="H9802" s="134"/>
    </row>
    <row r="9803" spans="8:8" x14ac:dyDescent="0.25">
      <c r="H9803" s="134"/>
    </row>
    <row r="9804" spans="8:8" x14ac:dyDescent="0.25">
      <c r="H9804" s="134"/>
    </row>
    <row r="9805" spans="8:8" x14ac:dyDescent="0.25">
      <c r="H9805" s="134"/>
    </row>
    <row r="9806" spans="8:8" x14ac:dyDescent="0.25">
      <c r="H9806" s="134"/>
    </row>
    <row r="9807" spans="8:8" x14ac:dyDescent="0.25">
      <c r="H9807" s="134"/>
    </row>
    <row r="9808" spans="8:8" x14ac:dyDescent="0.25">
      <c r="H9808" s="134"/>
    </row>
    <row r="9809" spans="8:8" x14ac:dyDescent="0.25">
      <c r="H9809" s="134"/>
    </row>
    <row r="9810" spans="8:8" x14ac:dyDescent="0.25">
      <c r="H9810" s="134"/>
    </row>
    <row r="9811" spans="8:8" x14ac:dyDescent="0.25">
      <c r="H9811" s="134"/>
    </row>
    <row r="9812" spans="8:8" x14ac:dyDescent="0.25">
      <c r="H9812" s="134"/>
    </row>
    <row r="9813" spans="8:8" x14ac:dyDescent="0.25">
      <c r="H9813" s="134"/>
    </row>
    <row r="9814" spans="8:8" x14ac:dyDescent="0.25">
      <c r="H9814" s="134"/>
    </row>
    <row r="9815" spans="8:8" x14ac:dyDescent="0.25">
      <c r="H9815" s="134"/>
    </row>
    <row r="9816" spans="8:8" x14ac:dyDescent="0.25">
      <c r="H9816" s="134"/>
    </row>
    <row r="9817" spans="8:8" x14ac:dyDescent="0.25">
      <c r="H9817" s="134"/>
    </row>
    <row r="9818" spans="8:8" x14ac:dyDescent="0.25">
      <c r="H9818" s="134"/>
    </row>
    <row r="9819" spans="8:8" x14ac:dyDescent="0.25">
      <c r="H9819" s="134"/>
    </row>
    <row r="9820" spans="8:8" x14ac:dyDescent="0.25">
      <c r="H9820" s="134"/>
    </row>
    <row r="9821" spans="8:8" x14ac:dyDescent="0.25">
      <c r="H9821" s="134"/>
    </row>
    <row r="9822" spans="8:8" x14ac:dyDescent="0.25">
      <c r="H9822" s="134"/>
    </row>
    <row r="9823" spans="8:8" x14ac:dyDescent="0.25">
      <c r="H9823" s="134"/>
    </row>
    <row r="9824" spans="8:8" x14ac:dyDescent="0.25">
      <c r="H9824" s="134"/>
    </row>
    <row r="9825" spans="8:8" x14ac:dyDescent="0.25">
      <c r="H9825" s="134"/>
    </row>
    <row r="9826" spans="8:8" x14ac:dyDescent="0.25">
      <c r="H9826" s="134"/>
    </row>
    <row r="9827" spans="8:8" x14ac:dyDescent="0.25">
      <c r="H9827" s="134"/>
    </row>
    <row r="9828" spans="8:8" x14ac:dyDescent="0.25">
      <c r="H9828" s="134"/>
    </row>
    <row r="9829" spans="8:8" x14ac:dyDescent="0.25">
      <c r="H9829" s="134"/>
    </row>
    <row r="9830" spans="8:8" x14ac:dyDescent="0.25">
      <c r="H9830" s="134"/>
    </row>
    <row r="9831" spans="8:8" x14ac:dyDescent="0.25">
      <c r="H9831" s="134"/>
    </row>
    <row r="9832" spans="8:8" x14ac:dyDescent="0.25">
      <c r="H9832" s="134"/>
    </row>
    <row r="9833" spans="8:8" x14ac:dyDescent="0.25">
      <c r="H9833" s="134"/>
    </row>
    <row r="9834" spans="8:8" x14ac:dyDescent="0.25">
      <c r="H9834" s="134"/>
    </row>
    <row r="9835" spans="8:8" x14ac:dyDescent="0.25">
      <c r="H9835" s="134"/>
    </row>
    <row r="9836" spans="8:8" x14ac:dyDescent="0.25">
      <c r="H9836" s="134"/>
    </row>
    <row r="9837" spans="8:8" x14ac:dyDescent="0.25">
      <c r="H9837" s="134"/>
    </row>
    <row r="9838" spans="8:8" x14ac:dyDescent="0.25">
      <c r="H9838" s="134"/>
    </row>
    <row r="9839" spans="8:8" x14ac:dyDescent="0.25">
      <c r="H9839" s="134"/>
    </row>
    <row r="9840" spans="8:8" x14ac:dyDescent="0.25">
      <c r="H9840" s="134"/>
    </row>
    <row r="9841" spans="8:8" x14ac:dyDescent="0.25">
      <c r="H9841" s="134"/>
    </row>
    <row r="9842" spans="8:8" x14ac:dyDescent="0.25">
      <c r="H9842" s="134"/>
    </row>
    <row r="9843" spans="8:8" x14ac:dyDescent="0.25">
      <c r="H9843" s="134"/>
    </row>
    <row r="9844" spans="8:8" x14ac:dyDescent="0.25">
      <c r="H9844" s="134"/>
    </row>
    <row r="9845" spans="8:8" x14ac:dyDescent="0.25">
      <c r="H9845" s="134"/>
    </row>
    <row r="9846" spans="8:8" x14ac:dyDescent="0.25">
      <c r="H9846" s="134"/>
    </row>
    <row r="9847" spans="8:8" x14ac:dyDescent="0.25">
      <c r="H9847" s="134"/>
    </row>
    <row r="9848" spans="8:8" x14ac:dyDescent="0.25">
      <c r="H9848" s="134"/>
    </row>
    <row r="9849" spans="8:8" x14ac:dyDescent="0.25">
      <c r="H9849" s="134"/>
    </row>
    <row r="9850" spans="8:8" x14ac:dyDescent="0.25">
      <c r="H9850" s="134"/>
    </row>
    <row r="9851" spans="8:8" x14ac:dyDescent="0.25">
      <c r="H9851" s="134"/>
    </row>
    <row r="9852" spans="8:8" x14ac:dyDescent="0.25">
      <c r="H9852" s="134"/>
    </row>
    <row r="9853" spans="8:8" x14ac:dyDescent="0.25">
      <c r="H9853" s="134"/>
    </row>
    <row r="9854" spans="8:8" x14ac:dyDescent="0.25">
      <c r="H9854" s="134"/>
    </row>
    <row r="9855" spans="8:8" x14ac:dyDescent="0.25">
      <c r="H9855" s="134"/>
    </row>
    <row r="9856" spans="8:8" x14ac:dyDescent="0.25">
      <c r="H9856" s="134"/>
    </row>
    <row r="9857" spans="8:8" x14ac:dyDescent="0.25">
      <c r="H9857" s="134"/>
    </row>
    <row r="9858" spans="8:8" x14ac:dyDescent="0.25">
      <c r="H9858" s="134"/>
    </row>
    <row r="9859" spans="8:8" x14ac:dyDescent="0.25">
      <c r="H9859" s="134"/>
    </row>
    <row r="9860" spans="8:8" x14ac:dyDescent="0.25">
      <c r="H9860" s="134"/>
    </row>
    <row r="9861" spans="8:8" x14ac:dyDescent="0.25">
      <c r="H9861" s="134"/>
    </row>
    <row r="9862" spans="8:8" x14ac:dyDescent="0.25">
      <c r="H9862" s="134"/>
    </row>
    <row r="9863" spans="8:8" x14ac:dyDescent="0.25">
      <c r="H9863" s="134"/>
    </row>
    <row r="9864" spans="8:8" x14ac:dyDescent="0.25">
      <c r="H9864" s="134"/>
    </row>
    <row r="9865" spans="8:8" x14ac:dyDescent="0.25">
      <c r="H9865" s="134"/>
    </row>
    <row r="9866" spans="8:8" x14ac:dyDescent="0.25">
      <c r="H9866" s="134"/>
    </row>
    <row r="9867" spans="8:8" x14ac:dyDescent="0.25">
      <c r="H9867" s="134"/>
    </row>
    <row r="9868" spans="8:8" x14ac:dyDescent="0.25">
      <c r="H9868" s="134"/>
    </row>
    <row r="9869" spans="8:8" x14ac:dyDescent="0.25">
      <c r="H9869" s="134"/>
    </row>
    <row r="9870" spans="8:8" x14ac:dyDescent="0.25">
      <c r="H9870" s="134"/>
    </row>
    <row r="9871" spans="8:8" x14ac:dyDescent="0.25">
      <c r="H9871" s="134"/>
    </row>
    <row r="9872" spans="8:8" x14ac:dyDescent="0.25">
      <c r="H9872" s="134"/>
    </row>
    <row r="9873" spans="8:8" x14ac:dyDescent="0.25">
      <c r="H9873" s="134"/>
    </row>
    <row r="9874" spans="8:8" x14ac:dyDescent="0.25">
      <c r="H9874" s="134"/>
    </row>
    <row r="9875" spans="8:8" x14ac:dyDescent="0.25">
      <c r="H9875" s="134"/>
    </row>
    <row r="9876" spans="8:8" x14ac:dyDescent="0.25">
      <c r="H9876" s="134"/>
    </row>
    <row r="9877" spans="8:8" x14ac:dyDescent="0.25">
      <c r="H9877" s="134"/>
    </row>
    <row r="9878" spans="8:8" x14ac:dyDescent="0.25">
      <c r="H9878" s="134"/>
    </row>
    <row r="9879" spans="8:8" x14ac:dyDescent="0.25">
      <c r="H9879" s="134"/>
    </row>
    <row r="9880" spans="8:8" x14ac:dyDescent="0.25">
      <c r="H9880" s="134"/>
    </row>
    <row r="9881" spans="8:8" x14ac:dyDescent="0.25">
      <c r="H9881" s="134"/>
    </row>
    <row r="9882" spans="8:8" x14ac:dyDescent="0.25">
      <c r="H9882" s="134"/>
    </row>
    <row r="9883" spans="8:8" x14ac:dyDescent="0.25">
      <c r="H9883" s="134"/>
    </row>
    <row r="9884" spans="8:8" x14ac:dyDescent="0.25">
      <c r="H9884" s="134"/>
    </row>
    <row r="9885" spans="8:8" x14ac:dyDescent="0.25">
      <c r="H9885" s="134"/>
    </row>
    <row r="9886" spans="8:8" x14ac:dyDescent="0.25">
      <c r="H9886" s="134"/>
    </row>
    <row r="9887" spans="8:8" x14ac:dyDescent="0.25">
      <c r="H9887" s="134"/>
    </row>
    <row r="9888" spans="8:8" x14ac:dyDescent="0.25">
      <c r="H9888" s="134"/>
    </row>
    <row r="9889" spans="8:8" x14ac:dyDescent="0.25">
      <c r="H9889" s="134"/>
    </row>
    <row r="9890" spans="8:8" x14ac:dyDescent="0.25">
      <c r="H9890" s="134"/>
    </row>
    <row r="9891" spans="8:8" x14ac:dyDescent="0.25">
      <c r="H9891" s="134"/>
    </row>
    <row r="9892" spans="8:8" x14ac:dyDescent="0.25">
      <c r="H9892" s="134"/>
    </row>
    <row r="9893" spans="8:8" x14ac:dyDescent="0.25">
      <c r="H9893" s="134"/>
    </row>
    <row r="9894" spans="8:8" x14ac:dyDescent="0.25">
      <c r="H9894" s="134"/>
    </row>
    <row r="9895" spans="8:8" x14ac:dyDescent="0.25">
      <c r="H9895" s="134"/>
    </row>
    <row r="9896" spans="8:8" x14ac:dyDescent="0.25">
      <c r="H9896" s="134"/>
    </row>
    <row r="9897" spans="8:8" x14ac:dyDescent="0.25">
      <c r="H9897" s="134"/>
    </row>
    <row r="9898" spans="8:8" x14ac:dyDescent="0.25">
      <c r="H9898" s="134"/>
    </row>
    <row r="9899" spans="8:8" x14ac:dyDescent="0.25">
      <c r="H9899" s="134"/>
    </row>
    <row r="9900" spans="8:8" x14ac:dyDescent="0.25">
      <c r="H9900" s="134"/>
    </row>
    <row r="9901" spans="8:8" x14ac:dyDescent="0.25">
      <c r="H9901" s="134"/>
    </row>
    <row r="9902" spans="8:8" x14ac:dyDescent="0.25">
      <c r="H9902" s="134"/>
    </row>
    <row r="9903" spans="8:8" x14ac:dyDescent="0.25">
      <c r="H9903" s="134"/>
    </row>
    <row r="9904" spans="8:8" x14ac:dyDescent="0.25">
      <c r="H9904" s="134"/>
    </row>
    <row r="9905" spans="8:8" x14ac:dyDescent="0.25">
      <c r="H9905" s="134"/>
    </row>
    <row r="9906" spans="8:8" x14ac:dyDescent="0.25">
      <c r="H9906" s="134"/>
    </row>
    <row r="9907" spans="8:8" x14ac:dyDescent="0.25">
      <c r="H9907" s="134"/>
    </row>
    <row r="9908" spans="8:8" x14ac:dyDescent="0.25">
      <c r="H9908" s="134"/>
    </row>
    <row r="9909" spans="8:8" x14ac:dyDescent="0.25">
      <c r="H9909" s="134"/>
    </row>
    <row r="9910" spans="8:8" x14ac:dyDescent="0.25">
      <c r="H9910" s="134"/>
    </row>
    <row r="9911" spans="8:8" x14ac:dyDescent="0.25">
      <c r="H9911" s="134"/>
    </row>
    <row r="9912" spans="8:8" x14ac:dyDescent="0.25">
      <c r="H9912" s="134"/>
    </row>
    <row r="9913" spans="8:8" x14ac:dyDescent="0.25">
      <c r="H9913" s="134"/>
    </row>
    <row r="9914" spans="8:8" x14ac:dyDescent="0.25">
      <c r="H9914" s="134"/>
    </row>
    <row r="9915" spans="8:8" x14ac:dyDescent="0.25">
      <c r="H9915" s="134"/>
    </row>
    <row r="9916" spans="8:8" x14ac:dyDescent="0.25">
      <c r="H9916" s="134"/>
    </row>
    <row r="9917" spans="8:8" x14ac:dyDescent="0.25">
      <c r="H9917" s="134"/>
    </row>
    <row r="9918" spans="8:8" x14ac:dyDescent="0.25">
      <c r="H9918" s="134"/>
    </row>
    <row r="9919" spans="8:8" x14ac:dyDescent="0.25">
      <c r="H9919" s="134"/>
    </row>
    <row r="9920" spans="8:8" x14ac:dyDescent="0.25">
      <c r="H9920" s="134"/>
    </row>
    <row r="9921" spans="8:8" x14ac:dyDescent="0.25">
      <c r="H9921" s="134"/>
    </row>
    <row r="9922" spans="8:8" x14ac:dyDescent="0.25">
      <c r="H9922" s="134"/>
    </row>
    <row r="9923" spans="8:8" x14ac:dyDescent="0.25">
      <c r="H9923" s="134"/>
    </row>
    <row r="9924" spans="8:8" x14ac:dyDescent="0.25">
      <c r="H9924" s="134"/>
    </row>
    <row r="9925" spans="8:8" x14ac:dyDescent="0.25">
      <c r="H9925" s="134"/>
    </row>
    <row r="9926" spans="8:8" x14ac:dyDescent="0.25">
      <c r="H9926" s="134"/>
    </row>
    <row r="9927" spans="8:8" x14ac:dyDescent="0.25">
      <c r="H9927" s="134"/>
    </row>
    <row r="9928" spans="8:8" x14ac:dyDescent="0.25">
      <c r="H9928" s="134"/>
    </row>
    <row r="9929" spans="8:8" x14ac:dyDescent="0.25">
      <c r="H9929" s="134"/>
    </row>
    <row r="9930" spans="8:8" x14ac:dyDescent="0.25">
      <c r="H9930" s="134"/>
    </row>
    <row r="9931" spans="8:8" x14ac:dyDescent="0.25">
      <c r="H9931" s="134"/>
    </row>
    <row r="9932" spans="8:8" x14ac:dyDescent="0.25">
      <c r="H9932" s="134"/>
    </row>
    <row r="9933" spans="8:8" x14ac:dyDescent="0.25">
      <c r="H9933" s="134"/>
    </row>
    <row r="9934" spans="8:8" x14ac:dyDescent="0.25">
      <c r="H9934" s="134"/>
    </row>
    <row r="9935" spans="8:8" x14ac:dyDescent="0.25">
      <c r="H9935" s="134"/>
    </row>
    <row r="9936" spans="8:8" x14ac:dyDescent="0.25">
      <c r="H9936" s="134"/>
    </row>
    <row r="9937" spans="8:8" x14ac:dyDescent="0.25">
      <c r="H9937" s="134"/>
    </row>
    <row r="9938" spans="8:8" x14ac:dyDescent="0.25">
      <c r="H9938" s="134"/>
    </row>
    <row r="9939" spans="8:8" x14ac:dyDescent="0.25">
      <c r="H9939" s="134"/>
    </row>
    <row r="9940" spans="8:8" x14ac:dyDescent="0.25">
      <c r="H9940" s="134"/>
    </row>
    <row r="9941" spans="8:8" x14ac:dyDescent="0.25">
      <c r="H9941" s="134"/>
    </row>
    <row r="9942" spans="8:8" x14ac:dyDescent="0.25">
      <c r="H9942" s="134"/>
    </row>
    <row r="9943" spans="8:8" x14ac:dyDescent="0.25">
      <c r="H9943" s="134"/>
    </row>
    <row r="9944" spans="8:8" x14ac:dyDescent="0.25">
      <c r="H9944" s="134"/>
    </row>
    <row r="9945" spans="8:8" x14ac:dyDescent="0.25">
      <c r="H9945" s="134"/>
    </row>
    <row r="9946" spans="8:8" x14ac:dyDescent="0.25">
      <c r="H9946" s="134"/>
    </row>
    <row r="9947" spans="8:8" x14ac:dyDescent="0.25">
      <c r="H9947" s="134"/>
    </row>
    <row r="9948" spans="8:8" x14ac:dyDescent="0.25">
      <c r="H9948" s="134"/>
    </row>
    <row r="9949" spans="8:8" x14ac:dyDescent="0.25">
      <c r="H9949" s="134"/>
    </row>
    <row r="9950" spans="8:8" x14ac:dyDescent="0.25">
      <c r="H9950" s="134"/>
    </row>
    <row r="9951" spans="8:8" x14ac:dyDescent="0.25">
      <c r="H9951" s="134"/>
    </row>
    <row r="9952" spans="8:8" x14ac:dyDescent="0.25">
      <c r="H9952" s="134"/>
    </row>
    <row r="9953" spans="8:8" x14ac:dyDescent="0.25">
      <c r="H9953" s="134"/>
    </row>
    <row r="9954" spans="8:8" x14ac:dyDescent="0.25">
      <c r="H9954" s="134"/>
    </row>
    <row r="9955" spans="8:8" x14ac:dyDescent="0.25">
      <c r="H9955" s="134"/>
    </row>
    <row r="9956" spans="8:8" x14ac:dyDescent="0.25">
      <c r="H9956" s="134"/>
    </row>
    <row r="9957" spans="8:8" x14ac:dyDescent="0.25">
      <c r="H9957" s="134"/>
    </row>
    <row r="9958" spans="8:8" x14ac:dyDescent="0.25">
      <c r="H9958" s="134"/>
    </row>
    <row r="9959" spans="8:8" x14ac:dyDescent="0.25">
      <c r="H9959" s="134"/>
    </row>
    <row r="9960" spans="8:8" x14ac:dyDescent="0.25">
      <c r="H9960" s="134"/>
    </row>
    <row r="9961" spans="8:8" x14ac:dyDescent="0.25">
      <c r="H9961" s="134"/>
    </row>
    <row r="9962" spans="8:8" x14ac:dyDescent="0.25">
      <c r="H9962" s="134"/>
    </row>
    <row r="9963" spans="8:8" x14ac:dyDescent="0.25">
      <c r="H9963" s="134"/>
    </row>
    <row r="9964" spans="8:8" x14ac:dyDescent="0.25">
      <c r="H9964" s="134"/>
    </row>
    <row r="9965" spans="8:8" x14ac:dyDescent="0.25">
      <c r="H9965" s="134"/>
    </row>
    <row r="9966" spans="8:8" x14ac:dyDescent="0.25">
      <c r="H9966" s="134"/>
    </row>
    <row r="9967" spans="8:8" x14ac:dyDescent="0.25">
      <c r="H9967" s="134"/>
    </row>
    <row r="9968" spans="8:8" x14ac:dyDescent="0.25">
      <c r="H9968" s="134"/>
    </row>
    <row r="9969" spans="8:8" x14ac:dyDescent="0.25">
      <c r="H9969" s="134"/>
    </row>
    <row r="9970" spans="8:8" x14ac:dyDescent="0.25">
      <c r="H9970" s="134"/>
    </row>
    <row r="9971" spans="8:8" x14ac:dyDescent="0.25">
      <c r="H9971" s="134"/>
    </row>
    <row r="9972" spans="8:8" x14ac:dyDescent="0.25">
      <c r="H9972" s="134"/>
    </row>
    <row r="9973" spans="8:8" x14ac:dyDescent="0.25">
      <c r="H9973" s="134"/>
    </row>
    <row r="9974" spans="8:8" x14ac:dyDescent="0.25">
      <c r="H9974" s="134"/>
    </row>
    <row r="9975" spans="8:8" x14ac:dyDescent="0.25">
      <c r="H9975" s="134"/>
    </row>
    <row r="9976" spans="8:8" x14ac:dyDescent="0.25">
      <c r="H9976" s="134"/>
    </row>
    <row r="9977" spans="8:8" x14ac:dyDescent="0.25">
      <c r="H9977" s="134"/>
    </row>
    <row r="9978" spans="8:8" x14ac:dyDescent="0.25">
      <c r="H9978" s="134"/>
    </row>
    <row r="9979" spans="8:8" x14ac:dyDescent="0.25">
      <c r="H9979" s="134"/>
    </row>
    <row r="9980" spans="8:8" x14ac:dyDescent="0.25">
      <c r="H9980" s="134"/>
    </row>
    <row r="9981" spans="8:8" x14ac:dyDescent="0.25">
      <c r="H9981" s="134"/>
    </row>
    <row r="9982" spans="8:8" x14ac:dyDescent="0.25">
      <c r="H9982" s="134"/>
    </row>
    <row r="9983" spans="8:8" x14ac:dyDescent="0.25">
      <c r="H9983" s="134"/>
    </row>
    <row r="9984" spans="8:8" x14ac:dyDescent="0.25">
      <c r="H9984" s="134"/>
    </row>
    <row r="9985" spans="8:8" x14ac:dyDescent="0.25">
      <c r="H9985" s="134"/>
    </row>
    <row r="9986" spans="8:8" x14ac:dyDescent="0.25">
      <c r="H9986" s="134"/>
    </row>
    <row r="9987" spans="8:8" x14ac:dyDescent="0.25">
      <c r="H9987" s="134"/>
    </row>
    <row r="9988" spans="8:8" x14ac:dyDescent="0.25">
      <c r="H9988" s="134"/>
    </row>
    <row r="9989" spans="8:8" x14ac:dyDescent="0.25">
      <c r="H9989" s="134"/>
    </row>
    <row r="9990" spans="8:8" x14ac:dyDescent="0.25">
      <c r="H9990" s="134"/>
    </row>
    <row r="9991" spans="8:8" x14ac:dyDescent="0.25">
      <c r="H9991" s="134"/>
    </row>
    <row r="9992" spans="8:8" x14ac:dyDescent="0.25">
      <c r="H9992" s="134"/>
    </row>
    <row r="9993" spans="8:8" x14ac:dyDescent="0.25">
      <c r="H9993" s="134"/>
    </row>
    <row r="9994" spans="8:8" x14ac:dyDescent="0.25">
      <c r="H9994" s="134"/>
    </row>
    <row r="9995" spans="8:8" x14ac:dyDescent="0.25">
      <c r="H9995" s="134"/>
    </row>
    <row r="9996" spans="8:8" x14ac:dyDescent="0.25">
      <c r="H9996" s="134"/>
    </row>
    <row r="9997" spans="8:8" x14ac:dyDescent="0.25">
      <c r="H9997" s="134"/>
    </row>
    <row r="9998" spans="8:8" x14ac:dyDescent="0.25">
      <c r="H9998" s="134"/>
    </row>
    <row r="9999" spans="8:8" x14ac:dyDescent="0.25">
      <c r="H9999" s="134"/>
    </row>
    <row r="10000" spans="8:8" x14ac:dyDescent="0.25">
      <c r="H10000" s="134"/>
    </row>
  </sheetData>
  <autoFilter ref="A1:O391" xr:uid="{25F8DEE3-F39F-4EC3-830F-47A10D73EE36}">
    <filterColumn colId="0">
      <filters>
        <filter val="191"/>
        <filter val="324"/>
        <filter val="329"/>
        <filter val="332"/>
        <filter val="391"/>
        <filter val="39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P19"/>
  <sheetViews>
    <sheetView topLeftCell="A10" zoomScale="150" zoomScaleNormal="150" workbookViewId="0">
      <selection activeCell="K12" sqref="K12"/>
    </sheetView>
  </sheetViews>
  <sheetFormatPr defaultRowHeight="15" x14ac:dyDescent="0.25"/>
  <cols>
    <col min="2" max="2" width="15.28515625" customWidth="1"/>
    <col min="5" max="5" width="3.28515625" customWidth="1"/>
    <col min="6" max="6" width="4" customWidth="1"/>
    <col min="7" max="7" width="9.85546875" customWidth="1"/>
    <col min="8" max="8" width="27.140625" customWidth="1"/>
  </cols>
  <sheetData>
    <row r="1" spans="1:16" ht="15.75" thickBot="1" x14ac:dyDescent="0.3">
      <c r="A1" s="288" t="s">
        <v>416</v>
      </c>
      <c r="B1" s="289"/>
      <c r="C1" s="289"/>
      <c r="D1" s="289"/>
      <c r="E1" s="289"/>
      <c r="F1" s="289"/>
      <c r="G1" s="22">
        <v>232</v>
      </c>
      <c r="H1" s="23"/>
      <c r="J1" s="39" t="s">
        <v>268</v>
      </c>
      <c r="K1" s="39"/>
      <c r="L1" s="39"/>
      <c r="M1" s="39"/>
      <c r="N1" s="39"/>
      <c r="O1" s="39"/>
    </row>
    <row r="2" spans="1:16" ht="5.25" customHeight="1" x14ac:dyDescent="0.25">
      <c r="A2" s="24"/>
      <c r="B2" s="25"/>
      <c r="C2" s="25"/>
      <c r="D2" s="25"/>
      <c r="E2" s="25"/>
      <c r="F2" s="25"/>
      <c r="G2" s="26"/>
      <c r="H2" s="27"/>
    </row>
    <row r="3" spans="1:16" x14ac:dyDescent="0.25">
      <c r="A3" s="28" t="s">
        <v>412</v>
      </c>
      <c r="B3" s="19">
        <f>VLOOKUP($G$1,Table1[['#]:[Year]],2,FALSE)</f>
        <v>2021</v>
      </c>
      <c r="C3" s="25"/>
      <c r="D3" s="25"/>
      <c r="E3" s="25"/>
      <c r="F3" s="25"/>
      <c r="G3" s="29" t="s">
        <v>413</v>
      </c>
      <c r="H3" s="30">
        <f>VLOOKUP($G$1,Table1[['#]:[Hours]],7,FALSE)</f>
        <v>149.6619444443495</v>
      </c>
      <c r="N3" s="21"/>
      <c r="O3" s="21"/>
      <c r="P3" s="21"/>
    </row>
    <row r="4" spans="1:16" x14ac:dyDescent="0.25">
      <c r="A4" s="28" t="s">
        <v>411</v>
      </c>
      <c r="B4" s="20">
        <f>VLOOKUP($G$1,Table1[['#]:[Date]],3,FALSE)</f>
        <v>44251</v>
      </c>
      <c r="C4" s="25"/>
      <c r="D4" s="25"/>
      <c r="E4" s="25"/>
      <c r="F4" s="25"/>
      <c r="G4" s="31" t="s">
        <v>414</v>
      </c>
      <c r="H4" s="32" t="str">
        <f>VLOOKUP($G$1,Table1[['#]:[System]],8,FALSE)</f>
        <v>Cutter</v>
      </c>
      <c r="N4" s="21"/>
      <c r="O4" s="21"/>
      <c r="P4" s="21"/>
    </row>
    <row r="5" spans="1:16" x14ac:dyDescent="0.25">
      <c r="A5" s="28" t="s">
        <v>410</v>
      </c>
      <c r="B5" s="19" t="str">
        <f>VLOOKUP($G$1,Table1[['#]:[Vessel]],4,FALSE)</f>
        <v>Illinois</v>
      </c>
      <c r="C5" s="25"/>
      <c r="D5" s="25"/>
      <c r="E5" s="25"/>
      <c r="F5" s="25"/>
      <c r="G5" s="31" t="s">
        <v>415</v>
      </c>
      <c r="H5" s="32" t="str">
        <f>VLOOKUP($G$1,Table1[['#]:[Subsystem]],9,FALSE)</f>
        <v>Gear Box</v>
      </c>
      <c r="J5" s="39" t="s">
        <v>417</v>
      </c>
      <c r="K5" s="39"/>
      <c r="L5" s="39"/>
      <c r="M5" s="39"/>
    </row>
    <row r="6" spans="1:16" x14ac:dyDescent="0.25">
      <c r="A6" s="28" t="s">
        <v>409</v>
      </c>
      <c r="B6" s="19" t="str">
        <f>VLOOKUP($G$1,Table1[['#]:[Division]],5,FALSE)</f>
        <v>Hydraulic</v>
      </c>
      <c r="C6" s="25"/>
      <c r="D6" s="25"/>
      <c r="E6" s="25"/>
      <c r="F6" s="25"/>
      <c r="G6" s="31" t="s">
        <v>267</v>
      </c>
      <c r="H6" s="32">
        <f>VLOOKUP($G$1,Table1[['#]:[Work Order '#]],10,FALSE)</f>
        <v>4806414</v>
      </c>
      <c r="J6" s="39" t="s">
        <v>418</v>
      </c>
      <c r="K6" s="39"/>
      <c r="L6" s="39"/>
      <c r="M6" s="39"/>
    </row>
    <row r="7" spans="1:16" x14ac:dyDescent="0.25">
      <c r="A7" s="28" t="s">
        <v>64</v>
      </c>
      <c r="B7" s="19">
        <f>VLOOKUP($G$1,Table1[['#]:[MCIA '#]],6,FALSE)</f>
        <v>391</v>
      </c>
      <c r="C7" s="25" t="s">
        <v>498</v>
      </c>
      <c r="D7" s="25"/>
      <c r="E7" s="25"/>
      <c r="F7" s="25"/>
      <c r="G7" s="25"/>
      <c r="H7" s="27"/>
    </row>
    <row r="8" spans="1:16" ht="5.25" customHeight="1" x14ac:dyDescent="0.25">
      <c r="A8" s="33"/>
      <c r="B8" s="25"/>
      <c r="C8" s="25"/>
      <c r="D8" s="25"/>
      <c r="E8" s="25"/>
      <c r="F8" s="25"/>
      <c r="G8" s="25"/>
      <c r="H8" s="27"/>
    </row>
    <row r="9" spans="1:16" ht="13.5" customHeight="1" x14ac:dyDescent="0.25">
      <c r="A9" s="34" t="s">
        <v>408</v>
      </c>
      <c r="B9" s="290" t="str">
        <f>VLOOKUP($G$1,Table1[['#]:[Work Order Title]],12,FALSE)</f>
        <v>Replacement of Cutter gearbox HS input shaft bearings &amp; HS Intermediate shaft bearings.</v>
      </c>
      <c r="C9" s="290"/>
      <c r="D9" s="290"/>
      <c r="E9" s="290"/>
      <c r="F9" s="290"/>
      <c r="G9" s="290"/>
      <c r="H9" s="291"/>
    </row>
    <row r="10" spans="1:16" ht="5.25" customHeight="1" x14ac:dyDescent="0.25">
      <c r="A10" s="24"/>
      <c r="B10" s="25"/>
      <c r="C10" s="25"/>
      <c r="D10" s="25"/>
      <c r="E10" s="25"/>
      <c r="F10" s="25"/>
      <c r="G10" s="25"/>
      <c r="H10" s="27"/>
    </row>
    <row r="11" spans="1:16" x14ac:dyDescent="0.25">
      <c r="A11" s="24" t="s">
        <v>266</v>
      </c>
      <c r="B11" s="25"/>
      <c r="C11" s="25"/>
      <c r="D11" s="25"/>
      <c r="E11" s="25"/>
      <c r="F11" s="25"/>
      <c r="G11" s="31"/>
      <c r="H11" s="27"/>
    </row>
    <row r="12" spans="1:16" ht="34.5" customHeight="1" x14ac:dyDescent="0.25">
      <c r="A12" s="279" t="str">
        <f>VLOOKUP($G$1,Table1[['#]:[Delay Log Notes]],11,FALSE)</f>
        <v>None</v>
      </c>
      <c r="B12" s="280" t="str">
        <f>VLOOKUP($G$1,Table1[['#]:[Subsystem]],9,FALSE)</f>
        <v>Gear Box</v>
      </c>
      <c r="C12" s="280" t="str">
        <f>VLOOKUP($G$1,Table1[['#]:[Subsystem]],9,FALSE)</f>
        <v>Gear Box</v>
      </c>
      <c r="D12" s="280" t="str">
        <f>VLOOKUP($G$1,Table1[['#]:[Subsystem]],9,FALSE)</f>
        <v>Gear Box</v>
      </c>
      <c r="E12" s="280" t="str">
        <f>VLOOKUP($G$1,Table1[['#]:[Subsystem]],9,FALSE)</f>
        <v>Gear Box</v>
      </c>
      <c r="F12" s="280" t="str">
        <f>VLOOKUP($G$1,Table1[['#]:[Subsystem]],9,FALSE)</f>
        <v>Gear Box</v>
      </c>
      <c r="G12" s="280" t="str">
        <f>VLOOKUP($G$1,Table1[['#]:[Subsystem]],9,FALSE)</f>
        <v>Gear Box</v>
      </c>
      <c r="H12" s="281" t="str">
        <f>VLOOKUP($G$1,Table1[['#]:[Subsystem]],9,FALSE)</f>
        <v>Gear Box</v>
      </c>
    </row>
    <row r="13" spans="1:16" ht="6.75" customHeight="1" x14ac:dyDescent="0.25">
      <c r="A13" s="24"/>
      <c r="B13" s="25"/>
      <c r="C13" s="25"/>
      <c r="D13" s="25"/>
      <c r="E13" s="25"/>
      <c r="F13" s="25"/>
      <c r="G13" s="25"/>
      <c r="H13" s="27"/>
    </row>
    <row r="14" spans="1:16" x14ac:dyDescent="0.25">
      <c r="A14" s="282" t="s">
        <v>269</v>
      </c>
      <c r="B14" s="283"/>
      <c r="C14" s="283"/>
      <c r="D14" s="283"/>
      <c r="E14" s="283"/>
      <c r="F14" s="283"/>
      <c r="G14" s="283"/>
      <c r="H14" s="284"/>
    </row>
    <row r="15" spans="1:16" ht="409.5" customHeight="1" x14ac:dyDescent="0.25">
      <c r="A15" s="279" t="str">
        <f>VLOOKUP($G$1,Table1[['#]:[Work Order Notes / Findings]],13,FALSE)</f>
        <v>No Findings entered</v>
      </c>
      <c r="B15" s="280"/>
      <c r="C15" s="280"/>
      <c r="D15" s="280"/>
      <c r="E15" s="280"/>
      <c r="F15" s="280"/>
      <c r="G15" s="280"/>
      <c r="H15" s="281"/>
    </row>
    <row r="16" spans="1:16" ht="6.75" customHeight="1" x14ac:dyDescent="0.25">
      <c r="A16" s="24"/>
      <c r="B16" s="25"/>
      <c r="C16" s="25"/>
      <c r="D16" s="25"/>
      <c r="E16" s="25"/>
      <c r="F16" s="25"/>
      <c r="G16" s="25"/>
      <c r="H16" s="27"/>
    </row>
    <row r="17" spans="1:8" x14ac:dyDescent="0.25">
      <c r="A17" s="35" t="s">
        <v>270</v>
      </c>
      <c r="B17" s="25"/>
      <c r="C17" s="25" t="s">
        <v>271</v>
      </c>
      <c r="D17" s="25"/>
      <c r="E17" s="25"/>
      <c r="F17" s="25"/>
      <c r="G17" s="25"/>
      <c r="H17" s="27"/>
    </row>
    <row r="18" spans="1:8" ht="56.25" customHeight="1" x14ac:dyDescent="0.25">
      <c r="A18" s="285">
        <f>VLOOKUP($G$1,Table1[['#]:[Contributing Factors]],14,FALSE)</f>
        <v>0</v>
      </c>
      <c r="B18" s="286"/>
      <c r="C18" s="286"/>
      <c r="D18" s="286"/>
      <c r="E18" s="286"/>
      <c r="F18" s="286"/>
      <c r="G18" s="286"/>
      <c r="H18" s="287"/>
    </row>
    <row r="19" spans="1:8" ht="15.75" thickBot="1" x14ac:dyDescent="0.3">
      <c r="A19" s="36"/>
      <c r="B19" s="37"/>
      <c r="C19" s="37"/>
      <c r="D19" s="37"/>
      <c r="E19" s="37"/>
      <c r="F19" s="37"/>
      <c r="G19" s="37"/>
      <c r="H19" s="38"/>
    </row>
  </sheetData>
  <mergeCells count="6">
    <mergeCell ref="A12:H12"/>
    <mergeCell ref="A15:H15"/>
    <mergeCell ref="A14:H14"/>
    <mergeCell ref="A18:H18"/>
    <mergeCell ref="A1:F1"/>
    <mergeCell ref="B9:H9"/>
  </mergeCell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SpinButton1">
          <controlPr defaultSize="0" autoLine="0" linkedCell="G1" r:id="rId5">
            <anchor moveWithCells="1">
              <from>
                <xdr:col>7</xdr:col>
                <xdr:colOff>19050</xdr:colOff>
                <xdr:row>0</xdr:row>
                <xdr:rowOff>19050</xdr:rowOff>
              </from>
              <to>
                <xdr:col>7</xdr:col>
                <xdr:colOff>485775</xdr:colOff>
                <xdr:row>1</xdr:row>
                <xdr:rowOff>0</xdr:rowOff>
              </to>
            </anchor>
          </controlPr>
        </control>
      </mc:Choice>
      <mc:Fallback>
        <control shapeId="1025" r:id="rId4" name="Spin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39997558519241921"/>
  </sheetPr>
  <dimension ref="A1:P111"/>
  <sheetViews>
    <sheetView workbookViewId="0">
      <pane ySplit="3" topLeftCell="A4" activePane="bottomLeft" state="frozen"/>
      <selection activeCell="I56" sqref="I56"/>
      <selection pane="bottomLeft" activeCell="I56" sqref="I56"/>
    </sheetView>
  </sheetViews>
  <sheetFormatPr defaultRowHeight="15" x14ac:dyDescent="0.25"/>
  <cols>
    <col min="1" max="1" width="13.140625" style="1" hidden="1" customWidth="1"/>
    <col min="2" max="2" width="14.28515625" style="108" bestFit="1" customWidth="1"/>
    <col min="3" max="3" width="10.140625" style="107" bestFit="1" customWidth="1"/>
    <col min="4" max="4" width="9" style="3" bestFit="1" customWidth="1"/>
    <col min="5" max="5" width="40.85546875" style="1" customWidth="1"/>
    <col min="6" max="6" width="19.28515625" style="109" customWidth="1"/>
    <col min="7" max="7" width="52" style="7" customWidth="1"/>
    <col min="8" max="8" width="7.85546875" bestFit="1" customWidth="1"/>
    <col min="9" max="9" width="51.28515625" bestFit="1" customWidth="1"/>
    <col min="10" max="10" width="10.7109375" bestFit="1" customWidth="1"/>
    <col min="11" max="11" width="16.5703125" bestFit="1" customWidth="1"/>
    <col min="12" max="12" width="21.140625" bestFit="1" customWidth="1"/>
    <col min="13" max="13" width="10.28515625" customWidth="1"/>
    <col min="14" max="14" width="10.140625" customWidth="1"/>
    <col min="15" max="15" width="19.5703125" bestFit="1" customWidth="1"/>
    <col min="16" max="16" width="11.85546875" customWidth="1"/>
  </cols>
  <sheetData>
    <row r="1" spans="1:16" x14ac:dyDescent="0.25">
      <c r="E1" s="11" t="s">
        <v>606</v>
      </c>
    </row>
    <row r="3" spans="1:16" ht="60" x14ac:dyDescent="0.25">
      <c r="A3" s="106" t="s">
        <v>625</v>
      </c>
      <c r="B3" s="117" t="s">
        <v>588</v>
      </c>
      <c r="C3" s="118" t="s">
        <v>589</v>
      </c>
      <c r="D3" s="119" t="s">
        <v>590</v>
      </c>
      <c r="E3" s="120" t="s">
        <v>591</v>
      </c>
      <c r="F3" s="114" t="s">
        <v>592</v>
      </c>
      <c r="G3" s="113" t="s">
        <v>605</v>
      </c>
      <c r="H3" s="113" t="s">
        <v>1276</v>
      </c>
      <c r="I3" s="113" t="s">
        <v>1277</v>
      </c>
      <c r="J3" s="113" t="s">
        <v>657</v>
      </c>
      <c r="K3" s="113" t="s">
        <v>652</v>
      </c>
      <c r="L3" s="113" t="s">
        <v>655</v>
      </c>
      <c r="M3" s="113" t="s">
        <v>653</v>
      </c>
      <c r="N3" s="113" t="s">
        <v>654</v>
      </c>
      <c r="O3" s="113" t="s">
        <v>2273</v>
      </c>
      <c r="P3" s="113" t="s">
        <v>660</v>
      </c>
    </row>
    <row r="4" spans="1:16" x14ac:dyDescent="0.25">
      <c r="A4" s="1">
        <v>1</v>
      </c>
      <c r="B4" s="108" t="str">
        <f>VLOOKUP($A4,Table1[['#]:[Vessel]],4,FALSE)</f>
        <v>Sugar Island</v>
      </c>
      <c r="C4" s="107">
        <f>VLOOKUP($A4,Table1[['#]:[Date]],3,FALSE)</f>
        <v>42736</v>
      </c>
      <c r="D4" s="3">
        <f>VLOOKUP($A4,Table1[['#]:[Hours]],7,FALSE)</f>
        <v>105.85</v>
      </c>
      <c r="E4" s="3" t="str">
        <f>VLOOKUP($A4,Table1[['#]:[System]],8,FALSE)&amp;" / "&amp;VLOOKUP($A4,Table1[['#]:[Subsystem]],9,FALSE)</f>
        <v>Piping / Hoses / Deck Discharge Pipe</v>
      </c>
      <c r="F4" s="108" t="str">
        <f>VLOOKUP($A4,Table1[['#]:[Work Order '#]],10,FALSE)</f>
        <v>None</v>
      </c>
      <c r="G4" s="110" t="str">
        <f>VLOOKUP($A4,Table1[['#]:[Delay Log Notes]],11,FALSE)</f>
        <v>pipe broken</v>
      </c>
      <c r="H4" s="1" t="str">
        <f>_xlfn.IFNA(VLOOKUP(A4,'EDL Data'!$A$2:$M$1245,6,FALSE)," ")</f>
        <v>None</v>
      </c>
      <c r="I4" s="1" t="str">
        <f>_xlfn.IFNA(VLOOKUP(H4,'MCIA Cases'!$A$2:$R$1091,2,FALSE)," ")</f>
        <v xml:space="preserve"> </v>
      </c>
      <c r="J4" s="1" t="str">
        <f>_xlfn.IFNA(VLOOKUP(H4,'MCIA Cases'!$A$2:$R$1091,9,FALSE)," ")</f>
        <v xml:space="preserve"> </v>
      </c>
      <c r="K4" s="1" t="str">
        <f>_xlfn.IFNA(VLOOKUP(H4,'MCIA Cases'!$A$2:$R$1091,10,FALSE)," ")</f>
        <v xml:space="preserve"> </v>
      </c>
      <c r="L4" s="1" t="str">
        <f>_xlfn.IFNA(VLOOKUP(H4,'MCIA Cases'!$A$2:$R$1091,3,FALSE)," ")</f>
        <v xml:space="preserve"> </v>
      </c>
      <c r="M4" s="1" t="str">
        <f>IF(COUNTIF('MCIA Corrective Actions'!$A:$A,H4)=0," ",COUNTIF('MCIA Corrective Actions'!$A:$A,H4))</f>
        <v xml:space="preserve"> </v>
      </c>
      <c r="N4" s="1" t="str">
        <f>IF(COUNTIF('MCIA Corrective Actions'!$A:$A,H4)=0," ",COUNTIFS('MCIA Corrective Actions'!$A:$A,H4,'MCIA Corrective Actions'!N:N,"Yes"))</f>
        <v xml:space="preserve"> </v>
      </c>
      <c r="O4" s="1" t="str">
        <f>_xlfn.IFNA(VLOOKUP(H4,'MCIA Corrective Actions'!$A$2:$R$1092,6,FALSE)," ")</f>
        <v xml:space="preserve"> </v>
      </c>
      <c r="P4" s="1"/>
    </row>
    <row r="5" spans="1:16" x14ac:dyDescent="0.25">
      <c r="A5" s="1">
        <v>2</v>
      </c>
      <c r="B5" s="108" t="str">
        <f>VLOOKUP($A5,Table1[['#]:[Vessel]],4,FALSE)</f>
        <v>Sugar Island</v>
      </c>
      <c r="C5" s="107">
        <f>VLOOKUP($A5,Table1[['#]:[Date]],3,FALSE)</f>
        <v>42747</v>
      </c>
      <c r="D5" s="3">
        <f>VLOOKUP($A5,Table1[['#]:[Hours]],7,FALSE)</f>
        <v>46.74</v>
      </c>
      <c r="E5" s="3" t="str">
        <f>VLOOKUP($A5,Table1[['#]:[System]],8,FALSE)&amp;" / "&amp;VLOOKUP($A5,Table1[['#]:[Subsystem]],9,FALSE)</f>
        <v>Piping / Hoses / Hose Reel Repair</v>
      </c>
      <c r="F5" s="108" t="str">
        <f>VLOOKUP($A5,Table1[['#]:[Work Order '#]],10,FALSE)</f>
        <v>None</v>
      </c>
      <c r="G5" s="110" t="str">
        <f>VLOOKUP($A5,Table1[['#]:[Delay Log Notes]],11,FALSE)</f>
        <v>None</v>
      </c>
      <c r="H5" s="1" t="str">
        <f>_xlfn.IFNA(VLOOKUP(A5,'EDL Data'!$A$2:$M$1245,6,FALSE)," ")</f>
        <v>None</v>
      </c>
      <c r="I5" s="1" t="str">
        <f>_xlfn.IFNA(VLOOKUP(H5,'MCIA Cases'!$A$2:$R$1091,2,FALSE)," ")</f>
        <v xml:space="preserve"> </v>
      </c>
      <c r="J5" s="1" t="str">
        <f>_xlfn.IFNA(VLOOKUP(H5,'MCIA Cases'!$A$2:$R$1091,9,FALSE)," ")</f>
        <v xml:space="preserve"> </v>
      </c>
      <c r="K5" s="1" t="str">
        <f>_xlfn.IFNA(VLOOKUP(H5,'MCIA Cases'!$A$2:$R$1091,10,FALSE)," ")</f>
        <v xml:space="preserve"> </v>
      </c>
      <c r="L5" s="1" t="str">
        <f>_xlfn.IFNA(VLOOKUP(H5,'MCIA Cases'!$A$2:$R$1091,3,FALSE)," ")</f>
        <v xml:space="preserve"> </v>
      </c>
      <c r="M5" s="1" t="str">
        <f>IF(COUNTIF('MCIA Corrective Actions'!$A:$A,H5)=0," ",COUNTIF('MCIA Corrective Actions'!$A:$A,H5))</f>
        <v xml:space="preserve"> </v>
      </c>
      <c r="N5" s="1" t="str">
        <f>IF(COUNTIF('MCIA Corrective Actions'!$A:$A,H5)=0," ",COUNTIFS('MCIA Corrective Actions'!$A:$A,H5,'MCIA Corrective Actions'!N:N,"Yes"))</f>
        <v xml:space="preserve"> </v>
      </c>
      <c r="O5" s="1" t="str">
        <f>_xlfn.IFNA(VLOOKUP(H5,'MCIA Corrective Actions'!$A$2:$R$1092,6,FALSE)," ")</f>
        <v xml:space="preserve"> </v>
      </c>
      <c r="P5" s="1"/>
    </row>
    <row r="6" spans="1:16" x14ac:dyDescent="0.25">
      <c r="A6" s="1">
        <v>3</v>
      </c>
      <c r="B6" s="108" t="str">
        <f>VLOOKUP($A6,Table1[['#]:[Vessel]],4,FALSE)</f>
        <v>Alaska</v>
      </c>
      <c r="C6" s="107">
        <f>VLOOKUP($A6,Table1[['#]:[Date]],3,FALSE)</f>
        <v>42749</v>
      </c>
      <c r="D6" s="3">
        <f>VLOOKUP($A6,Table1[['#]:[Hours]],7,FALSE)</f>
        <v>37.61</v>
      </c>
      <c r="E6" s="3" t="str">
        <f>VLOOKUP($A6,Table1[['#]:[System]],8,FALSE)&amp;" / "&amp;VLOOKUP($A6,Table1[['#]:[Subsystem]],9,FALSE)</f>
        <v>Ladder Pump / Pump Leak</v>
      </c>
      <c r="F6" s="108">
        <f>VLOOKUP($A6,Table1[['#]:[Work Order '#]],10,FALSE)</f>
        <v>4191620</v>
      </c>
      <c r="G6" s="110" t="str">
        <f>VLOOKUP($A6,Table1[['#]:[Delay Log Notes]],11,FALSE)</f>
        <v>Ladder pump discharge elbow leak</v>
      </c>
      <c r="H6" s="1" t="str">
        <f>_xlfn.IFNA(VLOOKUP(A6,'EDL Data'!$A$2:$M$1245,6,FALSE)," ")</f>
        <v>None</v>
      </c>
      <c r="I6" s="1" t="str">
        <f>_xlfn.IFNA(VLOOKUP(H6,'MCIA Cases'!$A$2:$R$1091,2,FALSE)," ")</f>
        <v xml:space="preserve"> </v>
      </c>
      <c r="J6" s="1" t="str">
        <f>_xlfn.IFNA(VLOOKUP(H6,'MCIA Cases'!$A$2:$R$1091,9,FALSE)," ")</f>
        <v xml:space="preserve"> </v>
      </c>
      <c r="K6" s="1" t="str">
        <f>_xlfn.IFNA(VLOOKUP(H6,'MCIA Cases'!$A$2:$R$1091,10,FALSE)," ")</f>
        <v xml:space="preserve"> </v>
      </c>
      <c r="L6" s="1" t="str">
        <f>_xlfn.IFNA(VLOOKUP(H6,'MCIA Cases'!$A$2:$R$1091,3,FALSE)," ")</f>
        <v xml:space="preserve"> </v>
      </c>
      <c r="M6" s="1" t="str">
        <f>IF(COUNTIF('MCIA Corrective Actions'!$A:$A,H6)=0," ",COUNTIF('MCIA Corrective Actions'!$A:$A,H6))</f>
        <v xml:space="preserve"> </v>
      </c>
      <c r="N6" s="1" t="str">
        <f>IF(COUNTIF('MCIA Corrective Actions'!$A:$A,H6)=0," ",COUNTIFS('MCIA Corrective Actions'!$A:$A,H6,'MCIA Corrective Actions'!N:N,"Yes"))</f>
        <v xml:space="preserve"> </v>
      </c>
      <c r="O6" s="1" t="str">
        <f>_xlfn.IFNA(VLOOKUP(H6,'MCIA Corrective Actions'!$A$2:$R$1092,6,FALSE)," ")</f>
        <v xml:space="preserve"> </v>
      </c>
      <c r="P6" s="1"/>
    </row>
    <row r="7" spans="1:16" x14ac:dyDescent="0.25">
      <c r="A7" s="1">
        <v>4</v>
      </c>
      <c r="B7" s="108" t="str">
        <f>VLOOKUP($A7,Table1[['#]:[Vessel]],4,FALSE)</f>
        <v>Illinois</v>
      </c>
      <c r="C7" s="107">
        <f>VLOOKUP($A7,Table1[['#]:[Date]],3,FALSE)</f>
        <v>42769</v>
      </c>
      <c r="D7" s="3">
        <f>VLOOKUP($A7,Table1[['#]:[Hours]],7,FALSE)</f>
        <v>69.239999999999995</v>
      </c>
      <c r="E7" s="3" t="str">
        <f>VLOOKUP($A7,Table1[['#]:[System]],8,FALSE)&amp;" / "&amp;VLOOKUP($A7,Table1[['#]:[Subsystem]],9,FALSE)</f>
        <v>Main Pump / Engine/Motor</v>
      </c>
      <c r="F7" s="108">
        <f>VLOOKUP($A7,Table1[['#]:[Work Order '#]],10,FALSE)</f>
        <v>4192535</v>
      </c>
      <c r="G7" s="110" t="str">
        <f>VLOOKUP($A7,Table1[['#]:[Delay Log Notes]],11,FALSE)</f>
        <v>Turbo Stbd eng</v>
      </c>
      <c r="H7" s="1" t="str">
        <f>_xlfn.IFNA(VLOOKUP(A7,'EDL Data'!$A$2:$M$1245,6,FALSE)," ")</f>
        <v>None</v>
      </c>
      <c r="I7" s="1" t="str">
        <f>_xlfn.IFNA(VLOOKUP(H7,'MCIA Cases'!$A$2:$R$1091,2,FALSE)," ")</f>
        <v xml:space="preserve"> </v>
      </c>
      <c r="J7" s="1" t="str">
        <f>_xlfn.IFNA(VLOOKUP(H7,'MCIA Cases'!$A$2:$R$1091,9,FALSE)," ")</f>
        <v xml:space="preserve"> </v>
      </c>
      <c r="K7" s="1" t="str">
        <f>_xlfn.IFNA(VLOOKUP(H7,'MCIA Cases'!$A$2:$R$1091,10,FALSE)," ")</f>
        <v xml:space="preserve"> </v>
      </c>
      <c r="L7" s="1" t="str">
        <f>_xlfn.IFNA(VLOOKUP(H7,'MCIA Cases'!$A$2:$R$1091,3,FALSE)," ")</f>
        <v xml:space="preserve"> </v>
      </c>
      <c r="M7" s="1" t="str">
        <f>IF(COUNTIF('MCIA Corrective Actions'!$A:$A,H7)=0," ",COUNTIF('MCIA Corrective Actions'!$A:$A,H7))</f>
        <v xml:space="preserve"> </v>
      </c>
      <c r="N7" s="1" t="str">
        <f>IF(COUNTIF('MCIA Corrective Actions'!$A:$A,H7)=0," ",COUNTIFS('MCIA Corrective Actions'!$A:$A,H7,'MCIA Corrective Actions'!N:N,"Yes"))</f>
        <v xml:space="preserve"> </v>
      </c>
      <c r="O7" s="1" t="str">
        <f>_xlfn.IFNA(VLOOKUP(H7,'MCIA Corrective Actions'!$A$2:$R$1092,6,FALSE)," ")</f>
        <v xml:space="preserve"> </v>
      </c>
      <c r="P7" s="1"/>
    </row>
    <row r="8" spans="1:16" x14ac:dyDescent="0.25">
      <c r="A8" s="1">
        <v>5</v>
      </c>
      <c r="B8" s="108" t="str">
        <f>VLOOKUP($A8,Table1[['#]:[Vessel]],4,FALSE)</f>
        <v>Illinois</v>
      </c>
      <c r="C8" s="107">
        <f>VLOOKUP($A8,Table1[['#]:[Date]],3,FALSE)</f>
        <v>42784</v>
      </c>
      <c r="D8" s="3">
        <f>VLOOKUP($A8,Table1[['#]:[Hours]],7,FALSE)</f>
        <v>291.83</v>
      </c>
      <c r="E8" s="3" t="str">
        <f>VLOOKUP($A8,Table1[['#]:[System]],8,FALSE)&amp;" / "&amp;VLOOKUP($A8,Table1[['#]:[Subsystem]],9,FALSE)</f>
        <v>Cutter / Motor (Cutter Shaft)</v>
      </c>
      <c r="F8" s="108">
        <f>VLOOKUP($A8,Table1[['#]:[Work Order '#]],10,FALSE)</f>
        <v>4192979</v>
      </c>
      <c r="G8" s="110" t="str">
        <f>VLOOKUP($A8,Table1[['#]:[Delay Log Notes]],11,FALSE)</f>
        <v>None</v>
      </c>
      <c r="H8" s="1" t="str">
        <f>_xlfn.IFNA(VLOOKUP(A8,'EDL Data'!$A$2:$M$1245,6,FALSE)," ")</f>
        <v>None</v>
      </c>
      <c r="I8" s="1" t="str">
        <f>_xlfn.IFNA(VLOOKUP(H8,'MCIA Cases'!$A$2:$R$1091,2,FALSE)," ")</f>
        <v xml:space="preserve"> </v>
      </c>
      <c r="J8" s="1" t="str">
        <f>_xlfn.IFNA(VLOOKUP(H8,'MCIA Cases'!$A$2:$R$1091,9,FALSE)," ")</f>
        <v xml:space="preserve"> </v>
      </c>
      <c r="K8" s="1" t="str">
        <f>_xlfn.IFNA(VLOOKUP(H8,'MCIA Cases'!$A$2:$R$1091,10,FALSE)," ")</f>
        <v xml:space="preserve"> </v>
      </c>
      <c r="L8" s="1" t="str">
        <f>_xlfn.IFNA(VLOOKUP(H8,'MCIA Cases'!$A$2:$R$1091,3,FALSE)," ")</f>
        <v xml:space="preserve"> </v>
      </c>
      <c r="M8" s="1" t="str">
        <f>IF(COUNTIF('MCIA Corrective Actions'!$A:$A,H8)=0," ",COUNTIF('MCIA Corrective Actions'!$A:$A,H8))</f>
        <v xml:space="preserve"> </v>
      </c>
      <c r="N8" s="1" t="str">
        <f>IF(COUNTIF('MCIA Corrective Actions'!$A:$A,H8)=0," ",COUNTIFS('MCIA Corrective Actions'!$A:$A,H8,'MCIA Corrective Actions'!N:N,"Yes"))</f>
        <v xml:space="preserve"> </v>
      </c>
      <c r="O8" s="1" t="str">
        <f>_xlfn.IFNA(VLOOKUP(H8,'MCIA Corrective Actions'!$A$2:$R$1092,6,FALSE)," ")</f>
        <v xml:space="preserve"> </v>
      </c>
      <c r="P8" s="1"/>
    </row>
    <row r="9" spans="1:16" x14ac:dyDescent="0.25">
      <c r="A9" s="1">
        <v>6</v>
      </c>
      <c r="B9" s="108" t="str">
        <f>VLOOKUP($A9,Table1[['#]:[Vessel]],4,FALSE)</f>
        <v>Alaska</v>
      </c>
      <c r="C9" s="107">
        <f>VLOOKUP($A9,Table1[['#]:[Date]],3,FALSE)</f>
        <v>42805</v>
      </c>
      <c r="D9" s="3">
        <f>VLOOKUP($A9,Table1[['#]:[Hours]],7,FALSE)</f>
        <v>649.58000000000004</v>
      </c>
      <c r="E9" s="3" t="str">
        <f>VLOOKUP($A9,Table1[['#]:[System]],8,FALSE)&amp;" / "&amp;VLOOKUP($A9,Table1[['#]:[Subsystem]],9,FALSE)</f>
        <v>Other / Other</v>
      </c>
      <c r="F9" s="108">
        <f>VLOOKUP($A9,Table1[['#]:[Work Order '#]],10,FALSE)</f>
        <v>1727123</v>
      </c>
      <c r="G9" s="110" t="str">
        <f>VLOOKUP($A9,Table1[['#]:[Delay Log Notes]],11,FALSE)</f>
        <v>Cutter</v>
      </c>
      <c r="H9" s="1" t="str">
        <f>_xlfn.IFNA(VLOOKUP(A9,'EDL Data'!$A$2:$M$1245,6,FALSE)," ")</f>
        <v>None</v>
      </c>
      <c r="I9" s="1" t="str">
        <f>_xlfn.IFNA(VLOOKUP(H9,'MCIA Cases'!$A$2:$R$1091,2,FALSE)," ")</f>
        <v xml:space="preserve"> </v>
      </c>
      <c r="J9" s="1" t="str">
        <f>_xlfn.IFNA(VLOOKUP(H9,'MCIA Cases'!$A$2:$R$1091,9,FALSE)," ")</f>
        <v xml:space="preserve"> </v>
      </c>
      <c r="K9" s="1" t="str">
        <f>_xlfn.IFNA(VLOOKUP(H9,'MCIA Cases'!$A$2:$R$1091,10,FALSE)," ")</f>
        <v xml:space="preserve"> </v>
      </c>
      <c r="L9" s="1" t="str">
        <f>_xlfn.IFNA(VLOOKUP(H9,'MCIA Cases'!$A$2:$R$1091,3,FALSE)," ")</f>
        <v xml:space="preserve"> </v>
      </c>
      <c r="M9" s="1" t="str">
        <f>IF(COUNTIF('MCIA Corrective Actions'!$A:$A,H9)=0," ",COUNTIF('MCIA Corrective Actions'!$A:$A,H9))</f>
        <v xml:space="preserve"> </v>
      </c>
      <c r="N9" s="1" t="str">
        <f>IF(COUNTIF('MCIA Corrective Actions'!$A:$A,H9)=0," ",COUNTIFS('MCIA Corrective Actions'!$A:$A,H9,'MCIA Corrective Actions'!N:N,"Yes"))</f>
        <v xml:space="preserve"> </v>
      </c>
      <c r="O9" s="1" t="str">
        <f>_xlfn.IFNA(VLOOKUP(H9,'MCIA Corrective Actions'!$A$2:$R$1092,6,FALSE)," ")</f>
        <v xml:space="preserve"> </v>
      </c>
      <c r="P9" s="1"/>
    </row>
    <row r="10" spans="1:16" x14ac:dyDescent="0.25">
      <c r="A10" s="1">
        <v>7</v>
      </c>
      <c r="B10" s="108">
        <f>VLOOKUP($A10,Table1[['#]:[Vessel]],4,FALSE)</f>
        <v>54</v>
      </c>
      <c r="C10" s="107">
        <f>VLOOKUP($A10,Table1[['#]:[Date]],3,FALSE)</f>
        <v>42821</v>
      </c>
      <c r="D10" s="3">
        <f>VLOOKUP($A10,Table1[['#]:[Hours]],7,FALSE)</f>
        <v>45.2</v>
      </c>
      <c r="E10" s="3" t="str">
        <f>VLOOKUP($A10,Table1[['#]:[System]],8,FALSE)&amp;" / "&amp;VLOOKUP($A10,Table1[['#]:[Subsystem]],9,FALSE)</f>
        <v>Main / Aux. Generators / Main Generator Eng</v>
      </c>
      <c r="F10" s="108">
        <f>VLOOKUP($A10,Table1[['#]:[Work Order '#]],10,FALSE)</f>
        <v>1699399</v>
      </c>
      <c r="G10" s="110" t="str">
        <f>VLOOKUP($A10,Table1[['#]:[Delay Log Notes]],11,FALSE)</f>
        <v>None</v>
      </c>
      <c r="H10" s="1" t="str">
        <f>_xlfn.IFNA(VLOOKUP(A10,'EDL Data'!$A$2:$M$1245,6,FALSE)," ")</f>
        <v>None</v>
      </c>
      <c r="I10" s="1" t="str">
        <f>_xlfn.IFNA(VLOOKUP(H10,'MCIA Cases'!$A$2:$R$1091,2,FALSE)," ")</f>
        <v xml:space="preserve"> </v>
      </c>
      <c r="J10" s="1" t="str">
        <f>_xlfn.IFNA(VLOOKUP(H10,'MCIA Cases'!$A$2:$R$1091,9,FALSE)," ")</f>
        <v xml:space="preserve"> </v>
      </c>
      <c r="K10" s="1" t="str">
        <f>_xlfn.IFNA(VLOOKUP(H10,'MCIA Cases'!$A$2:$R$1091,10,FALSE)," ")</f>
        <v xml:space="preserve"> </v>
      </c>
      <c r="L10" s="1" t="str">
        <f>_xlfn.IFNA(VLOOKUP(H10,'MCIA Cases'!$A$2:$R$1091,3,FALSE)," ")</f>
        <v xml:space="preserve"> </v>
      </c>
      <c r="M10" s="1" t="str">
        <f>IF(COUNTIF('MCIA Corrective Actions'!$A:$A,H10)=0," ",COUNTIF('MCIA Corrective Actions'!$A:$A,H10))</f>
        <v xml:space="preserve"> </v>
      </c>
      <c r="N10" s="1" t="str">
        <f>IF(COUNTIF('MCIA Corrective Actions'!$A:$A,H10)=0," ",COUNTIFS('MCIA Corrective Actions'!$A:$A,H10,'MCIA Corrective Actions'!N:N,"Yes"))</f>
        <v xml:space="preserve"> </v>
      </c>
      <c r="O10" s="1" t="str">
        <f>_xlfn.IFNA(VLOOKUP(H10,'MCIA Corrective Actions'!$A$2:$R$1092,6,FALSE)," ")</f>
        <v xml:space="preserve"> </v>
      </c>
      <c r="P10" s="1"/>
    </row>
    <row r="11" spans="1:16" x14ac:dyDescent="0.25">
      <c r="A11" s="1">
        <v>8</v>
      </c>
      <c r="B11" s="108">
        <f>VLOOKUP($A11,Table1[['#]:[Vessel]],4,FALSE)</f>
        <v>55</v>
      </c>
      <c r="C11" s="107">
        <f>VLOOKUP($A11,Table1[['#]:[Date]],3,FALSE)</f>
        <v>42823</v>
      </c>
      <c r="D11" s="3">
        <f>VLOOKUP($A11,Table1[['#]:[Hours]],7,FALSE)</f>
        <v>25.93</v>
      </c>
      <c r="E11" s="3" t="str">
        <f>VLOOKUP($A11,Table1[['#]:[System]],8,FALSE)&amp;" / "&amp;VLOOKUP($A11,Table1[['#]:[Subsystem]],9,FALSE)</f>
        <v>Tagline / Tagline Winch</v>
      </c>
      <c r="F11" s="108">
        <f>VLOOKUP($A11,Table1[['#]:[Work Order '#]],10,FALSE)</f>
        <v>4194401</v>
      </c>
      <c r="G11" s="110" t="str">
        <f>VLOOKUP($A11,Table1[['#]:[Delay Log Notes]],11,FALSE)</f>
        <v>fire; burnt up</v>
      </c>
      <c r="H11" s="1" t="str">
        <f>_xlfn.IFNA(VLOOKUP(A11,'EDL Data'!$A$2:$M$1245,6,FALSE)," ")</f>
        <v>None</v>
      </c>
      <c r="I11" s="1" t="str">
        <f>_xlfn.IFNA(VLOOKUP(H11,'MCIA Cases'!$A$2:$R$1091,2,FALSE)," ")</f>
        <v xml:space="preserve"> </v>
      </c>
      <c r="J11" s="1" t="str">
        <f>_xlfn.IFNA(VLOOKUP(H11,'MCIA Cases'!$A$2:$R$1091,9,FALSE)," ")</f>
        <v xml:space="preserve"> </v>
      </c>
      <c r="K11" s="1" t="str">
        <f>_xlfn.IFNA(VLOOKUP(H11,'MCIA Cases'!$A$2:$R$1091,10,FALSE)," ")</f>
        <v xml:space="preserve"> </v>
      </c>
      <c r="L11" s="1" t="str">
        <f>_xlfn.IFNA(VLOOKUP(H11,'MCIA Cases'!$A$2:$R$1091,3,FALSE)," ")</f>
        <v xml:space="preserve"> </v>
      </c>
      <c r="M11" s="1" t="str">
        <f>IF(COUNTIF('MCIA Corrective Actions'!$A:$A,H11)=0," ",COUNTIF('MCIA Corrective Actions'!$A:$A,H11))</f>
        <v xml:space="preserve"> </v>
      </c>
      <c r="N11" s="1" t="str">
        <f>IF(COUNTIF('MCIA Corrective Actions'!$A:$A,H11)=0," ",COUNTIFS('MCIA Corrective Actions'!$A:$A,H11,'MCIA Corrective Actions'!N:N,"Yes"))</f>
        <v xml:space="preserve"> </v>
      </c>
      <c r="O11" s="1" t="str">
        <f>_xlfn.IFNA(VLOOKUP(H11,'MCIA Corrective Actions'!$A$2:$R$1092,6,FALSE)," ")</f>
        <v xml:space="preserve"> </v>
      </c>
      <c r="P11" s="1"/>
    </row>
    <row r="12" spans="1:16" x14ac:dyDescent="0.25">
      <c r="A12" s="1">
        <v>9</v>
      </c>
      <c r="B12" s="108">
        <f>VLOOKUP($A12,Table1[['#]:[Vessel]],4,FALSE)</f>
        <v>55</v>
      </c>
      <c r="C12" s="107">
        <f>VLOOKUP($A12,Table1[['#]:[Date]],3,FALSE)</f>
        <v>42824</v>
      </c>
      <c r="D12" s="3">
        <f>VLOOKUP($A12,Table1[['#]:[Hours]],7,FALSE)</f>
        <v>33.520000000000003</v>
      </c>
      <c r="E12" s="3" t="str">
        <f>VLOOKUP($A12,Table1[['#]:[System]],8,FALSE)&amp;" / "&amp;VLOOKUP($A12,Table1[['#]:[Subsystem]],9,FALSE)</f>
        <v>Crane Boom / Boom Winch</v>
      </c>
      <c r="F12" s="108">
        <f>VLOOKUP($A12,Table1[['#]:[Work Order '#]],10,FALSE)</f>
        <v>4194405</v>
      </c>
      <c r="G12" s="110" t="str">
        <f>VLOOKUP($A12,Table1[['#]:[Delay Log Notes]],11,FALSE)</f>
        <v>crack in fishplate of boom hoist support structure</v>
      </c>
      <c r="H12" s="1" t="str">
        <f>_xlfn.IFNA(VLOOKUP(A12,'EDL Data'!$A$2:$M$1245,6,FALSE)," ")</f>
        <v>None</v>
      </c>
      <c r="I12" s="1" t="str">
        <f>_xlfn.IFNA(VLOOKUP(H12,'MCIA Cases'!$A$2:$R$1091,2,FALSE)," ")</f>
        <v xml:space="preserve"> </v>
      </c>
      <c r="J12" s="1" t="str">
        <f>_xlfn.IFNA(VLOOKUP(H12,'MCIA Cases'!$A$2:$R$1091,9,FALSE)," ")</f>
        <v xml:space="preserve"> </v>
      </c>
      <c r="K12" s="1" t="str">
        <f>_xlfn.IFNA(VLOOKUP(H12,'MCIA Cases'!$A$2:$R$1091,10,FALSE)," ")</f>
        <v xml:space="preserve"> </v>
      </c>
      <c r="L12" s="1" t="str">
        <f>_xlfn.IFNA(VLOOKUP(H12,'MCIA Cases'!$A$2:$R$1091,3,FALSE)," ")</f>
        <v xml:space="preserve"> </v>
      </c>
      <c r="M12" s="1" t="str">
        <f>IF(COUNTIF('MCIA Corrective Actions'!$A:$A,H12)=0," ",COUNTIF('MCIA Corrective Actions'!$A:$A,H12))</f>
        <v xml:space="preserve"> </v>
      </c>
      <c r="N12" s="1" t="str">
        <f>IF(COUNTIF('MCIA Corrective Actions'!$A:$A,H12)=0," ",COUNTIFS('MCIA Corrective Actions'!$A:$A,H12,'MCIA Corrective Actions'!N:N,"Yes"))</f>
        <v xml:space="preserve"> </v>
      </c>
      <c r="O12" s="1" t="str">
        <f>_xlfn.IFNA(VLOOKUP(H12,'MCIA Corrective Actions'!$A$2:$R$1092,6,FALSE)," ")</f>
        <v xml:space="preserve"> </v>
      </c>
      <c r="P12" s="1"/>
    </row>
    <row r="13" spans="1:16" x14ac:dyDescent="0.25">
      <c r="A13" s="1">
        <v>10</v>
      </c>
      <c r="B13" s="108">
        <f>VLOOKUP($A13,Table1[['#]:[Vessel]],4,FALSE)</f>
        <v>55</v>
      </c>
      <c r="C13" s="107">
        <f>VLOOKUP($A13,Table1[['#]:[Date]],3,FALSE)</f>
        <v>42839</v>
      </c>
      <c r="D13" s="3">
        <f>VLOOKUP($A13,Table1[['#]:[Hours]],7,FALSE)</f>
        <v>154.72</v>
      </c>
      <c r="E13" s="3" t="str">
        <f>VLOOKUP($A13,Table1[['#]:[System]],8,FALSE)&amp;" / "&amp;VLOOKUP($A13,Table1[['#]:[Subsystem]],9,FALSE)</f>
        <v>Tagline / Tagline Winch</v>
      </c>
      <c r="F13" s="108">
        <f>VLOOKUP($A13,Table1[['#]:[Work Order '#]],10,FALSE)</f>
        <v>4195045</v>
      </c>
      <c r="G13" s="110" t="str">
        <f>VLOOKUP($A13,Table1[['#]:[Delay Log Notes]],11,FALSE)</f>
        <v>bucket falling; tagline motor burnt up</v>
      </c>
      <c r="H13" s="1" t="str">
        <f>_xlfn.IFNA(VLOOKUP(A13,'EDL Data'!$A$2:$M$1245,6,FALSE)," ")</f>
        <v>None</v>
      </c>
      <c r="I13" s="1" t="str">
        <f>_xlfn.IFNA(VLOOKUP(H13,'MCIA Cases'!$A$2:$R$1091,2,FALSE)," ")</f>
        <v xml:space="preserve"> </v>
      </c>
      <c r="J13" s="1" t="str">
        <f>_xlfn.IFNA(VLOOKUP(H13,'MCIA Cases'!$A$2:$R$1091,9,FALSE)," ")</f>
        <v xml:space="preserve"> </v>
      </c>
      <c r="K13" s="1" t="str">
        <f>_xlfn.IFNA(VLOOKUP(H13,'MCIA Cases'!$A$2:$R$1091,10,FALSE)," ")</f>
        <v xml:space="preserve"> </v>
      </c>
      <c r="L13" s="1" t="str">
        <f>_xlfn.IFNA(VLOOKUP(H13,'MCIA Cases'!$A$2:$R$1091,3,FALSE)," ")</f>
        <v xml:space="preserve"> </v>
      </c>
      <c r="M13" s="1" t="str">
        <f>IF(COUNTIF('MCIA Corrective Actions'!$A:$A,H13)=0," ",COUNTIF('MCIA Corrective Actions'!$A:$A,H13))</f>
        <v xml:space="preserve"> </v>
      </c>
      <c r="N13" s="1" t="str">
        <f>IF(COUNTIF('MCIA Corrective Actions'!$A:$A,H13)=0," ",COUNTIFS('MCIA Corrective Actions'!$A:$A,H13,'MCIA Corrective Actions'!N:N,"Yes"))</f>
        <v xml:space="preserve"> </v>
      </c>
      <c r="O13" s="1" t="str">
        <f>_xlfn.IFNA(VLOOKUP(H13,'MCIA Corrective Actions'!$A$2:$R$1092,6,FALSE)," ")</f>
        <v xml:space="preserve"> </v>
      </c>
      <c r="P13" s="1"/>
    </row>
    <row r="14" spans="1:16" x14ac:dyDescent="0.25">
      <c r="A14" s="1">
        <v>11</v>
      </c>
      <c r="B14" s="108" t="str">
        <f>VLOOKUP($A14,Table1[['#]:[Vessel]],4,FALSE)</f>
        <v>Illinois</v>
      </c>
      <c r="C14" s="107">
        <f>VLOOKUP($A14,Table1[['#]:[Date]],3,FALSE)</f>
        <v>42844</v>
      </c>
      <c r="D14" s="3">
        <f>VLOOKUP($A14,Table1[['#]:[Hours]],7,FALSE)</f>
        <v>80.260000000000005</v>
      </c>
      <c r="E14" s="3" t="str">
        <f>VLOOKUP($A14,Table1[['#]:[System]],8,FALSE)&amp;" / "&amp;VLOOKUP($A14,Table1[['#]:[Subsystem]],9,FALSE)</f>
        <v>Cutter / Gear Box (Cutter Shaft)</v>
      </c>
      <c r="F14" s="108">
        <f>VLOOKUP($A14,Table1[['#]:[Work Order '#]],10,FALSE)</f>
        <v>4195518</v>
      </c>
      <c r="G14" s="110" t="str">
        <f>VLOOKUP($A14,Table1[['#]:[Delay Log Notes]],11,FALSE)</f>
        <v>troubleshooting and disassembly</v>
      </c>
      <c r="H14" s="1" t="str">
        <f>_xlfn.IFNA(VLOOKUP(A14,'EDL Data'!$A$2:$M$1245,6,FALSE)," ")</f>
        <v>None</v>
      </c>
      <c r="I14" s="1" t="str">
        <f>_xlfn.IFNA(VLOOKUP(H14,'MCIA Cases'!$A$2:$R$1091,2,FALSE)," ")</f>
        <v xml:space="preserve"> </v>
      </c>
      <c r="J14" s="1" t="str">
        <f>_xlfn.IFNA(VLOOKUP(H14,'MCIA Cases'!$A$2:$R$1091,9,FALSE)," ")</f>
        <v xml:space="preserve"> </v>
      </c>
      <c r="K14" s="1" t="str">
        <f>_xlfn.IFNA(VLOOKUP(H14,'MCIA Cases'!$A$2:$R$1091,10,FALSE)," ")</f>
        <v xml:space="preserve"> </v>
      </c>
      <c r="L14" s="1" t="str">
        <f>_xlfn.IFNA(VLOOKUP(H14,'MCIA Cases'!$A$2:$R$1091,3,FALSE)," ")</f>
        <v xml:space="preserve"> </v>
      </c>
      <c r="M14" s="1" t="str">
        <f>IF(COUNTIF('MCIA Corrective Actions'!$A:$A,H14)=0," ",COUNTIF('MCIA Corrective Actions'!$A:$A,H14))</f>
        <v xml:space="preserve"> </v>
      </c>
      <c r="N14" s="1" t="str">
        <f>IF(COUNTIF('MCIA Corrective Actions'!$A:$A,H14)=0," ",COUNTIFS('MCIA Corrective Actions'!$A:$A,H14,'MCIA Corrective Actions'!N:N,"Yes"))</f>
        <v xml:space="preserve"> </v>
      </c>
      <c r="O14" s="1" t="str">
        <f>_xlfn.IFNA(VLOOKUP(H14,'MCIA Corrective Actions'!$A$2:$R$1092,6,FALSE)," ")</f>
        <v xml:space="preserve"> </v>
      </c>
      <c r="P14" s="1"/>
    </row>
    <row r="15" spans="1:16" ht="30" x14ac:dyDescent="0.25">
      <c r="A15" s="1">
        <v>12</v>
      </c>
      <c r="B15" s="108" t="str">
        <f>VLOOKUP($A15,Table1[['#]:[Vessel]],4,FALSE)</f>
        <v>Dodge Island</v>
      </c>
      <c r="C15" s="107">
        <f>VLOOKUP($A15,Table1[['#]:[Date]],3,FALSE)</f>
        <v>42846</v>
      </c>
      <c r="D15" s="3">
        <f>VLOOKUP($A15,Table1[['#]:[Hours]],7,FALSE)</f>
        <v>27.24</v>
      </c>
      <c r="E15" s="3" t="str">
        <f>VLOOKUP($A15,Table1[['#]:[System]],8,FALSE)&amp;" / "&amp;VLOOKUP($A15,Table1[['#]:[Subsystem]],9,FALSE)</f>
        <v>Piping / Hoses / Pump Room Discharge Pipe</v>
      </c>
      <c r="F15" s="108" t="str">
        <f>VLOOKUP($A15,Table1[['#]:[Work Order '#]],10,FALSE)</f>
        <v>4067460 /      4067458</v>
      </c>
      <c r="G15" s="110" t="str">
        <f>VLOOKUP($A15,Table1[['#]:[Delay Log Notes]],11,FALSE)</f>
        <v>blew discharge piping in pumproom- dumping remainder of load 234</v>
      </c>
      <c r="H15" s="1" t="str">
        <f>_xlfn.IFNA(VLOOKUP(A15,'EDL Data'!$A$2:$M$1245,6,FALSE)," ")</f>
        <v>None</v>
      </c>
      <c r="I15" s="1" t="str">
        <f>_xlfn.IFNA(VLOOKUP(H15,'MCIA Cases'!$A$2:$R$1091,2,FALSE)," ")</f>
        <v xml:space="preserve"> </v>
      </c>
      <c r="J15" s="1" t="str">
        <f>_xlfn.IFNA(VLOOKUP(H15,'MCIA Cases'!$A$2:$R$1091,9,FALSE)," ")</f>
        <v xml:space="preserve"> </v>
      </c>
      <c r="K15" s="1" t="str">
        <f>_xlfn.IFNA(VLOOKUP(H15,'MCIA Cases'!$A$2:$R$1091,10,FALSE)," ")</f>
        <v xml:space="preserve"> </v>
      </c>
      <c r="L15" s="1" t="str">
        <f>_xlfn.IFNA(VLOOKUP(H15,'MCIA Cases'!$A$2:$R$1091,3,FALSE)," ")</f>
        <v xml:space="preserve"> </v>
      </c>
      <c r="M15" s="1" t="str">
        <f>IF(COUNTIF('MCIA Corrective Actions'!$A:$A,H15)=0," ",COUNTIF('MCIA Corrective Actions'!$A:$A,H15))</f>
        <v xml:space="preserve"> </v>
      </c>
      <c r="N15" s="1" t="str">
        <f>IF(COUNTIF('MCIA Corrective Actions'!$A:$A,H15)=0," ",COUNTIFS('MCIA Corrective Actions'!$A:$A,H15,'MCIA Corrective Actions'!N:N,"Yes"))</f>
        <v xml:space="preserve"> </v>
      </c>
      <c r="O15" s="1" t="str">
        <f>_xlfn.IFNA(VLOOKUP(H15,'MCIA Corrective Actions'!$A$2:$R$1092,6,FALSE)," ")</f>
        <v xml:space="preserve"> </v>
      </c>
      <c r="P15" s="1"/>
    </row>
    <row r="16" spans="1:16" x14ac:dyDescent="0.25">
      <c r="A16" s="1">
        <v>13</v>
      </c>
      <c r="B16" s="108" t="str">
        <f>VLOOKUP($A16,Table1[['#]:[Vessel]],4,FALSE)</f>
        <v>Illinois</v>
      </c>
      <c r="C16" s="107">
        <f>VLOOKUP($A16,Table1[['#]:[Date]],3,FALSE)</f>
        <v>42848</v>
      </c>
      <c r="D16" s="3">
        <f>VLOOKUP($A16,Table1[['#]:[Hours]],7,FALSE)</f>
        <v>150</v>
      </c>
      <c r="E16" s="3" t="str">
        <f>VLOOKUP($A16,Table1[['#]:[System]],8,FALSE)&amp;" / "&amp;VLOOKUP($A16,Table1[['#]:[Subsystem]],9,FALSE)</f>
        <v>Cutter / Gear Box (Cutter Shaft)</v>
      </c>
      <c r="F16" s="108">
        <f>VLOOKUP($A16,Table1[['#]:[Work Order '#]],10,FALSE)</f>
        <v>4195427</v>
      </c>
      <c r="G16" s="110" t="str">
        <f>VLOOKUP($A16,Table1[['#]:[Delay Log Notes]],11,FALSE)</f>
        <v>reassembly</v>
      </c>
      <c r="H16" s="1" t="str">
        <f>_xlfn.IFNA(VLOOKUP(A16,'EDL Data'!$A$2:$M$1245,6,FALSE)," ")</f>
        <v>None</v>
      </c>
      <c r="I16" s="1" t="str">
        <f>_xlfn.IFNA(VLOOKUP(H16,'MCIA Cases'!$A$2:$R$1091,2,FALSE)," ")</f>
        <v xml:space="preserve"> </v>
      </c>
      <c r="J16" s="1" t="str">
        <f>_xlfn.IFNA(VLOOKUP(H16,'MCIA Cases'!$A$2:$R$1091,9,FALSE)," ")</f>
        <v xml:space="preserve"> </v>
      </c>
      <c r="K16" s="1" t="str">
        <f>_xlfn.IFNA(VLOOKUP(H16,'MCIA Cases'!$A$2:$R$1091,10,FALSE)," ")</f>
        <v xml:space="preserve"> </v>
      </c>
      <c r="L16" s="1" t="str">
        <f>_xlfn.IFNA(VLOOKUP(H16,'MCIA Cases'!$A$2:$R$1091,3,FALSE)," ")</f>
        <v xml:space="preserve"> </v>
      </c>
      <c r="M16" s="1" t="str">
        <f>IF(COUNTIF('MCIA Corrective Actions'!$A:$A,H16)=0," ",COUNTIF('MCIA Corrective Actions'!$A:$A,H16))</f>
        <v xml:space="preserve"> </v>
      </c>
      <c r="N16" s="1" t="str">
        <f>IF(COUNTIF('MCIA Corrective Actions'!$A:$A,H16)=0," ",COUNTIFS('MCIA Corrective Actions'!$A:$A,H16,'MCIA Corrective Actions'!N:N,"Yes"))</f>
        <v xml:space="preserve"> </v>
      </c>
      <c r="O16" s="1" t="str">
        <f>_xlfn.IFNA(VLOOKUP(H16,'MCIA Corrective Actions'!$A$2:$R$1092,6,FALSE)," ")</f>
        <v xml:space="preserve"> </v>
      </c>
      <c r="P16" s="1"/>
    </row>
    <row r="17" spans="1:16" x14ac:dyDescent="0.25">
      <c r="A17" s="1">
        <v>14</v>
      </c>
      <c r="B17" s="108" t="str">
        <f>VLOOKUP($A17,Table1[['#]:[Vessel]],4,FALSE)</f>
        <v>Terrapin Island</v>
      </c>
      <c r="C17" s="107">
        <f>VLOOKUP($A17,Table1[['#]:[Date]],3,FALSE)</f>
        <v>42849</v>
      </c>
      <c r="D17" s="3">
        <f>VLOOKUP($A17,Table1[['#]:[Hours]],7,FALSE)</f>
        <v>62.51</v>
      </c>
      <c r="E17" s="3" t="str">
        <f>VLOOKUP($A17,Table1[['#]:[System]],8,FALSE)&amp;" / "&amp;VLOOKUP($A17,Table1[['#]:[Subsystem]],9,FALSE)</f>
        <v>Other / Hopper</v>
      </c>
      <c r="F17" s="108">
        <f>VLOOKUP($A17,Table1[['#]:[Work Order '#]],10,FALSE)</f>
        <v>1699368</v>
      </c>
      <c r="G17" s="110" t="str">
        <f>VLOOKUP($A17,Table1[['#]:[Delay Log Notes]],11,FALSE)</f>
        <v>going inside to fix link on No. 7 hopper door</v>
      </c>
      <c r="H17" s="1" t="str">
        <f>_xlfn.IFNA(VLOOKUP(A17,'EDL Data'!$A$2:$M$1245,6,FALSE)," ")</f>
        <v>None</v>
      </c>
      <c r="I17" s="1" t="str">
        <f>_xlfn.IFNA(VLOOKUP(H17,'MCIA Cases'!$A$2:$R$1091,2,FALSE)," ")</f>
        <v xml:space="preserve"> </v>
      </c>
      <c r="J17" s="1" t="str">
        <f>_xlfn.IFNA(VLOOKUP(H17,'MCIA Cases'!$A$2:$R$1091,9,FALSE)," ")</f>
        <v xml:space="preserve"> </v>
      </c>
      <c r="K17" s="1" t="str">
        <f>_xlfn.IFNA(VLOOKUP(H17,'MCIA Cases'!$A$2:$R$1091,10,FALSE)," ")</f>
        <v xml:space="preserve"> </v>
      </c>
      <c r="L17" s="1" t="str">
        <f>_xlfn.IFNA(VLOOKUP(H17,'MCIA Cases'!$A$2:$R$1091,3,FALSE)," ")</f>
        <v xml:space="preserve"> </v>
      </c>
      <c r="M17" s="1" t="str">
        <f>IF(COUNTIF('MCIA Corrective Actions'!$A:$A,H17)=0," ",COUNTIF('MCIA Corrective Actions'!$A:$A,H17))</f>
        <v xml:space="preserve"> </v>
      </c>
      <c r="N17" s="1" t="str">
        <f>IF(COUNTIF('MCIA Corrective Actions'!$A:$A,H17)=0," ",COUNTIFS('MCIA Corrective Actions'!$A:$A,H17,'MCIA Corrective Actions'!N:N,"Yes"))</f>
        <v xml:space="preserve"> </v>
      </c>
      <c r="O17" s="1" t="str">
        <f>_xlfn.IFNA(VLOOKUP(H17,'MCIA Corrective Actions'!$A$2:$R$1092,6,FALSE)," ")</f>
        <v xml:space="preserve"> </v>
      </c>
      <c r="P17" s="1"/>
    </row>
    <row r="18" spans="1:16" x14ac:dyDescent="0.25">
      <c r="A18" s="1">
        <v>15</v>
      </c>
      <c r="B18" s="108">
        <f>VLOOKUP($A18,Table1[['#]:[Vessel]],4,FALSE)</f>
        <v>54</v>
      </c>
      <c r="C18" s="107">
        <f>VLOOKUP($A18,Table1[['#]:[Date]],3,FALSE)</f>
        <v>42857</v>
      </c>
      <c r="D18" s="3">
        <f>VLOOKUP($A18,Table1[['#]:[Hours]],7,FALSE)</f>
        <v>46.92</v>
      </c>
      <c r="E18" s="3" t="str">
        <f>VLOOKUP($A18,Table1[['#]:[System]],8,FALSE)&amp;" / "&amp;VLOOKUP($A18,Table1[['#]:[Subsystem]],9,FALSE)</f>
        <v>Spud System / Spud Structure</v>
      </c>
      <c r="F18" s="108">
        <f>VLOOKUP($A18,Table1[['#]:[Work Order '#]],10,FALSE)</f>
        <v>1949226</v>
      </c>
      <c r="G18" s="110" t="str">
        <f>VLOOKUP($A18,Table1[['#]:[Delay Log Notes]],11,FALSE)</f>
        <v>Stbd spud repairs</v>
      </c>
      <c r="H18" s="1" t="str">
        <f>_xlfn.IFNA(VLOOKUP(A18,'EDL Data'!$A$2:$M$1245,6,FALSE)," ")</f>
        <v>None</v>
      </c>
      <c r="I18" s="1" t="str">
        <f>_xlfn.IFNA(VLOOKUP(H18,'MCIA Cases'!$A$2:$R$1091,2,FALSE)," ")</f>
        <v xml:space="preserve"> </v>
      </c>
      <c r="J18" s="1" t="str">
        <f>_xlfn.IFNA(VLOOKUP(H18,'MCIA Cases'!$A$2:$R$1091,9,FALSE)," ")</f>
        <v xml:space="preserve"> </v>
      </c>
      <c r="K18" s="1" t="str">
        <f>_xlfn.IFNA(VLOOKUP(H18,'MCIA Cases'!$A$2:$R$1091,10,FALSE)," ")</f>
        <v xml:space="preserve"> </v>
      </c>
      <c r="L18" s="1" t="str">
        <f>_xlfn.IFNA(VLOOKUP(H18,'MCIA Cases'!$A$2:$R$1091,3,FALSE)," ")</f>
        <v xml:space="preserve"> </v>
      </c>
      <c r="M18" s="1" t="str">
        <f>IF(COUNTIF('MCIA Corrective Actions'!$A:$A,H18)=0," ",COUNTIF('MCIA Corrective Actions'!$A:$A,H18))</f>
        <v xml:space="preserve"> </v>
      </c>
      <c r="N18" s="1" t="str">
        <f>IF(COUNTIF('MCIA Corrective Actions'!$A:$A,H18)=0," ",COUNTIFS('MCIA Corrective Actions'!$A:$A,H18,'MCIA Corrective Actions'!N:N,"Yes"))</f>
        <v xml:space="preserve"> </v>
      </c>
      <c r="O18" s="1" t="str">
        <f>_xlfn.IFNA(VLOOKUP(H18,'MCIA Corrective Actions'!$A$2:$R$1092,6,FALSE)," ")</f>
        <v xml:space="preserve"> </v>
      </c>
      <c r="P18" s="1"/>
    </row>
    <row r="19" spans="1:16" x14ac:dyDescent="0.25">
      <c r="A19" s="1">
        <v>16</v>
      </c>
      <c r="B19" s="108" t="str">
        <f>VLOOKUP($A19,Table1[['#]:[Vessel]],4,FALSE)</f>
        <v>Liberty Island</v>
      </c>
      <c r="C19" s="107">
        <f>VLOOKUP($A19,Table1[['#]:[Date]],3,FALSE)</f>
        <v>42858</v>
      </c>
      <c r="D19" s="3">
        <f>VLOOKUP($A19,Table1[['#]:[Hours]],7,FALSE)</f>
        <v>51.07</v>
      </c>
      <c r="E19" s="3" t="str">
        <f>VLOOKUP($A19,Table1[['#]:[System]],8,FALSE)&amp;" / "&amp;VLOOKUP($A19,Table1[['#]:[Subsystem]],9,FALSE)</f>
        <v>Main Engine / Propulsion / Other</v>
      </c>
      <c r="F19" s="108" t="str">
        <f>VLOOKUP($A19,Table1[['#]:[Work Order '#]],10,FALSE)</f>
        <v>0846068</v>
      </c>
      <c r="G19" s="110" t="str">
        <f>VLOOKUP($A19,Table1[['#]:[Delay Log Notes]],11,FALSE)</f>
        <v>weakend strainer in lower engine room; off project</v>
      </c>
      <c r="H19" s="1" t="str">
        <f>_xlfn.IFNA(VLOOKUP(A19,'EDL Data'!$A$2:$M$1245,6,FALSE)," ")</f>
        <v>None</v>
      </c>
      <c r="I19" s="1" t="str">
        <f>_xlfn.IFNA(VLOOKUP(H19,'MCIA Cases'!$A$2:$R$1091,2,FALSE)," ")</f>
        <v xml:space="preserve"> </v>
      </c>
      <c r="J19" s="1" t="str">
        <f>_xlfn.IFNA(VLOOKUP(H19,'MCIA Cases'!$A$2:$R$1091,9,FALSE)," ")</f>
        <v xml:space="preserve"> </v>
      </c>
      <c r="K19" s="1" t="str">
        <f>_xlfn.IFNA(VLOOKUP(H19,'MCIA Cases'!$A$2:$R$1091,10,FALSE)," ")</f>
        <v xml:space="preserve"> </v>
      </c>
      <c r="L19" s="1" t="str">
        <f>_xlfn.IFNA(VLOOKUP(H19,'MCIA Cases'!$A$2:$R$1091,3,FALSE)," ")</f>
        <v xml:space="preserve"> </v>
      </c>
      <c r="M19" s="1" t="str">
        <f>IF(COUNTIF('MCIA Corrective Actions'!$A:$A,H19)=0," ",COUNTIF('MCIA Corrective Actions'!$A:$A,H19))</f>
        <v xml:space="preserve"> </v>
      </c>
      <c r="N19" s="1" t="str">
        <f>IF(COUNTIF('MCIA Corrective Actions'!$A:$A,H19)=0," ",COUNTIFS('MCIA Corrective Actions'!$A:$A,H19,'MCIA Corrective Actions'!N:N,"Yes"))</f>
        <v xml:space="preserve"> </v>
      </c>
      <c r="O19" s="1" t="str">
        <f>_xlfn.IFNA(VLOOKUP(H19,'MCIA Corrective Actions'!$A$2:$R$1092,6,FALSE)," ")</f>
        <v xml:space="preserve"> </v>
      </c>
      <c r="P19" s="1"/>
    </row>
    <row r="20" spans="1:16" x14ac:dyDescent="0.25">
      <c r="A20" s="1">
        <v>17</v>
      </c>
      <c r="B20" s="108" t="str">
        <f>VLOOKUP($A20,Table1[['#]:[Vessel]],4,FALSE)</f>
        <v>Illinois</v>
      </c>
      <c r="C20" s="107">
        <f>VLOOKUP($A20,Table1[['#]:[Date]],3,FALSE)</f>
        <v>42867</v>
      </c>
      <c r="D20" s="3">
        <f>VLOOKUP($A20,Table1[['#]:[Hours]],7,FALSE)</f>
        <v>45.67</v>
      </c>
      <c r="E20" s="3" t="str">
        <f>VLOOKUP($A20,Table1[['#]:[System]],8,FALSE)&amp;" / "&amp;VLOOKUP($A20,Table1[['#]:[Subsystem]],9,FALSE)</f>
        <v>Cutter / SCR Drive / MG Set</v>
      </c>
      <c r="F20" s="108" t="str">
        <f>VLOOKUP($A20,Table1[['#]:[Work Order '#]],10,FALSE)</f>
        <v>None</v>
      </c>
      <c r="G20" s="110" t="str">
        <f>VLOOKUP($A20,Table1[['#]:[Delay Log Notes]],11,FALSE)</f>
        <v>None</v>
      </c>
      <c r="H20" s="1" t="str">
        <f>_xlfn.IFNA(VLOOKUP(A20,'EDL Data'!$A$2:$M$1245,6,FALSE)," ")</f>
        <v>None</v>
      </c>
      <c r="I20" s="1" t="str">
        <f>_xlfn.IFNA(VLOOKUP(H20,'MCIA Cases'!$A$2:$R$1091,2,FALSE)," ")</f>
        <v xml:space="preserve"> </v>
      </c>
      <c r="J20" s="1" t="str">
        <f>_xlfn.IFNA(VLOOKUP(H20,'MCIA Cases'!$A$2:$R$1091,9,FALSE)," ")</f>
        <v xml:space="preserve"> </v>
      </c>
      <c r="K20" s="1" t="str">
        <f>_xlfn.IFNA(VLOOKUP(H20,'MCIA Cases'!$A$2:$R$1091,10,FALSE)," ")</f>
        <v xml:space="preserve"> </v>
      </c>
      <c r="L20" s="1" t="str">
        <f>_xlfn.IFNA(VLOOKUP(H20,'MCIA Cases'!$A$2:$R$1091,3,FALSE)," ")</f>
        <v xml:space="preserve"> </v>
      </c>
      <c r="M20" s="1" t="str">
        <f>IF(COUNTIF('MCIA Corrective Actions'!$A:$A,H20)=0," ",COUNTIF('MCIA Corrective Actions'!$A:$A,H20))</f>
        <v xml:space="preserve"> </v>
      </c>
      <c r="N20" s="1" t="str">
        <f>IF(COUNTIF('MCIA Corrective Actions'!$A:$A,H20)=0," ",COUNTIFS('MCIA Corrective Actions'!$A:$A,H20,'MCIA Corrective Actions'!N:N,"Yes"))</f>
        <v xml:space="preserve"> </v>
      </c>
      <c r="O20" s="1" t="str">
        <f>_xlfn.IFNA(VLOOKUP(H20,'MCIA Corrective Actions'!$A$2:$R$1092,6,FALSE)," ")</f>
        <v xml:space="preserve"> </v>
      </c>
      <c r="P20" s="1"/>
    </row>
    <row r="21" spans="1:16" x14ac:dyDescent="0.25">
      <c r="A21" s="1">
        <v>18</v>
      </c>
      <c r="B21" s="108" t="str">
        <f>VLOOKUP($A21,Table1[['#]:[Vessel]],4,FALSE)</f>
        <v>Padre Island</v>
      </c>
      <c r="C21" s="107">
        <f>VLOOKUP($A21,Table1[['#]:[Date]],3,FALSE)</f>
        <v>42870</v>
      </c>
      <c r="D21" s="3">
        <f>VLOOKUP($A21,Table1[['#]:[Hours]],7,FALSE)</f>
        <v>65.64</v>
      </c>
      <c r="E21" s="3" t="str">
        <f>VLOOKUP($A21,Table1[['#]:[System]],8,FALSE)&amp;" / "&amp;VLOOKUP($A21,Table1[['#]:[Subsystem]],9,FALSE)</f>
        <v>Other / Other Mechanical</v>
      </c>
      <c r="F21" s="108">
        <f>VLOOKUP($A21,Table1[['#]:[Work Order '#]],10,FALSE)</f>
        <v>1987294</v>
      </c>
      <c r="G21" s="110" t="str">
        <f>VLOOKUP($A21,Table1[['#]:[Delay Log Notes]],11,FALSE)</f>
        <v>inspecting tanks</v>
      </c>
      <c r="H21" s="1" t="str">
        <f>_xlfn.IFNA(VLOOKUP(A21,'EDL Data'!$A$2:$M$1245,6,FALSE)," ")</f>
        <v>None</v>
      </c>
      <c r="I21" s="1" t="str">
        <f>_xlfn.IFNA(VLOOKUP(H21,'MCIA Cases'!$A$2:$R$1091,2,FALSE)," ")</f>
        <v xml:space="preserve"> </v>
      </c>
      <c r="J21" s="1" t="str">
        <f>_xlfn.IFNA(VLOOKUP(H21,'MCIA Cases'!$A$2:$R$1091,9,FALSE)," ")</f>
        <v xml:space="preserve"> </v>
      </c>
      <c r="K21" s="1" t="str">
        <f>_xlfn.IFNA(VLOOKUP(H21,'MCIA Cases'!$A$2:$R$1091,10,FALSE)," ")</f>
        <v xml:space="preserve"> </v>
      </c>
      <c r="L21" s="1" t="str">
        <f>_xlfn.IFNA(VLOOKUP(H21,'MCIA Cases'!$A$2:$R$1091,3,FALSE)," ")</f>
        <v xml:space="preserve"> </v>
      </c>
      <c r="M21" s="1" t="str">
        <f>IF(COUNTIF('MCIA Corrective Actions'!$A:$A,H21)=0," ",COUNTIF('MCIA Corrective Actions'!$A:$A,H21))</f>
        <v xml:space="preserve"> </v>
      </c>
      <c r="N21" s="1" t="str">
        <f>IF(COUNTIF('MCIA Corrective Actions'!$A:$A,H21)=0," ",COUNTIFS('MCIA Corrective Actions'!$A:$A,H21,'MCIA Corrective Actions'!N:N,"Yes"))</f>
        <v xml:space="preserve"> </v>
      </c>
      <c r="O21" s="1" t="str">
        <f>_xlfn.IFNA(VLOOKUP(H21,'MCIA Corrective Actions'!$A$2:$R$1092,6,FALSE)," ")</f>
        <v xml:space="preserve"> </v>
      </c>
      <c r="P21" s="1"/>
    </row>
    <row r="22" spans="1:16" x14ac:dyDescent="0.25">
      <c r="A22" s="1">
        <v>19</v>
      </c>
      <c r="B22" s="108" t="str">
        <f>VLOOKUP($A22,Table1[['#]:[Vessel]],4,FALSE)</f>
        <v>Texas</v>
      </c>
      <c r="C22" s="107">
        <f>VLOOKUP($A22,Table1[['#]:[Date]],3,FALSE)</f>
        <v>42874</v>
      </c>
      <c r="D22" s="3">
        <f>VLOOKUP($A22,Table1[['#]:[Hours]],7,FALSE)</f>
        <v>220</v>
      </c>
      <c r="E22" s="3" t="str">
        <f>VLOOKUP($A22,Table1[['#]:[System]],8,FALSE)&amp;" / "&amp;VLOOKUP($A22,Table1[['#]:[Subsystem]],9,FALSE)</f>
        <v>Main Pump / Bearings/Shafts</v>
      </c>
      <c r="F22" s="108" t="str">
        <f>VLOOKUP($A22,Table1[['#]:[Work Order '#]],10,FALSE)</f>
        <v>4196302   /   4196456</v>
      </c>
      <c r="G22" s="110" t="str">
        <f>VLOOKUP($A22,Table1[['#]:[Delay Log Notes]],11,FALSE)</f>
        <v>replace bearings; rebuild main pump</v>
      </c>
      <c r="H22" s="1" t="str">
        <f>_xlfn.IFNA(VLOOKUP(A22,'EDL Data'!$A$2:$M$1245,6,FALSE)," ")</f>
        <v>None</v>
      </c>
      <c r="I22" s="1" t="str">
        <f>_xlfn.IFNA(VLOOKUP(H22,'MCIA Cases'!$A$2:$R$1091,2,FALSE)," ")</f>
        <v xml:space="preserve"> </v>
      </c>
      <c r="J22" s="1" t="str">
        <f>_xlfn.IFNA(VLOOKUP(H22,'MCIA Cases'!$A$2:$R$1091,9,FALSE)," ")</f>
        <v xml:space="preserve"> </v>
      </c>
      <c r="K22" s="1" t="str">
        <f>_xlfn.IFNA(VLOOKUP(H22,'MCIA Cases'!$A$2:$R$1091,10,FALSE)," ")</f>
        <v xml:space="preserve"> </v>
      </c>
      <c r="L22" s="1" t="str">
        <f>_xlfn.IFNA(VLOOKUP(H22,'MCIA Cases'!$A$2:$R$1091,3,FALSE)," ")</f>
        <v xml:space="preserve"> </v>
      </c>
      <c r="M22" s="1" t="str">
        <f>IF(COUNTIF('MCIA Corrective Actions'!$A:$A,H22)=0," ",COUNTIF('MCIA Corrective Actions'!$A:$A,H22))</f>
        <v xml:space="preserve"> </v>
      </c>
      <c r="N22" s="1" t="str">
        <f>IF(COUNTIF('MCIA Corrective Actions'!$A:$A,H22)=0," ",COUNTIFS('MCIA Corrective Actions'!$A:$A,H22,'MCIA Corrective Actions'!N:N,"Yes"))</f>
        <v xml:space="preserve"> </v>
      </c>
      <c r="O22" s="1" t="str">
        <f>_xlfn.IFNA(VLOOKUP(H22,'MCIA Corrective Actions'!$A$2:$R$1092,6,FALSE)," ")</f>
        <v xml:space="preserve"> </v>
      </c>
      <c r="P22" s="1"/>
    </row>
    <row r="23" spans="1:16" x14ac:dyDescent="0.25">
      <c r="A23" s="1">
        <v>20</v>
      </c>
      <c r="B23" s="108" t="str">
        <f>VLOOKUP($A23,Table1[['#]:[Vessel]],4,FALSE)</f>
        <v>Terrapin Island</v>
      </c>
      <c r="C23" s="107">
        <f>VLOOKUP($A23,Table1[['#]:[Date]],3,FALSE)</f>
        <v>42881</v>
      </c>
      <c r="D23" s="3">
        <f>VLOOKUP($A23,Table1[['#]:[Hours]],7,FALSE)</f>
        <v>60.13</v>
      </c>
      <c r="E23" s="3" t="str">
        <f>VLOOKUP($A23,Table1[['#]:[System]],8,FALSE)&amp;" / "&amp;VLOOKUP($A23,Table1[['#]:[Subsystem]],9,FALSE)</f>
        <v>Main Engine / Propulsion / Other</v>
      </c>
      <c r="F23" s="108">
        <f>VLOOKUP($A23,Table1[['#]:[Work Order '#]],10,FALSE)</f>
        <v>4176910</v>
      </c>
      <c r="G23" s="110" t="str">
        <f>VLOOKUP($A23,Table1[['#]:[Delay Log Notes]],11,FALSE)</f>
        <v>clutch</v>
      </c>
      <c r="H23" s="1" t="str">
        <f>_xlfn.IFNA(VLOOKUP(A23,'EDL Data'!$A$2:$M$1245,6,FALSE)," ")</f>
        <v>None</v>
      </c>
      <c r="I23" s="1" t="str">
        <f>_xlfn.IFNA(VLOOKUP(H23,'MCIA Cases'!$A$2:$R$1091,2,FALSE)," ")</f>
        <v xml:space="preserve"> </v>
      </c>
      <c r="J23" s="1" t="str">
        <f>_xlfn.IFNA(VLOOKUP(H23,'MCIA Cases'!$A$2:$R$1091,9,FALSE)," ")</f>
        <v xml:space="preserve"> </v>
      </c>
      <c r="K23" s="1" t="str">
        <f>_xlfn.IFNA(VLOOKUP(H23,'MCIA Cases'!$A$2:$R$1091,10,FALSE)," ")</f>
        <v xml:space="preserve"> </v>
      </c>
      <c r="L23" s="1" t="str">
        <f>_xlfn.IFNA(VLOOKUP(H23,'MCIA Cases'!$A$2:$R$1091,3,FALSE)," ")</f>
        <v xml:space="preserve"> </v>
      </c>
      <c r="M23" s="1" t="str">
        <f>IF(COUNTIF('MCIA Corrective Actions'!$A:$A,H23)=0," ",COUNTIF('MCIA Corrective Actions'!$A:$A,H23))</f>
        <v xml:space="preserve"> </v>
      </c>
      <c r="N23" s="1" t="str">
        <f>IF(COUNTIF('MCIA Corrective Actions'!$A:$A,H23)=0," ",COUNTIFS('MCIA Corrective Actions'!$A:$A,H23,'MCIA Corrective Actions'!N:N,"Yes"))</f>
        <v xml:space="preserve"> </v>
      </c>
      <c r="O23" s="1" t="str">
        <f>_xlfn.IFNA(VLOOKUP(H23,'MCIA Corrective Actions'!$A$2:$R$1092,6,FALSE)," ")</f>
        <v xml:space="preserve"> </v>
      </c>
      <c r="P23" s="1"/>
    </row>
    <row r="24" spans="1:16" x14ac:dyDescent="0.25">
      <c r="A24" s="1">
        <v>21</v>
      </c>
      <c r="B24" s="108" t="str">
        <f>VLOOKUP($A24,Table1[['#]:[Vessel]],4,FALSE)</f>
        <v>Liberty Island</v>
      </c>
      <c r="C24" s="107">
        <f>VLOOKUP($A24,Table1[['#]:[Date]],3,FALSE)</f>
        <v>42886</v>
      </c>
      <c r="D24" s="3">
        <f>VLOOKUP($A24,Table1[['#]:[Hours]],7,FALSE)</f>
        <v>118.09</v>
      </c>
      <c r="E24" s="3" t="str">
        <f>VLOOKUP($A24,Table1[['#]:[System]],8,FALSE)&amp;" / "&amp;VLOOKUP($A24,Table1[['#]:[Subsystem]],9,FALSE)</f>
        <v>Main Engine / Propulsion / Other</v>
      </c>
      <c r="F24" s="108">
        <f>VLOOKUP($A24,Table1[['#]:[Work Order '#]],10,FALSE)</f>
        <v>4196753</v>
      </c>
      <c r="G24" s="110" t="str">
        <f>VLOOKUP($A24,Table1[['#]:[Delay Log Notes]],11,FALSE)</f>
        <v>Port M/E vibration issues - to Lyons shipyard for repairs</v>
      </c>
      <c r="H24" s="1" t="str">
        <f>_xlfn.IFNA(VLOOKUP(A24,'EDL Data'!$A$2:$M$1245,6,FALSE)," ")</f>
        <v>None</v>
      </c>
      <c r="I24" s="1" t="str">
        <f>_xlfn.IFNA(VLOOKUP(H24,'MCIA Cases'!$A$2:$R$1091,2,FALSE)," ")</f>
        <v xml:space="preserve"> </v>
      </c>
      <c r="J24" s="1" t="str">
        <f>_xlfn.IFNA(VLOOKUP(H24,'MCIA Cases'!$A$2:$R$1091,9,FALSE)," ")</f>
        <v xml:space="preserve"> </v>
      </c>
      <c r="K24" s="1" t="str">
        <f>_xlfn.IFNA(VLOOKUP(H24,'MCIA Cases'!$A$2:$R$1091,10,FALSE)," ")</f>
        <v xml:space="preserve"> </v>
      </c>
      <c r="L24" s="1" t="str">
        <f>_xlfn.IFNA(VLOOKUP(H24,'MCIA Cases'!$A$2:$R$1091,3,FALSE)," ")</f>
        <v xml:space="preserve"> </v>
      </c>
      <c r="M24" s="1" t="str">
        <f>IF(COUNTIF('MCIA Corrective Actions'!$A:$A,H24)=0," ",COUNTIF('MCIA Corrective Actions'!$A:$A,H24))</f>
        <v xml:space="preserve"> </v>
      </c>
      <c r="N24" s="1" t="str">
        <f>IF(COUNTIF('MCIA Corrective Actions'!$A:$A,H24)=0," ",COUNTIFS('MCIA Corrective Actions'!$A:$A,H24,'MCIA Corrective Actions'!N:N,"Yes"))</f>
        <v xml:space="preserve"> </v>
      </c>
      <c r="O24" s="1" t="str">
        <f>_xlfn.IFNA(VLOOKUP(H24,'MCIA Corrective Actions'!$A$2:$R$1092,6,FALSE)," ")</f>
        <v xml:space="preserve"> </v>
      </c>
      <c r="P24" s="1"/>
    </row>
    <row r="25" spans="1:16" x14ac:dyDescent="0.25">
      <c r="A25" s="1">
        <v>22</v>
      </c>
      <c r="B25" s="108">
        <f>VLOOKUP($A25,Table1[['#]:[Vessel]],4,FALSE)</f>
        <v>55</v>
      </c>
      <c r="C25" s="107">
        <f>VLOOKUP($A25,Table1[['#]:[Date]],3,FALSE)</f>
        <v>42901</v>
      </c>
      <c r="D25" s="3">
        <f>VLOOKUP($A25,Table1[['#]:[Hours]],7,FALSE)</f>
        <v>33.39</v>
      </c>
      <c r="E25" s="3" t="str">
        <f>VLOOKUP($A25,Table1[['#]:[System]],8,FALSE)&amp;" / "&amp;VLOOKUP($A25,Table1[['#]:[Subsystem]],9,FALSE)</f>
        <v>Main / Aux. Generators / Main Generator Eng</v>
      </c>
      <c r="F25" s="108">
        <f>VLOOKUP($A25,Table1[['#]:[Work Order '#]],10,FALSE)</f>
        <v>4197291</v>
      </c>
      <c r="G25" s="110" t="str">
        <f>VLOOKUP($A25,Table1[['#]:[Delay Log Notes]],11,FALSE)</f>
        <v>Main eng oil cooler; fuel taken during down time</v>
      </c>
      <c r="H25" s="1" t="str">
        <f>_xlfn.IFNA(VLOOKUP(A25,'EDL Data'!$A$2:$M$1245,6,FALSE)," ")</f>
        <v>None</v>
      </c>
      <c r="I25" s="1" t="str">
        <f>_xlfn.IFNA(VLOOKUP(H25,'MCIA Cases'!$A$2:$R$1091,2,FALSE)," ")</f>
        <v xml:space="preserve"> </v>
      </c>
      <c r="J25" s="1" t="str">
        <f>_xlfn.IFNA(VLOOKUP(H25,'MCIA Cases'!$A$2:$R$1091,9,FALSE)," ")</f>
        <v xml:space="preserve"> </v>
      </c>
      <c r="K25" s="1" t="str">
        <f>_xlfn.IFNA(VLOOKUP(H25,'MCIA Cases'!$A$2:$R$1091,10,FALSE)," ")</f>
        <v xml:space="preserve"> </v>
      </c>
      <c r="L25" s="1" t="str">
        <f>_xlfn.IFNA(VLOOKUP(H25,'MCIA Cases'!$A$2:$R$1091,3,FALSE)," ")</f>
        <v xml:space="preserve"> </v>
      </c>
      <c r="M25" s="1" t="str">
        <f>IF(COUNTIF('MCIA Corrective Actions'!$A:$A,H25)=0," ",COUNTIF('MCIA Corrective Actions'!$A:$A,H25))</f>
        <v xml:space="preserve"> </v>
      </c>
      <c r="N25" s="1" t="str">
        <f>IF(COUNTIF('MCIA Corrective Actions'!$A:$A,H25)=0," ",COUNTIFS('MCIA Corrective Actions'!$A:$A,H25,'MCIA Corrective Actions'!N:N,"Yes"))</f>
        <v xml:space="preserve"> </v>
      </c>
      <c r="O25" s="1" t="str">
        <f>_xlfn.IFNA(VLOOKUP(H25,'MCIA Corrective Actions'!$A$2:$R$1092,6,FALSE)," ")</f>
        <v xml:space="preserve"> </v>
      </c>
      <c r="P25" s="1"/>
    </row>
    <row r="26" spans="1:16" x14ac:dyDescent="0.25">
      <c r="A26" s="1">
        <v>23</v>
      </c>
      <c r="B26" s="108" t="str">
        <f>VLOOKUP($A26,Table1[['#]:[Vessel]],4,FALSE)</f>
        <v>Liberty Island</v>
      </c>
      <c r="C26" s="107">
        <f>VLOOKUP($A26,Table1[['#]:[Date]],3,FALSE)</f>
        <v>42905</v>
      </c>
      <c r="D26" s="3">
        <f>VLOOKUP($A26,Table1[['#]:[Hours]],7,FALSE)</f>
        <v>79.61</v>
      </c>
      <c r="E26" s="3" t="str">
        <f>VLOOKUP($A26,Table1[['#]:[System]],8,FALSE)&amp;" / "&amp;VLOOKUP($A26,Table1[['#]:[Subsystem]],9,FALSE)</f>
        <v>Main Engine / Propulsion / Other</v>
      </c>
      <c r="F26" s="108" t="str">
        <f>VLOOKUP($A26,Table1[['#]:[Work Order '#]],10,FALSE)</f>
        <v>None</v>
      </c>
      <c r="G26" s="110" t="str">
        <f>VLOOKUP($A26,Table1[['#]:[Delay Log Notes]],11,FALSE)</f>
        <v>M/E malfunction</v>
      </c>
      <c r="H26" s="1" t="str">
        <f>_xlfn.IFNA(VLOOKUP(A26,'EDL Data'!$A$2:$M$1245,6,FALSE)," ")</f>
        <v>None</v>
      </c>
      <c r="I26" s="1" t="str">
        <f>_xlfn.IFNA(VLOOKUP(H26,'MCIA Cases'!$A$2:$R$1091,2,FALSE)," ")</f>
        <v xml:space="preserve"> </v>
      </c>
      <c r="J26" s="1" t="str">
        <f>_xlfn.IFNA(VLOOKUP(H26,'MCIA Cases'!$A$2:$R$1091,9,FALSE)," ")</f>
        <v xml:space="preserve"> </v>
      </c>
      <c r="K26" s="1" t="str">
        <f>_xlfn.IFNA(VLOOKUP(H26,'MCIA Cases'!$A$2:$R$1091,10,FALSE)," ")</f>
        <v xml:space="preserve"> </v>
      </c>
      <c r="L26" s="1" t="str">
        <f>_xlfn.IFNA(VLOOKUP(H26,'MCIA Cases'!$A$2:$R$1091,3,FALSE)," ")</f>
        <v xml:space="preserve"> </v>
      </c>
      <c r="M26" s="1" t="str">
        <f>IF(COUNTIF('MCIA Corrective Actions'!$A:$A,H26)=0," ",COUNTIF('MCIA Corrective Actions'!$A:$A,H26))</f>
        <v xml:space="preserve"> </v>
      </c>
      <c r="N26" s="1" t="str">
        <f>IF(COUNTIF('MCIA Corrective Actions'!$A:$A,H26)=0," ",COUNTIFS('MCIA Corrective Actions'!$A:$A,H26,'MCIA Corrective Actions'!N:N,"Yes"))</f>
        <v xml:space="preserve"> </v>
      </c>
      <c r="O26" s="1" t="str">
        <f>_xlfn.IFNA(VLOOKUP(H26,'MCIA Corrective Actions'!$A$2:$R$1092,6,FALSE)," ")</f>
        <v xml:space="preserve"> </v>
      </c>
      <c r="P26" s="1"/>
    </row>
    <row r="27" spans="1:16" x14ac:dyDescent="0.25">
      <c r="A27" s="1">
        <v>24</v>
      </c>
      <c r="B27" s="108">
        <f>VLOOKUP($A27,Table1[['#]:[Vessel]],4,FALSE)</f>
        <v>55</v>
      </c>
      <c r="C27" s="107">
        <f>VLOOKUP($A27,Table1[['#]:[Date]],3,FALSE)</f>
        <v>42924</v>
      </c>
      <c r="D27" s="3">
        <f>VLOOKUP($A27,Table1[['#]:[Hours]],7,FALSE)</f>
        <v>48.26</v>
      </c>
      <c r="E27" s="3" t="str">
        <f>VLOOKUP($A27,Table1[['#]:[System]],8,FALSE)&amp;" / "&amp;VLOOKUP($A27,Table1[['#]:[Subsystem]],9,FALSE)</f>
        <v>Spud System / Walking Mechanism</v>
      </c>
      <c r="F27" s="108">
        <f>VLOOKUP($A27,Table1[['#]:[Work Order '#]],10,FALSE)</f>
        <v>4198364</v>
      </c>
      <c r="G27" s="110" t="str">
        <f>VLOOKUP($A27,Table1[['#]:[Delay Log Notes]],11,FALSE)</f>
        <v>None</v>
      </c>
      <c r="H27" s="1" t="str">
        <f>_xlfn.IFNA(VLOOKUP(A27,'EDL Data'!$A$2:$M$1245,6,FALSE)," ")</f>
        <v>None</v>
      </c>
      <c r="I27" s="1" t="str">
        <f>_xlfn.IFNA(VLOOKUP(H27,'MCIA Cases'!$A$2:$R$1091,2,FALSE)," ")</f>
        <v xml:space="preserve"> </v>
      </c>
      <c r="J27" s="1" t="str">
        <f>_xlfn.IFNA(VLOOKUP(H27,'MCIA Cases'!$A$2:$R$1091,9,FALSE)," ")</f>
        <v xml:space="preserve"> </v>
      </c>
      <c r="K27" s="1" t="str">
        <f>_xlfn.IFNA(VLOOKUP(H27,'MCIA Cases'!$A$2:$R$1091,10,FALSE)," ")</f>
        <v xml:space="preserve"> </v>
      </c>
      <c r="L27" s="1" t="str">
        <f>_xlfn.IFNA(VLOOKUP(H27,'MCIA Cases'!$A$2:$R$1091,3,FALSE)," ")</f>
        <v xml:space="preserve"> </v>
      </c>
      <c r="M27" s="1" t="str">
        <f>IF(COUNTIF('MCIA Corrective Actions'!$A:$A,H27)=0," ",COUNTIF('MCIA Corrective Actions'!$A:$A,H27))</f>
        <v xml:space="preserve"> </v>
      </c>
      <c r="N27" s="1" t="str">
        <f>IF(COUNTIF('MCIA Corrective Actions'!$A:$A,H27)=0," ",COUNTIFS('MCIA Corrective Actions'!$A:$A,H27,'MCIA Corrective Actions'!N:N,"Yes"))</f>
        <v xml:space="preserve"> </v>
      </c>
      <c r="O27" s="1" t="str">
        <f>_xlfn.IFNA(VLOOKUP(H27,'MCIA Corrective Actions'!$A$2:$R$1092,6,FALSE)," ")</f>
        <v xml:space="preserve"> </v>
      </c>
      <c r="P27" s="1"/>
    </row>
    <row r="28" spans="1:16" x14ac:dyDescent="0.25">
      <c r="A28" s="1">
        <v>25</v>
      </c>
      <c r="B28" s="108" t="str">
        <f>VLOOKUP($A28,Table1[['#]:[Vessel]],4,FALSE)</f>
        <v>Terrapin Island</v>
      </c>
      <c r="C28" s="107">
        <f>VLOOKUP($A28,Table1[['#]:[Date]],3,FALSE)</f>
        <v>42927</v>
      </c>
      <c r="D28" s="3">
        <f>VLOOKUP($A28,Table1[['#]:[Hours]],7,FALSE)</f>
        <v>38.22</v>
      </c>
      <c r="E28" s="3" t="str">
        <f>VLOOKUP($A28,Table1[['#]:[System]],8,FALSE)&amp;" / "&amp;VLOOKUP($A28,Table1[['#]:[Subsystem]],9,FALSE)</f>
        <v>Dredge Pump / Impeller</v>
      </c>
      <c r="F28" s="108">
        <f>VLOOKUP($A28,Table1[['#]:[Work Order '#]],10,FALSE)</f>
        <v>4177229</v>
      </c>
      <c r="G28" s="110" t="str">
        <f>VLOOKUP($A28,Table1[['#]:[Delay Log Notes]],11,FALSE)</f>
        <v>impeller swap</v>
      </c>
      <c r="H28" s="1" t="str">
        <f>_xlfn.IFNA(VLOOKUP(A28,'EDL Data'!$A$2:$M$1245,6,FALSE)," ")</f>
        <v>None</v>
      </c>
      <c r="I28" s="1" t="str">
        <f>_xlfn.IFNA(VLOOKUP(H28,'MCIA Cases'!$A$2:$R$1091,2,FALSE)," ")</f>
        <v xml:space="preserve"> </v>
      </c>
      <c r="J28" s="1" t="str">
        <f>_xlfn.IFNA(VLOOKUP(H28,'MCIA Cases'!$A$2:$R$1091,9,FALSE)," ")</f>
        <v xml:space="preserve"> </v>
      </c>
      <c r="K28" s="1" t="str">
        <f>_xlfn.IFNA(VLOOKUP(H28,'MCIA Cases'!$A$2:$R$1091,10,FALSE)," ")</f>
        <v xml:space="preserve"> </v>
      </c>
      <c r="L28" s="1" t="str">
        <f>_xlfn.IFNA(VLOOKUP(H28,'MCIA Cases'!$A$2:$R$1091,3,FALSE)," ")</f>
        <v xml:space="preserve"> </v>
      </c>
      <c r="M28" s="1" t="str">
        <f>IF(COUNTIF('MCIA Corrective Actions'!$A:$A,H28)=0," ",COUNTIF('MCIA Corrective Actions'!$A:$A,H28))</f>
        <v xml:space="preserve"> </v>
      </c>
      <c r="N28" s="1" t="str">
        <f>IF(COUNTIF('MCIA Corrective Actions'!$A:$A,H28)=0," ",COUNTIFS('MCIA Corrective Actions'!$A:$A,H28,'MCIA Corrective Actions'!N:N,"Yes"))</f>
        <v xml:space="preserve"> </v>
      </c>
      <c r="O28" s="1" t="str">
        <f>_xlfn.IFNA(VLOOKUP(H28,'MCIA Corrective Actions'!$A$2:$R$1092,6,FALSE)," ")</f>
        <v xml:space="preserve"> </v>
      </c>
      <c r="P28" s="1"/>
    </row>
    <row r="29" spans="1:16" x14ac:dyDescent="0.25">
      <c r="A29" s="1">
        <v>26</v>
      </c>
      <c r="B29" s="108" t="str">
        <f>VLOOKUP($A29,Table1[['#]:[Vessel]],4,FALSE)</f>
        <v>Alaska</v>
      </c>
      <c r="C29" s="107">
        <f>VLOOKUP($A29,Table1[['#]:[Date]],3,FALSE)</f>
        <v>42928</v>
      </c>
      <c r="D29" s="3">
        <f>VLOOKUP($A29,Table1[['#]:[Hours]],7,FALSE)</f>
        <v>70.06</v>
      </c>
      <c r="E29" s="3" t="str">
        <f>VLOOKUP($A29,Table1[['#]:[System]],8,FALSE)&amp;" / "&amp;VLOOKUP($A29,Table1[['#]:[Subsystem]],9,FALSE)</f>
        <v>Main Pump / Pump rebuild</v>
      </c>
      <c r="F29" s="108">
        <f>VLOOKUP($A29,Table1[['#]:[Work Order '#]],10,FALSE)</f>
        <v>1727700</v>
      </c>
      <c r="G29" s="110" t="str">
        <f>VLOOKUP($A29,Table1[['#]:[Delay Log Notes]],11,FALSE)</f>
        <v>Pump Job - 36 hours</v>
      </c>
      <c r="H29" s="1" t="str">
        <f>_xlfn.IFNA(VLOOKUP(A29,'EDL Data'!$A$2:$M$1245,6,FALSE)," ")</f>
        <v>None</v>
      </c>
      <c r="I29" s="1" t="str">
        <f>_xlfn.IFNA(VLOOKUP(H29,'MCIA Cases'!$A$2:$R$1091,2,FALSE)," ")</f>
        <v xml:space="preserve"> </v>
      </c>
      <c r="J29" s="1" t="str">
        <f>_xlfn.IFNA(VLOOKUP(H29,'MCIA Cases'!$A$2:$R$1091,9,FALSE)," ")</f>
        <v xml:space="preserve"> </v>
      </c>
      <c r="K29" s="1" t="str">
        <f>_xlfn.IFNA(VLOOKUP(H29,'MCIA Cases'!$A$2:$R$1091,10,FALSE)," ")</f>
        <v xml:space="preserve"> </v>
      </c>
      <c r="L29" s="1" t="str">
        <f>_xlfn.IFNA(VLOOKUP(H29,'MCIA Cases'!$A$2:$R$1091,3,FALSE)," ")</f>
        <v xml:space="preserve"> </v>
      </c>
      <c r="M29" s="1" t="str">
        <f>IF(COUNTIF('MCIA Corrective Actions'!$A:$A,H29)=0," ",COUNTIF('MCIA Corrective Actions'!$A:$A,H29))</f>
        <v xml:space="preserve"> </v>
      </c>
      <c r="N29" s="1" t="str">
        <f>IF(COUNTIF('MCIA Corrective Actions'!$A:$A,H29)=0," ",COUNTIFS('MCIA Corrective Actions'!$A:$A,H29,'MCIA Corrective Actions'!N:N,"Yes"))</f>
        <v xml:space="preserve"> </v>
      </c>
      <c r="O29" s="1" t="str">
        <f>_xlfn.IFNA(VLOOKUP(H29,'MCIA Corrective Actions'!$A$2:$R$1092,6,FALSE)," ")</f>
        <v xml:space="preserve"> </v>
      </c>
      <c r="P29" s="1"/>
    </row>
    <row r="30" spans="1:16" x14ac:dyDescent="0.25">
      <c r="A30" s="1">
        <v>27</v>
      </c>
      <c r="B30" s="108" t="str">
        <f>VLOOKUP($A30,Table1[['#]:[Vessel]],4,FALSE)</f>
        <v>Alaska</v>
      </c>
      <c r="C30" s="107">
        <f>VLOOKUP($A30,Table1[['#]:[Date]],3,FALSE)</f>
        <v>42952</v>
      </c>
      <c r="D30" s="3">
        <f>VLOOKUP($A30,Table1[['#]:[Hours]],7,FALSE)</f>
        <v>30.95</v>
      </c>
      <c r="E30" s="3" t="str">
        <f>VLOOKUP($A30,Table1[['#]:[System]],8,FALSE)&amp;" / "&amp;VLOOKUP($A30,Table1[['#]:[Subsystem]],9,FALSE)</f>
        <v>Main Pump / Pump rebuild</v>
      </c>
      <c r="F30" s="108">
        <f>VLOOKUP($A30,Table1[['#]:[Work Order '#]],10,FALSE)</f>
        <v>4201675</v>
      </c>
      <c r="G30" s="110" t="str">
        <f>VLOOKUP($A30,Table1[['#]:[Delay Log Notes]],11,FALSE)</f>
        <v xml:space="preserve">pump job  </v>
      </c>
      <c r="H30" s="1" t="str">
        <f>_xlfn.IFNA(VLOOKUP(A30,'EDL Data'!$A$2:$M$1245,6,FALSE)," ")</f>
        <v>None</v>
      </c>
      <c r="I30" s="1" t="str">
        <f>_xlfn.IFNA(VLOOKUP(H30,'MCIA Cases'!$A$2:$R$1091,2,FALSE)," ")</f>
        <v xml:space="preserve"> </v>
      </c>
      <c r="J30" s="1" t="str">
        <f>_xlfn.IFNA(VLOOKUP(H30,'MCIA Cases'!$A$2:$R$1091,9,FALSE)," ")</f>
        <v xml:space="preserve"> </v>
      </c>
      <c r="K30" s="1" t="str">
        <f>_xlfn.IFNA(VLOOKUP(H30,'MCIA Cases'!$A$2:$R$1091,10,FALSE)," ")</f>
        <v xml:space="preserve"> </v>
      </c>
      <c r="L30" s="1" t="str">
        <f>_xlfn.IFNA(VLOOKUP(H30,'MCIA Cases'!$A$2:$R$1091,3,FALSE)," ")</f>
        <v xml:space="preserve"> </v>
      </c>
      <c r="M30" s="1" t="str">
        <f>IF(COUNTIF('MCIA Corrective Actions'!$A:$A,H30)=0," ",COUNTIF('MCIA Corrective Actions'!$A:$A,H30))</f>
        <v xml:space="preserve"> </v>
      </c>
      <c r="N30" s="1" t="str">
        <f>IF(COUNTIF('MCIA Corrective Actions'!$A:$A,H30)=0," ",COUNTIFS('MCIA Corrective Actions'!$A:$A,H30,'MCIA Corrective Actions'!N:N,"Yes"))</f>
        <v xml:space="preserve"> </v>
      </c>
      <c r="O30" s="1" t="str">
        <f>_xlfn.IFNA(VLOOKUP(H30,'MCIA Corrective Actions'!$A$2:$R$1092,6,FALSE)," ")</f>
        <v xml:space="preserve"> </v>
      </c>
      <c r="P30" s="1"/>
    </row>
    <row r="31" spans="1:16" x14ac:dyDescent="0.25">
      <c r="A31" s="1">
        <v>28</v>
      </c>
      <c r="B31" s="108" t="str">
        <f>VLOOKUP($A31,Table1[['#]:[Vessel]],4,FALSE)</f>
        <v>Illinois</v>
      </c>
      <c r="C31" s="107">
        <f>VLOOKUP($A31,Table1[['#]:[Date]],3,FALSE)</f>
        <v>42964</v>
      </c>
      <c r="D31" s="3">
        <f>VLOOKUP($A31,Table1[['#]:[Hours]],7,FALSE)</f>
        <v>27.24</v>
      </c>
      <c r="E31" s="3" t="str">
        <f>VLOOKUP($A31,Table1[['#]:[System]],8,FALSE)&amp;" / "&amp;VLOOKUP($A31,Table1[['#]:[Subsystem]],9,FALSE)</f>
        <v>Swing System / Winch System</v>
      </c>
      <c r="F31" s="108">
        <f>VLOOKUP($A31,Table1[['#]:[Work Order '#]],10,FALSE)</f>
        <v>4199603</v>
      </c>
      <c r="G31" s="110" t="str">
        <f>VLOOKUP($A31,Table1[['#]:[Delay Log Notes]],11,FALSE)</f>
        <v>Swing winch drive not working</v>
      </c>
      <c r="H31" s="1" t="str">
        <f>_xlfn.IFNA(VLOOKUP(A31,'EDL Data'!$A$2:$M$1245,6,FALSE)," ")</f>
        <v>None</v>
      </c>
      <c r="I31" s="1" t="str">
        <f>_xlfn.IFNA(VLOOKUP(H31,'MCIA Cases'!$A$2:$R$1091,2,FALSE)," ")</f>
        <v xml:space="preserve"> </v>
      </c>
      <c r="J31" s="1" t="str">
        <f>_xlfn.IFNA(VLOOKUP(H31,'MCIA Cases'!$A$2:$R$1091,9,FALSE)," ")</f>
        <v xml:space="preserve"> </v>
      </c>
      <c r="K31" s="1" t="str">
        <f>_xlfn.IFNA(VLOOKUP(H31,'MCIA Cases'!$A$2:$R$1091,10,FALSE)," ")</f>
        <v xml:space="preserve"> </v>
      </c>
      <c r="L31" s="1" t="str">
        <f>_xlfn.IFNA(VLOOKUP(H31,'MCIA Cases'!$A$2:$R$1091,3,FALSE)," ")</f>
        <v xml:space="preserve"> </v>
      </c>
      <c r="M31" s="1" t="str">
        <f>IF(COUNTIF('MCIA Corrective Actions'!$A:$A,H31)=0," ",COUNTIF('MCIA Corrective Actions'!$A:$A,H31))</f>
        <v xml:space="preserve"> </v>
      </c>
      <c r="N31" s="1" t="str">
        <f>IF(COUNTIF('MCIA Corrective Actions'!$A:$A,H31)=0," ",COUNTIFS('MCIA Corrective Actions'!$A:$A,H31,'MCIA Corrective Actions'!N:N,"Yes"))</f>
        <v xml:space="preserve"> </v>
      </c>
      <c r="O31" s="1" t="str">
        <f>_xlfn.IFNA(VLOOKUP(H31,'MCIA Corrective Actions'!$A$2:$R$1092,6,FALSE)," ")</f>
        <v xml:space="preserve"> </v>
      </c>
      <c r="P31" s="1"/>
    </row>
    <row r="32" spans="1:16" x14ac:dyDescent="0.25">
      <c r="A32" s="1">
        <v>29</v>
      </c>
      <c r="B32" s="108" t="str">
        <f>VLOOKUP($A32,Table1[['#]:[Vessel]],4,FALSE)</f>
        <v>Padre Island</v>
      </c>
      <c r="C32" s="107">
        <f>VLOOKUP($A32,Table1[['#]:[Date]],3,FALSE)</f>
        <v>42978</v>
      </c>
      <c r="D32" s="3">
        <f>VLOOKUP($A32,Table1[['#]:[Hours]],7,FALSE)</f>
        <v>98.99</v>
      </c>
      <c r="E32" s="3" t="str">
        <f>VLOOKUP($A32,Table1[['#]:[System]],8,FALSE)&amp;" / "&amp;VLOOKUP($A32,Table1[['#]:[Subsystem]],9,FALSE)</f>
        <v>Dredge Pump Engine / Dredge Pump Engine</v>
      </c>
      <c r="F32" s="108" t="str">
        <f>VLOOKUP($A32,Table1[['#]:[Work Order '#]],10,FALSE)</f>
        <v>N/A</v>
      </c>
      <c r="G32" s="110" t="str">
        <f>VLOOKUP($A32,Table1[['#]:[Delay Log Notes]],11,FALSE)</f>
        <v xml:space="preserve">overheating  </v>
      </c>
      <c r="H32" s="1" t="str">
        <f>_xlfn.IFNA(VLOOKUP(A32,'EDL Data'!$A$2:$M$1245,6,FALSE)," ")</f>
        <v>None</v>
      </c>
      <c r="I32" s="1" t="str">
        <f>_xlfn.IFNA(VLOOKUP(H32,'MCIA Cases'!$A$2:$R$1091,2,FALSE)," ")</f>
        <v xml:space="preserve"> </v>
      </c>
      <c r="J32" s="1" t="str">
        <f>_xlfn.IFNA(VLOOKUP(H32,'MCIA Cases'!$A$2:$R$1091,9,FALSE)," ")</f>
        <v xml:space="preserve"> </v>
      </c>
      <c r="K32" s="1" t="str">
        <f>_xlfn.IFNA(VLOOKUP(H32,'MCIA Cases'!$A$2:$R$1091,10,FALSE)," ")</f>
        <v xml:space="preserve"> </v>
      </c>
      <c r="L32" s="1" t="str">
        <f>_xlfn.IFNA(VLOOKUP(H32,'MCIA Cases'!$A$2:$R$1091,3,FALSE)," ")</f>
        <v xml:space="preserve"> </v>
      </c>
      <c r="M32" s="1" t="str">
        <f>IF(COUNTIF('MCIA Corrective Actions'!$A:$A,H32)=0," ",COUNTIF('MCIA Corrective Actions'!$A:$A,H32))</f>
        <v xml:space="preserve"> </v>
      </c>
      <c r="N32" s="1" t="str">
        <f>IF(COUNTIF('MCIA Corrective Actions'!$A:$A,H32)=0," ",COUNTIFS('MCIA Corrective Actions'!$A:$A,H32,'MCIA Corrective Actions'!N:N,"Yes"))</f>
        <v xml:space="preserve"> </v>
      </c>
      <c r="O32" s="1" t="str">
        <f>_xlfn.IFNA(VLOOKUP(H32,'MCIA Corrective Actions'!$A$2:$R$1092,6,FALSE)," ")</f>
        <v xml:space="preserve"> </v>
      </c>
      <c r="P32" s="1"/>
    </row>
    <row r="33" spans="1:16" x14ac:dyDescent="0.25">
      <c r="A33" s="1">
        <v>30</v>
      </c>
      <c r="B33" s="108">
        <f>VLOOKUP($A33,Table1[['#]:[Vessel]],4,FALSE)</f>
        <v>55</v>
      </c>
      <c r="C33" s="107">
        <f>VLOOKUP($A33,Table1[['#]:[Date]],3,FALSE)</f>
        <v>42986</v>
      </c>
      <c r="D33" s="3">
        <f>VLOOKUP($A33,Table1[['#]:[Hours]],7,FALSE)</f>
        <v>58.02</v>
      </c>
      <c r="E33" s="3" t="str">
        <f>VLOOKUP($A33,Table1[['#]:[System]],8,FALSE)&amp;" / "&amp;VLOOKUP($A33,Table1[['#]:[Subsystem]],9,FALSE)</f>
        <v>Main Hoist / Closer</v>
      </c>
      <c r="F33" s="108">
        <f>VLOOKUP($A33,Table1[['#]:[Work Order '#]],10,FALSE)</f>
        <v>4200447</v>
      </c>
      <c r="G33" s="110" t="str">
        <f>VLOOKUP($A33,Table1[['#]:[Delay Log Notes]],11,FALSE)</f>
        <v>hoist motor out</v>
      </c>
      <c r="H33" s="1" t="str">
        <f>_xlfn.IFNA(VLOOKUP(A33,'EDL Data'!$A$2:$M$1245,6,FALSE)," ")</f>
        <v>None</v>
      </c>
      <c r="I33" s="1" t="str">
        <f>_xlfn.IFNA(VLOOKUP(H33,'MCIA Cases'!$A$2:$R$1091,2,FALSE)," ")</f>
        <v xml:space="preserve"> </v>
      </c>
      <c r="J33" s="1" t="str">
        <f>_xlfn.IFNA(VLOOKUP(H33,'MCIA Cases'!$A$2:$R$1091,9,FALSE)," ")</f>
        <v xml:space="preserve"> </v>
      </c>
      <c r="K33" s="1" t="str">
        <f>_xlfn.IFNA(VLOOKUP(H33,'MCIA Cases'!$A$2:$R$1091,10,FALSE)," ")</f>
        <v xml:space="preserve"> </v>
      </c>
      <c r="L33" s="1" t="str">
        <f>_xlfn.IFNA(VLOOKUP(H33,'MCIA Cases'!$A$2:$R$1091,3,FALSE)," ")</f>
        <v xml:space="preserve"> </v>
      </c>
      <c r="M33" s="1" t="str">
        <f>IF(COUNTIF('MCIA Corrective Actions'!$A:$A,H33)=0," ",COUNTIF('MCIA Corrective Actions'!$A:$A,H33))</f>
        <v xml:space="preserve"> </v>
      </c>
      <c r="N33" s="1" t="str">
        <f>IF(COUNTIF('MCIA Corrective Actions'!$A:$A,H33)=0," ",COUNTIFS('MCIA Corrective Actions'!$A:$A,H33,'MCIA Corrective Actions'!N:N,"Yes"))</f>
        <v xml:space="preserve"> </v>
      </c>
      <c r="O33" s="1" t="str">
        <f>_xlfn.IFNA(VLOOKUP(H33,'MCIA Corrective Actions'!$A$2:$R$1092,6,FALSE)," ")</f>
        <v xml:space="preserve"> </v>
      </c>
      <c r="P33" s="1"/>
    </row>
    <row r="34" spans="1:16" x14ac:dyDescent="0.25">
      <c r="A34" s="1">
        <v>31</v>
      </c>
      <c r="B34" s="108" t="str">
        <f>VLOOKUP($A34,Table1[['#]:[Vessel]],4,FALSE)</f>
        <v>Padre Island</v>
      </c>
      <c r="C34" s="107">
        <f>VLOOKUP($A34,Table1[['#]:[Date]],3,FALSE)</f>
        <v>42995</v>
      </c>
      <c r="D34" s="3">
        <f>VLOOKUP($A34,Table1[['#]:[Hours]],7,FALSE)</f>
        <v>46.57</v>
      </c>
      <c r="E34" s="3" t="str">
        <f>VLOOKUP($A34,Table1[['#]:[System]],8,FALSE)&amp;" / "&amp;VLOOKUP($A34,Table1[['#]:[Subsystem]],9,FALSE)</f>
        <v>Piping / Hoses / Lower Drag Arm</v>
      </c>
      <c r="F34" s="108">
        <f>VLOOKUP($A34,Table1[['#]:[Work Order '#]],10,FALSE)</f>
        <v>1987956</v>
      </c>
      <c r="G34" s="110" t="str">
        <f>VLOOKUP($A34,Table1[['#]:[Delay Log Notes]],11,FALSE)</f>
        <v>sail to wilmington to replace broken lower port DA</v>
      </c>
      <c r="H34" s="1" t="str">
        <f>_xlfn.IFNA(VLOOKUP(A34,'EDL Data'!$A$2:$M$1245,6,FALSE)," ")</f>
        <v>None</v>
      </c>
      <c r="I34" s="1" t="str">
        <f>_xlfn.IFNA(VLOOKUP(H34,'MCIA Cases'!$A$2:$R$1091,2,FALSE)," ")</f>
        <v xml:space="preserve"> </v>
      </c>
      <c r="J34" s="1" t="str">
        <f>_xlfn.IFNA(VLOOKUP(H34,'MCIA Cases'!$A$2:$R$1091,9,FALSE)," ")</f>
        <v xml:space="preserve"> </v>
      </c>
      <c r="K34" s="1" t="str">
        <f>_xlfn.IFNA(VLOOKUP(H34,'MCIA Cases'!$A$2:$R$1091,10,FALSE)," ")</f>
        <v xml:space="preserve"> </v>
      </c>
      <c r="L34" s="1" t="str">
        <f>_xlfn.IFNA(VLOOKUP(H34,'MCIA Cases'!$A$2:$R$1091,3,FALSE)," ")</f>
        <v xml:space="preserve"> </v>
      </c>
      <c r="M34" s="1" t="str">
        <f>IF(COUNTIF('MCIA Corrective Actions'!$A:$A,H34)=0," ",COUNTIF('MCIA Corrective Actions'!$A:$A,H34))</f>
        <v xml:space="preserve"> </v>
      </c>
      <c r="N34" s="1" t="str">
        <f>IF(COUNTIF('MCIA Corrective Actions'!$A:$A,H34)=0," ",COUNTIFS('MCIA Corrective Actions'!$A:$A,H34,'MCIA Corrective Actions'!N:N,"Yes"))</f>
        <v xml:space="preserve"> </v>
      </c>
      <c r="O34" s="1" t="str">
        <f>_xlfn.IFNA(VLOOKUP(H34,'MCIA Corrective Actions'!$A$2:$R$1092,6,FALSE)," ")</f>
        <v xml:space="preserve"> </v>
      </c>
      <c r="P34" s="1"/>
    </row>
    <row r="35" spans="1:16" x14ac:dyDescent="0.25">
      <c r="A35" s="1">
        <v>32</v>
      </c>
      <c r="B35" s="108" t="str">
        <f>VLOOKUP($A35,Table1[['#]:[Vessel]],4,FALSE)</f>
        <v>Alaska</v>
      </c>
      <c r="C35" s="107">
        <f>VLOOKUP($A35,Table1[['#]:[Date]],3,FALSE)</f>
        <v>42997</v>
      </c>
      <c r="D35" s="3">
        <f>VLOOKUP($A35,Table1[['#]:[Hours]],7,FALSE)</f>
        <v>110.73</v>
      </c>
      <c r="E35" s="3" t="str">
        <f>VLOOKUP($A35,Table1[['#]:[System]],8,FALSE)&amp;" / "&amp;VLOOKUP($A35,Table1[['#]:[Subsystem]],9,FALSE)</f>
        <v>Main Pump / Pump rebuild</v>
      </c>
      <c r="F35" s="108">
        <f>VLOOKUP($A35,Table1[['#]:[Work Order '#]],10,FALSE)</f>
        <v>1727560</v>
      </c>
      <c r="G35" s="110" t="str">
        <f>VLOOKUP($A35,Table1[['#]:[Delay Log Notes]],11,FALSE)</f>
        <v>None</v>
      </c>
      <c r="H35" s="1" t="str">
        <f>_xlfn.IFNA(VLOOKUP(A35,'EDL Data'!$A$2:$M$1245,6,FALSE)," ")</f>
        <v>None</v>
      </c>
      <c r="I35" s="1" t="str">
        <f>_xlfn.IFNA(VLOOKUP(H35,'MCIA Cases'!$A$2:$R$1091,2,FALSE)," ")</f>
        <v xml:space="preserve"> </v>
      </c>
      <c r="J35" s="1" t="str">
        <f>_xlfn.IFNA(VLOOKUP(H35,'MCIA Cases'!$A$2:$R$1091,9,FALSE)," ")</f>
        <v xml:space="preserve"> </v>
      </c>
      <c r="K35" s="1" t="str">
        <f>_xlfn.IFNA(VLOOKUP(H35,'MCIA Cases'!$A$2:$R$1091,10,FALSE)," ")</f>
        <v xml:space="preserve"> </v>
      </c>
      <c r="L35" s="1" t="str">
        <f>_xlfn.IFNA(VLOOKUP(H35,'MCIA Cases'!$A$2:$R$1091,3,FALSE)," ")</f>
        <v xml:space="preserve"> </v>
      </c>
      <c r="M35" s="1" t="str">
        <f>IF(COUNTIF('MCIA Corrective Actions'!$A:$A,H35)=0," ",COUNTIF('MCIA Corrective Actions'!$A:$A,H35))</f>
        <v xml:space="preserve"> </v>
      </c>
      <c r="N35" s="1" t="str">
        <f>IF(COUNTIF('MCIA Corrective Actions'!$A:$A,H35)=0," ",COUNTIFS('MCIA Corrective Actions'!$A:$A,H35,'MCIA Corrective Actions'!N:N,"Yes"))</f>
        <v xml:space="preserve"> </v>
      </c>
      <c r="O35" s="1" t="str">
        <f>_xlfn.IFNA(VLOOKUP(H35,'MCIA Corrective Actions'!$A$2:$R$1092,6,FALSE)," ")</f>
        <v xml:space="preserve"> </v>
      </c>
      <c r="P35" s="1"/>
    </row>
    <row r="36" spans="1:16" x14ac:dyDescent="0.25">
      <c r="A36" s="1">
        <v>33</v>
      </c>
      <c r="B36" s="108">
        <f>VLOOKUP($A36,Table1[['#]:[Vessel]],4,FALSE)</f>
        <v>54</v>
      </c>
      <c r="C36" s="107">
        <f>VLOOKUP($A36,Table1[['#]:[Date]],3,FALSE)</f>
        <v>43029</v>
      </c>
      <c r="D36" s="3">
        <f>VLOOKUP($A36,Table1[['#]:[Hours]],7,FALSE)</f>
        <v>55.33</v>
      </c>
      <c r="E36" s="3" t="str">
        <f>VLOOKUP($A36,Table1[['#]:[System]],8,FALSE)&amp;" / "&amp;VLOOKUP($A36,Table1[['#]:[Subsystem]],9,FALSE)</f>
        <v>Main / Aux. Generators / Main Generator</v>
      </c>
      <c r="F36" s="108">
        <f>VLOOKUP($A36,Table1[['#]:[Work Order '#]],10,FALSE)</f>
        <v>4201397</v>
      </c>
      <c r="G36" s="110" t="str">
        <f>VLOOKUP($A36,Table1[['#]:[Delay Log Notes]],11,FALSE)</f>
        <v>standing by for main gen</v>
      </c>
      <c r="H36" s="1" t="str">
        <f>_xlfn.IFNA(VLOOKUP(A36,'EDL Data'!$A$2:$M$1245,6,FALSE)," ")</f>
        <v>None</v>
      </c>
      <c r="I36" s="1" t="str">
        <f>_xlfn.IFNA(VLOOKUP(H36,'MCIA Cases'!$A$2:$R$1091,2,FALSE)," ")</f>
        <v xml:space="preserve"> </v>
      </c>
      <c r="J36" s="1" t="str">
        <f>_xlfn.IFNA(VLOOKUP(H36,'MCIA Cases'!$A$2:$R$1091,9,FALSE)," ")</f>
        <v xml:space="preserve"> </v>
      </c>
      <c r="K36" s="1" t="str">
        <f>_xlfn.IFNA(VLOOKUP(H36,'MCIA Cases'!$A$2:$R$1091,10,FALSE)," ")</f>
        <v xml:space="preserve"> </v>
      </c>
      <c r="L36" s="1" t="str">
        <f>_xlfn.IFNA(VLOOKUP(H36,'MCIA Cases'!$A$2:$R$1091,3,FALSE)," ")</f>
        <v xml:space="preserve"> </v>
      </c>
      <c r="M36" s="1" t="str">
        <f>IF(COUNTIF('MCIA Corrective Actions'!$A:$A,H36)=0," ",COUNTIF('MCIA Corrective Actions'!$A:$A,H36))</f>
        <v xml:space="preserve"> </v>
      </c>
      <c r="N36" s="1" t="str">
        <f>IF(COUNTIF('MCIA Corrective Actions'!$A:$A,H36)=0," ",COUNTIFS('MCIA Corrective Actions'!$A:$A,H36,'MCIA Corrective Actions'!N:N,"Yes"))</f>
        <v xml:space="preserve"> </v>
      </c>
      <c r="O36" s="1" t="str">
        <f>_xlfn.IFNA(VLOOKUP(H36,'MCIA Corrective Actions'!$A$2:$R$1092,6,FALSE)," ")</f>
        <v xml:space="preserve"> </v>
      </c>
      <c r="P36" s="1"/>
    </row>
    <row r="37" spans="1:16" x14ac:dyDescent="0.25">
      <c r="A37" s="1">
        <v>34</v>
      </c>
      <c r="B37" s="108" t="str">
        <f>VLOOKUP($A37,Table1[['#]:[Vessel]],4,FALSE)</f>
        <v>Alaska</v>
      </c>
      <c r="C37" s="107">
        <f>VLOOKUP($A37,Table1[['#]:[Date]],3,FALSE)</f>
        <v>43041</v>
      </c>
      <c r="D37" s="3">
        <f>VLOOKUP($A37,Table1[['#]:[Hours]],7,FALSE)</f>
        <v>77</v>
      </c>
      <c r="E37" s="3" t="str">
        <f>VLOOKUP($A37,Table1[['#]:[System]],8,FALSE)&amp;" / "&amp;VLOOKUP($A37,Table1[['#]:[Subsystem]],9,FALSE)</f>
        <v>Main Pump / Pump rebuild</v>
      </c>
      <c r="F37" s="108">
        <f>VLOOKUP($A37,Table1[['#]:[Work Order '#]],10,FALSE)</f>
        <v>1727498</v>
      </c>
      <c r="G37" s="110" t="str">
        <f>VLOOKUP($A37,Table1[['#]:[Delay Log Notes]],11,FALSE)</f>
        <v>None</v>
      </c>
      <c r="H37" s="1" t="str">
        <f>_xlfn.IFNA(VLOOKUP(A37,'EDL Data'!$A$2:$M$1245,6,FALSE)," ")</f>
        <v>None</v>
      </c>
      <c r="I37" s="1" t="str">
        <f>_xlfn.IFNA(VLOOKUP(H37,'MCIA Cases'!$A$2:$R$1091,2,FALSE)," ")</f>
        <v xml:space="preserve"> </v>
      </c>
      <c r="J37" s="1" t="str">
        <f>_xlfn.IFNA(VLOOKUP(H37,'MCIA Cases'!$A$2:$R$1091,9,FALSE)," ")</f>
        <v xml:space="preserve"> </v>
      </c>
      <c r="K37" s="1" t="str">
        <f>_xlfn.IFNA(VLOOKUP(H37,'MCIA Cases'!$A$2:$R$1091,10,FALSE)," ")</f>
        <v xml:space="preserve"> </v>
      </c>
      <c r="L37" s="1" t="str">
        <f>_xlfn.IFNA(VLOOKUP(H37,'MCIA Cases'!$A$2:$R$1091,3,FALSE)," ")</f>
        <v xml:space="preserve"> </v>
      </c>
      <c r="M37" s="1" t="str">
        <f>IF(COUNTIF('MCIA Corrective Actions'!$A:$A,H37)=0," ",COUNTIF('MCIA Corrective Actions'!$A:$A,H37))</f>
        <v xml:space="preserve"> </v>
      </c>
      <c r="N37" s="1" t="str">
        <f>IF(COUNTIF('MCIA Corrective Actions'!$A:$A,H37)=0," ",COUNTIFS('MCIA Corrective Actions'!$A:$A,H37,'MCIA Corrective Actions'!N:N,"Yes"))</f>
        <v xml:space="preserve"> </v>
      </c>
      <c r="O37" s="1" t="str">
        <f>_xlfn.IFNA(VLOOKUP(H37,'MCIA Corrective Actions'!$A$2:$R$1092,6,FALSE)," ")</f>
        <v xml:space="preserve"> </v>
      </c>
      <c r="P37" s="1"/>
    </row>
    <row r="38" spans="1:16" x14ac:dyDescent="0.25">
      <c r="A38" s="1">
        <v>35</v>
      </c>
      <c r="B38" s="108">
        <f>VLOOKUP($A38,Table1[['#]:[Vessel]],4,FALSE)</f>
        <v>55</v>
      </c>
      <c r="C38" s="107">
        <f>VLOOKUP($A38,Table1[['#]:[Date]],3,FALSE)</f>
        <v>43045</v>
      </c>
      <c r="D38" s="3">
        <f>VLOOKUP($A38,Table1[['#]:[Hours]],7,FALSE)</f>
        <v>26.31</v>
      </c>
      <c r="E38" s="3" t="str">
        <f>VLOOKUP($A38,Table1[['#]:[System]],8,FALSE)&amp;" / "&amp;VLOOKUP($A38,Table1[['#]:[Subsystem]],9,FALSE)</f>
        <v>Buckets / Repair bucket</v>
      </c>
      <c r="F38" s="108" t="str">
        <f>VLOOKUP($A38,Table1[['#]:[Work Order '#]],10,FALSE)</f>
        <v>None</v>
      </c>
      <c r="G38" s="110" t="str">
        <f>VLOOKUP($A38,Table1[['#]:[Delay Log Notes]],11,FALSE)</f>
        <v>None</v>
      </c>
      <c r="H38" s="1" t="str">
        <f>_xlfn.IFNA(VLOOKUP(A38,'EDL Data'!$A$2:$M$1245,6,FALSE)," ")</f>
        <v>None</v>
      </c>
      <c r="I38" s="1" t="str">
        <f>_xlfn.IFNA(VLOOKUP(H38,'MCIA Cases'!$A$2:$R$1091,2,FALSE)," ")</f>
        <v xml:space="preserve"> </v>
      </c>
      <c r="J38" s="1" t="str">
        <f>_xlfn.IFNA(VLOOKUP(H38,'MCIA Cases'!$A$2:$R$1091,9,FALSE)," ")</f>
        <v xml:space="preserve"> </v>
      </c>
      <c r="K38" s="1" t="str">
        <f>_xlfn.IFNA(VLOOKUP(H38,'MCIA Cases'!$A$2:$R$1091,10,FALSE)," ")</f>
        <v xml:space="preserve"> </v>
      </c>
      <c r="L38" s="1" t="str">
        <f>_xlfn.IFNA(VLOOKUP(H38,'MCIA Cases'!$A$2:$R$1091,3,FALSE)," ")</f>
        <v xml:space="preserve"> </v>
      </c>
      <c r="M38" s="1" t="str">
        <f>IF(COUNTIF('MCIA Corrective Actions'!$A:$A,H38)=0," ",COUNTIF('MCIA Corrective Actions'!$A:$A,H38))</f>
        <v xml:space="preserve"> </v>
      </c>
      <c r="N38" s="1" t="str">
        <f>IF(COUNTIF('MCIA Corrective Actions'!$A:$A,H38)=0," ",COUNTIFS('MCIA Corrective Actions'!$A:$A,H38,'MCIA Corrective Actions'!N:N,"Yes"))</f>
        <v xml:space="preserve"> </v>
      </c>
      <c r="O38" s="1" t="str">
        <f>_xlfn.IFNA(VLOOKUP(H38,'MCIA Corrective Actions'!$A$2:$R$1092,6,FALSE)," ")</f>
        <v xml:space="preserve"> </v>
      </c>
      <c r="P38" s="1"/>
    </row>
    <row r="39" spans="1:16" x14ac:dyDescent="0.25">
      <c r="A39" s="1">
        <v>36</v>
      </c>
      <c r="B39" s="108" t="str">
        <f>VLOOKUP($A39,Table1[['#]:[Vessel]],4,FALSE)</f>
        <v>Liberty Island</v>
      </c>
      <c r="C39" s="107">
        <f>VLOOKUP($A39,Table1[['#]:[Date]],3,FALSE)</f>
        <v>43045</v>
      </c>
      <c r="D39" s="3">
        <f>VLOOKUP($A39,Table1[['#]:[Hours]],7,FALSE)</f>
        <v>34.659999999999997</v>
      </c>
      <c r="E39" s="3" t="str">
        <f>VLOOKUP($A39,Table1[['#]:[System]],8,FALSE)&amp;" / "&amp;VLOOKUP($A39,Table1[['#]:[Subsystem]],9,FALSE)</f>
        <v xml:space="preserve">Jet Pump / Pump Bearing  </v>
      </c>
      <c r="F39" s="108" t="str">
        <f>VLOOKUP($A39,Table1[['#]:[Work Order '#]],10,FALSE)</f>
        <v>None</v>
      </c>
      <c r="G39" s="110" t="str">
        <f>VLOOKUP($A39,Table1[['#]:[Delay Log Notes]],11,FALSE)</f>
        <v>None</v>
      </c>
      <c r="H39" s="1" t="str">
        <f>_xlfn.IFNA(VLOOKUP(A39,'EDL Data'!$A$2:$M$1245,6,FALSE)," ")</f>
        <v>None</v>
      </c>
      <c r="I39" s="1" t="str">
        <f>_xlfn.IFNA(VLOOKUP(H39,'MCIA Cases'!$A$2:$R$1091,2,FALSE)," ")</f>
        <v xml:space="preserve"> </v>
      </c>
      <c r="J39" s="1" t="str">
        <f>_xlfn.IFNA(VLOOKUP(H39,'MCIA Cases'!$A$2:$R$1091,9,FALSE)," ")</f>
        <v xml:space="preserve"> </v>
      </c>
      <c r="K39" s="1" t="str">
        <f>_xlfn.IFNA(VLOOKUP(H39,'MCIA Cases'!$A$2:$R$1091,10,FALSE)," ")</f>
        <v xml:space="preserve"> </v>
      </c>
      <c r="L39" s="1" t="str">
        <f>_xlfn.IFNA(VLOOKUP(H39,'MCIA Cases'!$A$2:$R$1091,3,FALSE)," ")</f>
        <v xml:space="preserve"> </v>
      </c>
      <c r="M39" s="1" t="str">
        <f>IF(COUNTIF('MCIA Corrective Actions'!$A:$A,H39)=0," ",COUNTIF('MCIA Corrective Actions'!$A:$A,H39))</f>
        <v xml:space="preserve"> </v>
      </c>
      <c r="N39" s="1" t="str">
        <f>IF(COUNTIF('MCIA Corrective Actions'!$A:$A,H39)=0," ",COUNTIFS('MCIA Corrective Actions'!$A:$A,H39,'MCIA Corrective Actions'!N:N,"Yes"))</f>
        <v xml:space="preserve"> </v>
      </c>
      <c r="O39" s="1" t="str">
        <f>_xlfn.IFNA(VLOOKUP(H39,'MCIA Corrective Actions'!$A$2:$R$1092,6,FALSE)," ")</f>
        <v xml:space="preserve"> </v>
      </c>
      <c r="P39" s="1"/>
    </row>
    <row r="40" spans="1:16" x14ac:dyDescent="0.25">
      <c r="A40" s="1">
        <v>37</v>
      </c>
      <c r="B40" s="108" t="str">
        <f>VLOOKUP($A40,Table1[['#]:[Vessel]],4,FALSE)</f>
        <v>Texas</v>
      </c>
      <c r="C40" s="107">
        <f>VLOOKUP($A40,Table1[['#]:[Date]],3,FALSE)</f>
        <v>43045</v>
      </c>
      <c r="D40" s="3">
        <f>VLOOKUP($A40,Table1[['#]:[Hours]],7,FALSE)</f>
        <v>73.08</v>
      </c>
      <c r="E40" s="3" t="str">
        <f>VLOOKUP($A40,Table1[['#]:[System]],8,FALSE)&amp;" / "&amp;VLOOKUP($A40,Table1[['#]:[Subsystem]],9,FALSE)</f>
        <v>Main Pump / Pump rebuild</v>
      </c>
      <c r="F40" s="108" t="str">
        <f>VLOOKUP($A40,Table1[['#]:[Work Order '#]],10,FALSE)</f>
        <v>N/A</v>
      </c>
      <c r="G40" s="110" t="str">
        <f>VLOOKUP($A40,Table1[['#]:[Delay Log Notes]],11,FALSE)</f>
        <v>None</v>
      </c>
      <c r="H40" s="1" t="str">
        <f>_xlfn.IFNA(VLOOKUP(A40,'EDL Data'!$A$2:$M$1245,6,FALSE)," ")</f>
        <v>None</v>
      </c>
      <c r="I40" s="1" t="str">
        <f>_xlfn.IFNA(VLOOKUP(H40,'MCIA Cases'!$A$2:$R$1091,2,FALSE)," ")</f>
        <v xml:space="preserve"> </v>
      </c>
      <c r="J40" s="1" t="str">
        <f>_xlfn.IFNA(VLOOKUP(H40,'MCIA Cases'!$A$2:$R$1091,9,FALSE)," ")</f>
        <v xml:space="preserve"> </v>
      </c>
      <c r="K40" s="1" t="str">
        <f>_xlfn.IFNA(VLOOKUP(H40,'MCIA Cases'!$A$2:$R$1091,10,FALSE)," ")</f>
        <v xml:space="preserve"> </v>
      </c>
      <c r="L40" s="1" t="str">
        <f>_xlfn.IFNA(VLOOKUP(H40,'MCIA Cases'!$A$2:$R$1091,3,FALSE)," ")</f>
        <v xml:space="preserve"> </v>
      </c>
      <c r="M40" s="1" t="str">
        <f>IF(COUNTIF('MCIA Corrective Actions'!$A:$A,H40)=0," ",COUNTIF('MCIA Corrective Actions'!$A:$A,H40))</f>
        <v xml:space="preserve"> </v>
      </c>
      <c r="N40" s="1" t="str">
        <f>IF(COUNTIF('MCIA Corrective Actions'!$A:$A,H40)=0," ",COUNTIFS('MCIA Corrective Actions'!$A:$A,H40,'MCIA Corrective Actions'!N:N,"Yes"))</f>
        <v xml:space="preserve"> </v>
      </c>
      <c r="O40" s="1" t="str">
        <f>_xlfn.IFNA(VLOOKUP(H40,'MCIA Corrective Actions'!$A$2:$R$1092,6,FALSE)," ")</f>
        <v xml:space="preserve"> </v>
      </c>
      <c r="P40" s="1"/>
    </row>
    <row r="41" spans="1:16" x14ac:dyDescent="0.25">
      <c r="A41" s="1">
        <v>38</v>
      </c>
      <c r="B41" s="108" t="str">
        <f>VLOOKUP($A41,Table1[['#]:[Vessel]],4,FALSE)</f>
        <v>Alaska</v>
      </c>
      <c r="C41" s="107">
        <f>VLOOKUP($A41,Table1[['#]:[Date]],3,FALSE)</f>
        <v>43051</v>
      </c>
      <c r="D41" s="3">
        <f>VLOOKUP($A41,Table1[['#]:[Hours]],7,FALSE)</f>
        <v>59.52</v>
      </c>
      <c r="E41" s="3" t="str">
        <f>VLOOKUP($A41,Table1[['#]:[System]],8,FALSE)&amp;" / "&amp;VLOOKUP($A41,Table1[['#]:[Subsystem]],9,FALSE)</f>
        <v>Main Pump / Bearings/Shafts</v>
      </c>
      <c r="F41" s="108">
        <f>VLOOKUP($A41,Table1[['#]:[Work Order '#]],10,FALSE)</f>
        <v>1703521</v>
      </c>
      <c r="G41" s="110" t="str">
        <f>VLOOKUP($A41,Table1[['#]:[Delay Log Notes]],11,FALSE)</f>
        <v>Port Side</v>
      </c>
      <c r="H41" s="1" t="str">
        <f>_xlfn.IFNA(VLOOKUP(A41,'EDL Data'!$A$2:$M$1245,6,FALSE)," ")</f>
        <v>None</v>
      </c>
      <c r="I41" s="1" t="str">
        <f>_xlfn.IFNA(VLOOKUP(H41,'MCIA Cases'!$A$2:$R$1091,2,FALSE)," ")</f>
        <v xml:space="preserve"> </v>
      </c>
      <c r="J41" s="1" t="str">
        <f>_xlfn.IFNA(VLOOKUP(H41,'MCIA Cases'!$A$2:$R$1091,9,FALSE)," ")</f>
        <v xml:space="preserve"> </v>
      </c>
      <c r="K41" s="1" t="str">
        <f>_xlfn.IFNA(VLOOKUP(H41,'MCIA Cases'!$A$2:$R$1091,10,FALSE)," ")</f>
        <v xml:space="preserve"> </v>
      </c>
      <c r="L41" s="1" t="str">
        <f>_xlfn.IFNA(VLOOKUP(H41,'MCIA Cases'!$A$2:$R$1091,3,FALSE)," ")</f>
        <v xml:space="preserve"> </v>
      </c>
      <c r="M41" s="1" t="str">
        <f>IF(COUNTIF('MCIA Corrective Actions'!$A:$A,H41)=0," ",COUNTIF('MCIA Corrective Actions'!$A:$A,H41))</f>
        <v xml:space="preserve"> </v>
      </c>
      <c r="N41" s="1" t="str">
        <f>IF(COUNTIF('MCIA Corrective Actions'!$A:$A,H41)=0," ",COUNTIFS('MCIA Corrective Actions'!$A:$A,H41,'MCIA Corrective Actions'!N:N,"Yes"))</f>
        <v xml:space="preserve"> </v>
      </c>
      <c r="O41" s="1" t="str">
        <f>_xlfn.IFNA(VLOOKUP(H41,'MCIA Corrective Actions'!$A$2:$R$1092,6,FALSE)," ")</f>
        <v xml:space="preserve"> </v>
      </c>
      <c r="P41" s="1"/>
    </row>
    <row r="42" spans="1:16" x14ac:dyDescent="0.25">
      <c r="A42" s="1">
        <v>39</v>
      </c>
      <c r="B42" s="108" t="str">
        <f>VLOOKUP($A42,Table1[['#]:[Vessel]],4,FALSE)</f>
        <v>Sugar Island</v>
      </c>
      <c r="C42" s="107">
        <f>VLOOKUP($A42,Table1[['#]:[Date]],3,FALSE)</f>
        <v>43054</v>
      </c>
      <c r="D42" s="3">
        <f>VLOOKUP($A42,Table1[['#]:[Hours]],7,FALSE)</f>
        <v>25.34</v>
      </c>
      <c r="E42" s="3" t="str">
        <f>VLOOKUP($A42,Table1[['#]:[System]],8,FALSE)&amp;" / "&amp;VLOOKUP($A42,Table1[['#]:[Subsystem]],9,FALSE)</f>
        <v>Other / Other Mechanical</v>
      </c>
      <c r="F42" s="108" t="str">
        <f>VLOOKUP($A42,Table1[['#]:[Work Order '#]],10,FALSE)</f>
        <v>None</v>
      </c>
      <c r="G42" s="110" t="str">
        <f>VLOOKUP($A42,Table1[['#]:[Delay Log Notes]],11,FALSE)</f>
        <v>None</v>
      </c>
      <c r="H42" s="1" t="str">
        <f>_xlfn.IFNA(VLOOKUP(A42,'EDL Data'!$A$2:$M$1245,6,FALSE)," ")</f>
        <v>None</v>
      </c>
      <c r="I42" s="1" t="str">
        <f>_xlfn.IFNA(VLOOKUP(H42,'MCIA Cases'!$A$2:$R$1091,2,FALSE)," ")</f>
        <v xml:space="preserve"> </v>
      </c>
      <c r="J42" s="1" t="str">
        <f>_xlfn.IFNA(VLOOKUP(H42,'MCIA Cases'!$A$2:$R$1091,9,FALSE)," ")</f>
        <v xml:space="preserve"> </v>
      </c>
      <c r="K42" s="1" t="str">
        <f>_xlfn.IFNA(VLOOKUP(H42,'MCIA Cases'!$A$2:$R$1091,10,FALSE)," ")</f>
        <v xml:space="preserve"> </v>
      </c>
      <c r="L42" s="1" t="str">
        <f>_xlfn.IFNA(VLOOKUP(H42,'MCIA Cases'!$A$2:$R$1091,3,FALSE)," ")</f>
        <v xml:space="preserve"> </v>
      </c>
      <c r="M42" s="1" t="str">
        <f>IF(COUNTIF('MCIA Corrective Actions'!$A:$A,H42)=0," ",COUNTIF('MCIA Corrective Actions'!$A:$A,H42))</f>
        <v xml:space="preserve"> </v>
      </c>
      <c r="N42" s="1" t="str">
        <f>IF(COUNTIF('MCIA Corrective Actions'!$A:$A,H42)=0," ",COUNTIFS('MCIA Corrective Actions'!$A:$A,H42,'MCIA Corrective Actions'!N:N,"Yes"))</f>
        <v xml:space="preserve"> </v>
      </c>
      <c r="O42" s="1" t="str">
        <f>_xlfn.IFNA(VLOOKUP(H42,'MCIA Corrective Actions'!$A$2:$R$1092,6,FALSE)," ")</f>
        <v xml:space="preserve"> </v>
      </c>
      <c r="P42" s="1"/>
    </row>
    <row r="43" spans="1:16" x14ac:dyDescent="0.25">
      <c r="A43" s="1">
        <v>40</v>
      </c>
      <c r="B43" s="108" t="str">
        <f>VLOOKUP($A43,Table1[['#]:[Vessel]],4,FALSE)</f>
        <v>Alaska</v>
      </c>
      <c r="C43" s="107">
        <f>VLOOKUP($A43,Table1[['#]:[Date]],3,FALSE)</f>
        <v>43059</v>
      </c>
      <c r="D43" s="3">
        <f>VLOOKUP($A43,Table1[['#]:[Hours]],7,FALSE)</f>
        <v>58.82</v>
      </c>
      <c r="E43" s="3" t="str">
        <f>VLOOKUP($A43,Table1[['#]:[System]],8,FALSE)&amp;" / "&amp;VLOOKUP($A43,Table1[['#]:[Subsystem]],9,FALSE)</f>
        <v>Main Pump / Bearings/Shafts</v>
      </c>
      <c r="F43" s="108">
        <f>VLOOKUP($A43,Table1[['#]:[Work Order '#]],10,FALSE)</f>
        <v>1727700</v>
      </c>
      <c r="G43" s="110" t="str">
        <f>VLOOKUP($A43,Table1[['#]:[Delay Log Notes]],11,FALSE)</f>
        <v>overheating pedistal bearing</v>
      </c>
      <c r="H43" s="1" t="str">
        <f>_xlfn.IFNA(VLOOKUP(A43,'EDL Data'!$A$2:$M$1245,6,FALSE)," ")</f>
        <v>None</v>
      </c>
      <c r="I43" s="1" t="str">
        <f>_xlfn.IFNA(VLOOKUP(H43,'MCIA Cases'!$A$2:$R$1091,2,FALSE)," ")</f>
        <v xml:space="preserve"> </v>
      </c>
      <c r="J43" s="1" t="str">
        <f>_xlfn.IFNA(VLOOKUP(H43,'MCIA Cases'!$A$2:$R$1091,9,FALSE)," ")</f>
        <v xml:space="preserve"> </v>
      </c>
      <c r="K43" s="1" t="str">
        <f>_xlfn.IFNA(VLOOKUP(H43,'MCIA Cases'!$A$2:$R$1091,10,FALSE)," ")</f>
        <v xml:space="preserve"> </v>
      </c>
      <c r="L43" s="1" t="str">
        <f>_xlfn.IFNA(VLOOKUP(H43,'MCIA Cases'!$A$2:$R$1091,3,FALSE)," ")</f>
        <v xml:space="preserve"> </v>
      </c>
      <c r="M43" s="1" t="str">
        <f>IF(COUNTIF('MCIA Corrective Actions'!$A:$A,H43)=0," ",COUNTIF('MCIA Corrective Actions'!$A:$A,H43))</f>
        <v xml:space="preserve"> </v>
      </c>
      <c r="N43" s="1" t="str">
        <f>IF(COUNTIF('MCIA Corrective Actions'!$A:$A,H43)=0," ",COUNTIFS('MCIA Corrective Actions'!$A:$A,H43,'MCIA Corrective Actions'!N:N,"Yes"))</f>
        <v xml:space="preserve"> </v>
      </c>
      <c r="O43" s="1" t="str">
        <f>_xlfn.IFNA(VLOOKUP(H43,'MCIA Corrective Actions'!$A$2:$R$1092,6,FALSE)," ")</f>
        <v xml:space="preserve"> </v>
      </c>
      <c r="P43" s="1"/>
    </row>
    <row r="44" spans="1:16" x14ac:dyDescent="0.25">
      <c r="A44" s="1">
        <v>41</v>
      </c>
      <c r="B44" s="108" t="str">
        <f>VLOOKUP($A44,Table1[['#]:[Vessel]],4,FALSE)</f>
        <v>Alaska</v>
      </c>
      <c r="C44" s="107">
        <f>VLOOKUP($A44,Table1[['#]:[Date]],3,FALSE)</f>
        <v>43070</v>
      </c>
      <c r="D44" s="3">
        <f>VLOOKUP($A44,Table1[['#]:[Hours]],7,FALSE)</f>
        <v>26.4</v>
      </c>
      <c r="E44" s="3" t="str">
        <f>VLOOKUP($A44,Table1[['#]:[System]],8,FALSE)&amp;" / "&amp;VLOOKUP($A44,Table1[['#]:[Subsystem]],9,FALSE)</f>
        <v>Main Pump / Pump rebuild</v>
      </c>
      <c r="F44" s="108">
        <f>VLOOKUP($A44,Table1[['#]:[Work Order '#]],10,FALSE)</f>
        <v>1727454</v>
      </c>
      <c r="G44" s="110" t="str">
        <f>VLOOKUP($A44,Table1[['#]:[Delay Log Notes]],11,FALSE)</f>
        <v>front liner on main pump went bad; tow into Houma</v>
      </c>
      <c r="H44" s="1" t="str">
        <f>_xlfn.IFNA(VLOOKUP(A44,'EDL Data'!$A$2:$M$1245,6,FALSE)," ")</f>
        <v>None</v>
      </c>
      <c r="I44" s="1" t="str">
        <f>_xlfn.IFNA(VLOOKUP(H44,'MCIA Cases'!$A$2:$R$1091,2,FALSE)," ")</f>
        <v xml:space="preserve"> </v>
      </c>
      <c r="J44" s="1" t="str">
        <f>_xlfn.IFNA(VLOOKUP(H44,'MCIA Cases'!$A$2:$R$1091,9,FALSE)," ")</f>
        <v xml:space="preserve"> </v>
      </c>
      <c r="K44" s="1" t="str">
        <f>_xlfn.IFNA(VLOOKUP(H44,'MCIA Cases'!$A$2:$R$1091,10,FALSE)," ")</f>
        <v xml:space="preserve"> </v>
      </c>
      <c r="L44" s="1" t="str">
        <f>_xlfn.IFNA(VLOOKUP(H44,'MCIA Cases'!$A$2:$R$1091,3,FALSE)," ")</f>
        <v xml:space="preserve"> </v>
      </c>
      <c r="M44" s="1" t="str">
        <f>IF(COUNTIF('MCIA Corrective Actions'!$A:$A,H44)=0," ",COUNTIF('MCIA Corrective Actions'!$A:$A,H44))</f>
        <v xml:space="preserve"> </v>
      </c>
      <c r="N44" s="1" t="str">
        <f>IF(COUNTIF('MCIA Corrective Actions'!$A:$A,H44)=0," ",COUNTIFS('MCIA Corrective Actions'!$A:$A,H44,'MCIA Corrective Actions'!N:N,"Yes"))</f>
        <v xml:space="preserve"> </v>
      </c>
      <c r="O44" s="1" t="str">
        <f>_xlfn.IFNA(VLOOKUP(H44,'MCIA Corrective Actions'!$A$2:$R$1092,6,FALSE)," ")</f>
        <v xml:space="preserve"> </v>
      </c>
      <c r="P44" s="1"/>
    </row>
    <row r="45" spans="1:16" x14ac:dyDescent="0.25">
      <c r="A45" s="1">
        <v>42</v>
      </c>
      <c r="B45" s="108" t="str">
        <f>VLOOKUP($A45,Table1[['#]:[Vessel]],4,FALSE)</f>
        <v>Alaska</v>
      </c>
      <c r="C45" s="107">
        <f>VLOOKUP($A45,Table1[['#]:[Date]],3,FALSE)</f>
        <v>43084</v>
      </c>
      <c r="D45" s="3">
        <f>VLOOKUP($A45,Table1[['#]:[Hours]],7,FALSE)</f>
        <v>144.79</v>
      </c>
      <c r="E45" s="3" t="str">
        <f>VLOOKUP($A45,Table1[['#]:[System]],8,FALSE)&amp;" / "&amp;VLOOKUP($A45,Table1[['#]:[Subsystem]],9,FALSE)</f>
        <v>Cutter / Motor (Cutter Shaft)</v>
      </c>
      <c r="F45" s="108">
        <f>VLOOKUP($A45,Table1[['#]:[Work Order '#]],10,FALSE)</f>
        <v>1727765</v>
      </c>
      <c r="G45" s="110" t="str">
        <f>VLOOKUP($A45,Table1[['#]:[Delay Log Notes]],11,FALSE)</f>
        <v>None</v>
      </c>
      <c r="H45" s="1" t="str">
        <f>_xlfn.IFNA(VLOOKUP(A45,'EDL Data'!$A$2:$M$1245,6,FALSE)," ")</f>
        <v>None</v>
      </c>
      <c r="I45" s="1" t="str">
        <f>_xlfn.IFNA(VLOOKUP(H45,'MCIA Cases'!$A$2:$R$1091,2,FALSE)," ")</f>
        <v xml:space="preserve"> </v>
      </c>
      <c r="J45" s="1" t="str">
        <f>_xlfn.IFNA(VLOOKUP(H45,'MCIA Cases'!$A$2:$R$1091,9,FALSE)," ")</f>
        <v xml:space="preserve"> </v>
      </c>
      <c r="K45" s="1" t="str">
        <f>_xlfn.IFNA(VLOOKUP(H45,'MCIA Cases'!$A$2:$R$1091,10,FALSE)," ")</f>
        <v xml:space="preserve"> </v>
      </c>
      <c r="L45" s="1" t="str">
        <f>_xlfn.IFNA(VLOOKUP(H45,'MCIA Cases'!$A$2:$R$1091,3,FALSE)," ")</f>
        <v xml:space="preserve"> </v>
      </c>
      <c r="M45" s="1" t="str">
        <f>IF(COUNTIF('MCIA Corrective Actions'!$A:$A,H45)=0," ",COUNTIF('MCIA Corrective Actions'!$A:$A,H45))</f>
        <v xml:space="preserve"> </v>
      </c>
      <c r="N45" s="1" t="str">
        <f>IF(COUNTIF('MCIA Corrective Actions'!$A:$A,H45)=0," ",COUNTIFS('MCIA Corrective Actions'!$A:$A,H45,'MCIA Corrective Actions'!N:N,"Yes"))</f>
        <v xml:space="preserve"> </v>
      </c>
      <c r="O45" s="1" t="str">
        <f>_xlfn.IFNA(VLOOKUP(H45,'MCIA Corrective Actions'!$A$2:$R$1092,6,FALSE)," ")</f>
        <v xml:space="preserve"> </v>
      </c>
      <c r="P45" s="1"/>
    </row>
    <row r="46" spans="1:16" x14ac:dyDescent="0.25">
      <c r="A46" s="1">
        <v>43</v>
      </c>
      <c r="B46" s="108" t="str">
        <f>VLOOKUP($A46,Table1[['#]:[Vessel]],4,FALSE)</f>
        <v>Alaska</v>
      </c>
      <c r="C46" s="107">
        <f>VLOOKUP($A46,Table1[['#]:[Date]],3,FALSE)</f>
        <v>43097</v>
      </c>
      <c r="D46" s="3">
        <f>VLOOKUP($A46,Table1[['#]:[Hours]],7,FALSE)</f>
        <v>30.79</v>
      </c>
      <c r="E46" s="3" t="str">
        <f>VLOOKUP($A46,Table1[['#]:[System]],8,FALSE)&amp;" / "&amp;VLOOKUP($A46,Table1[['#]:[Subsystem]],9,FALSE)</f>
        <v>Generator / Main Generator Eng</v>
      </c>
      <c r="F46" s="108">
        <f>VLOOKUP($A46,Table1[['#]:[Work Order '#]],10,FALSE)</f>
        <v>1704231</v>
      </c>
      <c r="G46" s="110" t="str">
        <f>VLOOKUP($A46,Table1[['#]:[Delay Log Notes]],11,FALSE)</f>
        <v>main gen sparked flames, change 4 cutter teeth</v>
      </c>
      <c r="H46" s="1" t="str">
        <f>_xlfn.IFNA(VLOOKUP(A46,'EDL Data'!$A$2:$M$1245,6,FALSE)," ")</f>
        <v>None</v>
      </c>
      <c r="I46" s="1" t="str">
        <f>_xlfn.IFNA(VLOOKUP(H46,'MCIA Cases'!$A$2:$R$1091,2,FALSE)," ")</f>
        <v xml:space="preserve"> </v>
      </c>
      <c r="J46" s="1" t="str">
        <f>_xlfn.IFNA(VLOOKUP(H46,'MCIA Cases'!$A$2:$R$1091,9,FALSE)," ")</f>
        <v xml:space="preserve"> </v>
      </c>
      <c r="K46" s="1" t="str">
        <f>_xlfn.IFNA(VLOOKUP(H46,'MCIA Cases'!$A$2:$R$1091,10,FALSE)," ")</f>
        <v xml:space="preserve"> </v>
      </c>
      <c r="L46" s="1" t="str">
        <f>_xlfn.IFNA(VLOOKUP(H46,'MCIA Cases'!$A$2:$R$1091,3,FALSE)," ")</f>
        <v xml:space="preserve"> </v>
      </c>
      <c r="M46" s="1" t="str">
        <f>IF(COUNTIF('MCIA Corrective Actions'!$A:$A,H46)=0," ",COUNTIF('MCIA Corrective Actions'!$A:$A,H46))</f>
        <v xml:space="preserve"> </v>
      </c>
      <c r="N46" s="1" t="str">
        <f>IF(COUNTIF('MCIA Corrective Actions'!$A:$A,H46)=0," ",COUNTIFS('MCIA Corrective Actions'!$A:$A,H46,'MCIA Corrective Actions'!N:N,"Yes"))</f>
        <v xml:space="preserve"> </v>
      </c>
      <c r="O46" s="1" t="str">
        <f>_xlfn.IFNA(VLOOKUP(H46,'MCIA Corrective Actions'!$A$2:$R$1092,6,FALSE)," ")</f>
        <v xml:space="preserve"> </v>
      </c>
      <c r="P46" s="1"/>
    </row>
    <row r="47" spans="1:16" x14ac:dyDescent="0.25">
      <c r="A47" s="1">
        <v>44</v>
      </c>
      <c r="B47" s="108" t="str">
        <f>VLOOKUP($A47,Table1[['#]:[Vessel]],4,FALSE)</f>
        <v>Sugar Island</v>
      </c>
      <c r="C47" s="107">
        <f>VLOOKUP($A47,Table1[['#]:[Date]],3,FALSE)</f>
        <v>43098</v>
      </c>
      <c r="D47" s="3">
        <f>VLOOKUP($A47,Table1[['#]:[Hours]],7,FALSE)</f>
        <v>36.31</v>
      </c>
      <c r="E47" s="3" t="str">
        <f>VLOOKUP($A47,Table1[['#]:[System]],8,FALSE)&amp;" / "&amp;VLOOKUP($A47,Table1[['#]:[Subsystem]],9,FALSE)</f>
        <v>Other / Other Mechanical</v>
      </c>
      <c r="F47" s="108">
        <f>VLOOKUP($A47,Table1[['#]:[Work Order '#]],10,FALSE)</f>
        <v>4063904</v>
      </c>
      <c r="G47" s="110" t="str">
        <f>VLOOKUP($A47,Table1[['#]:[Delay Log Notes]],11,FALSE)</f>
        <v xml:space="preserve">lost compass heading; crack in bottom plate wing void </v>
      </c>
      <c r="H47" s="1" t="str">
        <f>_xlfn.IFNA(VLOOKUP(A47,'EDL Data'!$A$2:$M$1245,6,FALSE)," ")</f>
        <v>None</v>
      </c>
      <c r="I47" s="1" t="str">
        <f>_xlfn.IFNA(VLOOKUP(H47,'MCIA Cases'!$A$2:$R$1091,2,FALSE)," ")</f>
        <v xml:space="preserve"> </v>
      </c>
      <c r="J47" s="1" t="str">
        <f>_xlfn.IFNA(VLOOKUP(H47,'MCIA Cases'!$A$2:$R$1091,9,FALSE)," ")</f>
        <v xml:space="preserve"> </v>
      </c>
      <c r="K47" s="1" t="str">
        <f>_xlfn.IFNA(VLOOKUP(H47,'MCIA Cases'!$A$2:$R$1091,10,FALSE)," ")</f>
        <v xml:space="preserve"> </v>
      </c>
      <c r="L47" s="1" t="str">
        <f>_xlfn.IFNA(VLOOKUP(H47,'MCIA Cases'!$A$2:$R$1091,3,FALSE)," ")</f>
        <v xml:space="preserve"> </v>
      </c>
      <c r="M47" s="1" t="str">
        <f>IF(COUNTIF('MCIA Corrective Actions'!$A:$A,H47)=0," ",COUNTIF('MCIA Corrective Actions'!$A:$A,H47))</f>
        <v xml:space="preserve"> </v>
      </c>
      <c r="N47" s="1" t="str">
        <f>IF(COUNTIF('MCIA Corrective Actions'!$A:$A,H47)=0," ",COUNTIFS('MCIA Corrective Actions'!$A:$A,H47,'MCIA Corrective Actions'!N:N,"Yes"))</f>
        <v xml:space="preserve"> </v>
      </c>
      <c r="O47" s="1" t="str">
        <f>_xlfn.IFNA(VLOOKUP(H47,'MCIA Corrective Actions'!$A$2:$R$1092,6,FALSE)," ")</f>
        <v xml:space="preserve"> </v>
      </c>
      <c r="P47" s="1"/>
    </row>
    <row r="48" spans="1:16" ht="4.5" customHeight="1" x14ac:dyDescent="0.25">
      <c r="B48" s="139"/>
      <c r="C48" s="140"/>
      <c r="D48" s="141"/>
      <c r="E48" s="141"/>
      <c r="F48" s="139"/>
      <c r="G48" s="137"/>
      <c r="H48" s="138"/>
      <c r="I48" s="138"/>
      <c r="J48" s="138"/>
      <c r="K48" s="138"/>
      <c r="L48" s="138"/>
      <c r="M48" s="138"/>
      <c r="N48" s="138"/>
      <c r="O48" s="138"/>
      <c r="P48" s="138"/>
    </row>
    <row r="49" spans="2:16" x14ac:dyDescent="0.25">
      <c r="B49" s="127" t="str">
        <f>_xlfn.IFNA(VLOOKUP(VLOOKUP(H49,'MCIA Cases'!$A$2:$AB$1091,26,FALSE),Summary!$J$43:$K$264,2,FALSE)," ")</f>
        <v xml:space="preserve"> </v>
      </c>
      <c r="C49" s="107" t="str">
        <f>_xlfn.IFNA(VLOOKUP(H49,'MCIA Cases'!$A$2:$R$1091,15,FALSE)," ")</f>
        <v>Ed ODowd</v>
      </c>
      <c r="E49" s="3"/>
      <c r="F49" s="108"/>
      <c r="G49" s="110"/>
      <c r="H49" s="112">
        <v>30</v>
      </c>
      <c r="I49" s="1" t="str">
        <f>_xlfn.IFNA(VLOOKUP(H49,'MCIA Cases'!$A$2:$R$1091,2,FALSE)," ")</f>
        <v>Equipment Damage Survey Boat Hallets Point</v>
      </c>
      <c r="J49" s="1">
        <f>_xlfn.IFNA(VLOOKUP(H49,'MCIA Cases'!$A$2:$R$1091,9,FALSE)," ")</f>
        <v>0</v>
      </c>
      <c r="K49" s="1">
        <f>_xlfn.IFNA(VLOOKUP(H49,'MCIA Cases'!$A$2:$R$1091,10,FALSE)," ")</f>
        <v>0</v>
      </c>
      <c r="L49" s="1" t="str">
        <f>_xlfn.IFNA(VLOOKUP(H49,'MCIA Cases'!$A$2:$R$1091,3,FALSE)," ")</f>
        <v>Ed ODowd</v>
      </c>
      <c r="M49" s="1">
        <f>IF(COUNTIF('MCIA Corrective Actions'!$A:$A,H49)=0," ",COUNTIF('MCIA Corrective Actions'!$A:$A,H49))</f>
        <v>4</v>
      </c>
      <c r="N49" s="1">
        <f>IF(COUNTIF('MCIA Corrective Actions'!$A:$A,H49)=0," ",COUNTIFS('MCIA Corrective Actions'!$A:$A,H49,'MCIA Corrective Actions'!N:N,"Yes"))</f>
        <v>4</v>
      </c>
      <c r="O49" s="1" t="str">
        <f>_xlfn.IFNA(VLOOKUP(H49,'MCIA Corrective Actions'!$A$2:$R$1092,6,FALSE)," ")</f>
        <v>Ed Tiearney</v>
      </c>
      <c r="P49" s="1"/>
    </row>
    <row r="50" spans="2:16" x14ac:dyDescent="0.25">
      <c r="B50" s="127" t="str">
        <f>_xlfn.IFNA(VLOOKUP(VLOOKUP(H50,'MCIA Cases'!$A$2:$AB$1091,26,FALSE),Summary!$J$43:$K$264,2,FALSE)," ")</f>
        <v xml:space="preserve"> </v>
      </c>
      <c r="C50" s="107" t="str">
        <f>_xlfn.IFNA(VLOOKUP(H50,'MCIA Cases'!$A$2:$R$1091,15,FALSE)," ")</f>
        <v xml:space="preserve">Matt Ferrell </v>
      </c>
      <c r="E50" s="3"/>
      <c r="F50" s="108"/>
      <c r="G50" s="110"/>
      <c r="H50" s="112">
        <v>31</v>
      </c>
      <c r="I50" s="1" t="str">
        <f>_xlfn.IFNA(VLOOKUP(H50,'MCIA Cases'!$A$2:$R$1091,2,FALSE)," ")</f>
        <v>GL67 Boom Damage</v>
      </c>
      <c r="J50" s="1">
        <f>_xlfn.IFNA(VLOOKUP(H50,'MCIA Cases'!$A$2:$R$1091,9,FALSE)," ")</f>
        <v>0</v>
      </c>
      <c r="K50" s="1">
        <f>_xlfn.IFNA(VLOOKUP(H50,'MCIA Cases'!$A$2:$R$1091,10,FALSE)," ")</f>
        <v>0</v>
      </c>
      <c r="L50" s="1" t="str">
        <f>_xlfn.IFNA(VLOOKUP(H50,'MCIA Cases'!$A$2:$R$1091,3,FALSE)," ")</f>
        <v xml:space="preserve">Matt Ferrell </v>
      </c>
      <c r="M50" s="1">
        <f>IF(COUNTIF('MCIA Corrective Actions'!$A:$A,H50)=0," ",COUNTIF('MCIA Corrective Actions'!$A:$A,H50))</f>
        <v>2</v>
      </c>
      <c r="N50" s="1">
        <f>IF(COUNTIF('MCIA Corrective Actions'!$A:$A,H50)=0," ",COUNTIFS('MCIA Corrective Actions'!$A:$A,H50,'MCIA Corrective Actions'!N:N,"Yes"))</f>
        <v>2</v>
      </c>
      <c r="O50" s="1" t="str">
        <f>_xlfn.IFNA(VLOOKUP(H50,'MCIA Corrective Actions'!$A$2:$R$1092,6,FALSE)," ")</f>
        <v xml:space="preserve">Matt Ferrell </v>
      </c>
      <c r="P50" s="1"/>
    </row>
    <row r="51" spans="2:16" x14ac:dyDescent="0.25">
      <c r="B51" s="127" t="str">
        <f>_xlfn.IFNA(VLOOKUP(VLOOKUP(H51,'MCIA Cases'!$A$2:$AB$1091,26,FALSE),Summary!$J$43:$K$264,2,FALSE)," ")</f>
        <v xml:space="preserve"> </v>
      </c>
      <c r="C51" s="107" t="str">
        <f>_xlfn.IFNA(VLOOKUP(H51,'MCIA Cases'!$A$2:$R$1091,15,FALSE)," ")</f>
        <v>Manny Vianzon</v>
      </c>
      <c r="H51" s="112">
        <v>33</v>
      </c>
      <c r="I51" s="1" t="str">
        <f>_xlfn.IFNA(VLOOKUP(H51,'MCIA Cases'!$A$2:$R$1091,2,FALSE)," ")</f>
        <v>MCIA 053 Dozer Sinking</v>
      </c>
      <c r="J51" s="1">
        <f>_xlfn.IFNA(VLOOKUP(H51,'MCIA Cases'!$A$2:$R$1091,9,FALSE)," ")</f>
        <v>0</v>
      </c>
      <c r="K51" s="1">
        <f>_xlfn.IFNA(VLOOKUP(H51,'MCIA Cases'!$A$2:$R$1091,10,FALSE)," ")</f>
        <v>0</v>
      </c>
      <c r="L51" s="1" t="str">
        <f>_xlfn.IFNA(VLOOKUP(H51,'MCIA Cases'!$A$2:$R$1091,3,FALSE)," ")</f>
        <v>Manny Vianzon</v>
      </c>
      <c r="M51" s="1">
        <f>IF(COUNTIF('MCIA Corrective Actions'!$A:$A,H51)=0," ",COUNTIF('MCIA Corrective Actions'!$A:$A,H51))</f>
        <v>4</v>
      </c>
      <c r="N51" s="1">
        <f>IF(COUNTIF('MCIA Corrective Actions'!$A:$A,H51)=0," ",COUNTIFS('MCIA Corrective Actions'!$A:$A,H51,'MCIA Corrective Actions'!N:N,"Yes"))</f>
        <v>3</v>
      </c>
      <c r="O51" s="1" t="str">
        <f>_xlfn.IFNA(VLOOKUP(H51,'MCIA Corrective Actions'!$A$2:$R$1092,6,FALSE)," ")</f>
        <v>Bryan P Dast</v>
      </c>
      <c r="P51" s="1"/>
    </row>
    <row r="52" spans="2:16" x14ac:dyDescent="0.25">
      <c r="B52" s="127" t="str">
        <f>_xlfn.IFNA(VLOOKUP(VLOOKUP(H52,'MCIA Cases'!$A$2:$AB$1091,26,FALSE),Summary!$J$43:$K$264,2,FALSE)," ")</f>
        <v xml:space="preserve"> </v>
      </c>
      <c r="C52" s="107" t="str">
        <f>_xlfn.IFNA(VLOOKUP(H52,'MCIA Cases'!$A$2:$R$1091,15,FALSE)," ")</f>
        <v>Armand F Riehl</v>
      </c>
      <c r="H52" s="112">
        <v>46</v>
      </c>
      <c r="I52" s="1" t="str">
        <f>_xlfn.IFNA(VLOOKUP(H52,'MCIA Cases'!$A$2:$R$1091,2,FALSE)," ")</f>
        <v>MCIA 039 - Spider Barge Arm Break</v>
      </c>
      <c r="J52" s="1">
        <f>_xlfn.IFNA(VLOOKUP(H52,'MCIA Cases'!$A$2:$R$1091,9,FALSE)," ")</f>
        <v>0</v>
      </c>
      <c r="K52" s="1">
        <f>_xlfn.IFNA(VLOOKUP(H52,'MCIA Cases'!$A$2:$R$1091,10,FALSE)," ")</f>
        <v>0</v>
      </c>
      <c r="L52" s="1" t="str">
        <f>_xlfn.IFNA(VLOOKUP(H52,'MCIA Cases'!$A$2:$R$1091,3,FALSE)," ")</f>
        <v>Armand F Riehl</v>
      </c>
      <c r="M52" s="1" t="str">
        <f>IF(COUNTIF('MCIA Corrective Actions'!$A:$A,H52)=0," ",COUNTIF('MCIA Corrective Actions'!$A:$A,H52))</f>
        <v xml:space="preserve"> </v>
      </c>
      <c r="N52" s="1" t="str">
        <f>IF(COUNTIF('MCIA Corrective Actions'!$A:$A,H52)=0," ",COUNTIFS('MCIA Corrective Actions'!$A:$A,H52,'MCIA Corrective Actions'!N:N,"Yes"))</f>
        <v xml:space="preserve"> </v>
      </c>
      <c r="O52" s="1" t="str">
        <f>_xlfn.IFNA(VLOOKUP(H52,'MCIA Corrective Actions'!$A$2:$R$1092,6,FALSE)," ")</f>
        <v xml:space="preserve"> </v>
      </c>
      <c r="P52" s="1"/>
    </row>
    <row r="53" spans="2:16" x14ac:dyDescent="0.25">
      <c r="B53" s="127" t="str">
        <f>_xlfn.IFNA(VLOOKUP(VLOOKUP(H53,'MCIA Cases'!$A$2:$AB$1091,26,FALSE),Summary!$J$43:$K$264,2,FALSE)," ")</f>
        <v xml:space="preserve"> </v>
      </c>
      <c r="C53" s="107" t="str">
        <f>_xlfn.IFNA(VLOOKUP(H53,'MCIA Cases'!$A$2:$R$1091,15,FALSE)," ")</f>
        <v>Mike Hungerford</v>
      </c>
      <c r="H53" s="112">
        <v>64</v>
      </c>
      <c r="I53" s="1" t="str">
        <f>_xlfn.IFNA(VLOOKUP(H53,'MCIA Cases'!$A$2:$R$1091,2,FALSE)," ")</f>
        <v>MCIA 005_2016</v>
      </c>
      <c r="J53" s="1">
        <f>_xlfn.IFNA(VLOOKUP(H53,'MCIA Cases'!$A$2:$R$1091,9,FALSE)," ")</f>
        <v>0</v>
      </c>
      <c r="K53" s="1">
        <f>_xlfn.IFNA(VLOOKUP(H53,'MCIA Cases'!$A$2:$R$1091,10,FALSE)," ")</f>
        <v>0</v>
      </c>
      <c r="L53" s="1" t="str">
        <f>_xlfn.IFNA(VLOOKUP(H53,'MCIA Cases'!$A$2:$R$1091,3,FALSE)," ")</f>
        <v>James P Arias</v>
      </c>
      <c r="M53" s="1">
        <f>IF(COUNTIF('MCIA Corrective Actions'!$A:$A,H53)=0," ",COUNTIF('MCIA Corrective Actions'!$A:$A,H53))</f>
        <v>2</v>
      </c>
      <c r="N53" s="1">
        <f>IF(COUNTIF('MCIA Corrective Actions'!$A:$A,H53)=0," ",COUNTIFS('MCIA Corrective Actions'!$A:$A,H53,'MCIA Corrective Actions'!N:N,"Yes"))</f>
        <v>2</v>
      </c>
      <c r="O53" s="1" t="str">
        <f>_xlfn.IFNA(VLOOKUP(H53,'MCIA Corrective Actions'!$A$2:$R$1092,6,FALSE)," ")</f>
        <v>Sheldon Brooks</v>
      </c>
      <c r="P53" s="1"/>
    </row>
    <row r="54" spans="2:16" x14ac:dyDescent="0.25">
      <c r="B54" s="127" t="str">
        <f>_xlfn.IFNA(VLOOKUP(VLOOKUP(H54,'MCIA Cases'!$A$2:$AB$1091,26,FALSE),Summary!$J$43:$K$264,2,FALSE)," ")</f>
        <v xml:space="preserve"> </v>
      </c>
      <c r="C54" s="107" t="str">
        <f>_xlfn.IFNA(VLOOKUP(H54,'MCIA Cases'!$A$2:$R$1091,15,FALSE)," ")</f>
        <v>Dave Johanson</v>
      </c>
      <c r="H54" s="112">
        <v>71</v>
      </c>
      <c r="I54" s="1" t="str">
        <f>_xlfn.IFNA(VLOOKUP(H54,'MCIA Cases'!$A$2:$R$1091,2,FALSE)," ")</f>
        <v>MCIA 001 - Crane Collision 72464</v>
      </c>
      <c r="J54" s="1">
        <f>_xlfn.IFNA(VLOOKUP(H54,'MCIA Cases'!$A$2:$R$1091,9,FALSE)," ")</f>
        <v>0</v>
      </c>
      <c r="K54" s="1">
        <f>_xlfn.IFNA(VLOOKUP(H54,'MCIA Cases'!$A$2:$R$1091,10,FALSE)," ")</f>
        <v>0</v>
      </c>
      <c r="L54" s="1" t="str">
        <f>_xlfn.IFNA(VLOOKUP(H54,'MCIA Cases'!$A$2:$R$1091,3,FALSE)," ")</f>
        <v>Dave Johanson</v>
      </c>
      <c r="M54" s="1">
        <f>IF(COUNTIF('MCIA Corrective Actions'!$A:$A,H54)=0," ",COUNTIF('MCIA Corrective Actions'!$A:$A,H54))</f>
        <v>6</v>
      </c>
      <c r="N54" s="1">
        <f>IF(COUNTIF('MCIA Corrective Actions'!$A:$A,H54)=0," ",COUNTIFS('MCIA Corrective Actions'!$A:$A,H54,'MCIA Corrective Actions'!N:N,"Yes"))</f>
        <v>6</v>
      </c>
      <c r="O54" s="1" t="str">
        <f>_xlfn.IFNA(VLOOKUP(H54,'MCIA Corrective Actions'!$A$2:$R$1092,6,FALSE)," ")</f>
        <v>David J Johanson</v>
      </c>
      <c r="P54" s="1"/>
    </row>
    <row r="55" spans="2:16" x14ac:dyDescent="0.25">
      <c r="B55" s="127" t="s">
        <v>2385</v>
      </c>
      <c r="C55" s="107" t="str">
        <f>_xlfn.IFNA(VLOOKUP(H55,'MCIA Cases'!$A$2:$R$1091,15,FALSE)," ")</f>
        <v>Steve W Lawrence</v>
      </c>
      <c r="H55" s="112">
        <v>79</v>
      </c>
      <c r="I55" s="1" t="str">
        <f>_xlfn.IFNA(VLOOKUP(H55,'MCIA Cases'!$A$2:$R$1091,2,FALSE)," ")</f>
        <v>Dredge 54 Boom Hoist - Philadelphia</v>
      </c>
      <c r="J55" s="1">
        <f>_xlfn.IFNA(VLOOKUP(H55,'MCIA Cases'!$A$2:$R$1091,9,FALSE)," ")</f>
        <v>0</v>
      </c>
      <c r="K55" s="1">
        <f>_xlfn.IFNA(VLOOKUP(H55,'MCIA Cases'!$A$2:$R$1091,10,FALSE)," ")</f>
        <v>0</v>
      </c>
      <c r="L55" s="1" t="str">
        <f>_xlfn.IFNA(VLOOKUP(H55,'MCIA Cases'!$A$2:$R$1091,3,FALSE)," ")</f>
        <v>Steve W Lawrence</v>
      </c>
      <c r="M55" s="1">
        <f>IF(COUNTIF('MCIA Corrective Actions'!$A:$A,H55)=0," ",COUNTIF('MCIA Corrective Actions'!$A:$A,H55))</f>
        <v>3</v>
      </c>
      <c r="N55" s="1">
        <f>IF(COUNTIF('MCIA Corrective Actions'!$A:$A,H55)=0," ",COUNTIFS('MCIA Corrective Actions'!$A:$A,H55,'MCIA Corrective Actions'!N:N,"Yes"))</f>
        <v>3</v>
      </c>
      <c r="O55" s="1" t="str">
        <f>_xlfn.IFNA(VLOOKUP(H55,'MCIA Corrective Actions'!$A$2:$R$1092,6,FALSE)," ")</f>
        <v>Steve W Lawrence</v>
      </c>
      <c r="P55" s="1"/>
    </row>
    <row r="56" spans="2:16" x14ac:dyDescent="0.25">
      <c r="B56" s="127" t="s">
        <v>20</v>
      </c>
      <c r="C56" s="107" t="str">
        <f>_xlfn.IFNA(VLOOKUP(H56,'MCIA Cases'!$A$2:$R$1091,15,FALSE)," ")</f>
        <v>Paul C Lamourie</v>
      </c>
      <c r="H56" s="112">
        <v>81</v>
      </c>
      <c r="I56" s="1" t="str">
        <f>_xlfn.IFNA(VLOOKUP(H56,'MCIA Cases'!$A$2:$R$1091,2,FALSE)," ")</f>
        <v>Padre Island dredge pump cleanout door failure</v>
      </c>
      <c r="J56" s="1">
        <f>_xlfn.IFNA(VLOOKUP(H56,'MCIA Cases'!$A$2:$R$1091,9,FALSE)," ")</f>
        <v>0</v>
      </c>
      <c r="K56" s="1">
        <f>_xlfn.IFNA(VLOOKUP(H56,'MCIA Cases'!$A$2:$R$1091,10,FALSE)," ")</f>
        <v>0</v>
      </c>
      <c r="L56" s="1" t="str">
        <f>_xlfn.IFNA(VLOOKUP(H56,'MCIA Cases'!$A$2:$R$1091,3,FALSE)," ")</f>
        <v>Paul C Lamourie</v>
      </c>
      <c r="M56" s="1">
        <f>IF(COUNTIF('MCIA Corrective Actions'!$A:$A,H56)=0," ",COUNTIF('MCIA Corrective Actions'!$A:$A,H56))</f>
        <v>2</v>
      </c>
      <c r="N56" s="1">
        <f>IF(COUNTIF('MCIA Corrective Actions'!$A:$A,H56)=0," ",COUNTIFS('MCIA Corrective Actions'!$A:$A,H56,'MCIA Corrective Actions'!N:N,"Yes"))</f>
        <v>2</v>
      </c>
      <c r="O56" s="1" t="str">
        <f>_xlfn.IFNA(VLOOKUP(H56,'MCIA Corrective Actions'!$A$2:$R$1092,6,FALSE)," ")</f>
        <v>James M Walker</v>
      </c>
      <c r="P56" s="1"/>
    </row>
    <row r="57" spans="2:16" x14ac:dyDescent="0.25">
      <c r="B57" s="127" t="str">
        <f>_xlfn.IFNA(VLOOKUP(VLOOKUP(H57,'MCIA Cases'!$A$2:$AB$1091,26,FALSE),Summary!$J$43:$K$264,2,FALSE)," ")</f>
        <v xml:space="preserve"> </v>
      </c>
      <c r="C57" s="107" t="str">
        <f>_xlfn.IFNA(VLOOKUP(H57,'MCIA Cases'!$A$2:$R$1091,15,FALSE)," ")</f>
        <v>Eugene Corey</v>
      </c>
      <c r="H57" s="112">
        <v>83</v>
      </c>
      <c r="I57" s="1" t="str">
        <f>_xlfn.IFNA(VLOOKUP(H57,'MCIA Cases'!$A$2:$R$1091,2,FALSE)," ")</f>
        <v>FL MP Thrust Bearing Failure</v>
      </c>
      <c r="J57" s="1">
        <f>_xlfn.IFNA(VLOOKUP(H57,'MCIA Cases'!$A$2:$R$1091,9,FALSE)," ")</f>
        <v>0</v>
      </c>
      <c r="K57" s="1">
        <f>_xlfn.IFNA(VLOOKUP(H57,'MCIA Cases'!$A$2:$R$1091,10,FALSE)," ")</f>
        <v>0</v>
      </c>
      <c r="L57" s="1" t="str">
        <f>_xlfn.IFNA(VLOOKUP(H57,'MCIA Cases'!$A$2:$R$1091,3,FALSE)," ")</f>
        <v>Eugene Corey</v>
      </c>
      <c r="M57" s="1">
        <f>IF(COUNTIF('MCIA Corrective Actions'!$A:$A,H57)=0," ",COUNTIF('MCIA Corrective Actions'!$A:$A,H57))</f>
        <v>6</v>
      </c>
      <c r="N57" s="1">
        <f>IF(COUNTIF('MCIA Corrective Actions'!$A:$A,H57)=0," ",COUNTIFS('MCIA Corrective Actions'!$A:$A,H57,'MCIA Corrective Actions'!N:N,"Yes"))</f>
        <v>6</v>
      </c>
      <c r="O57" s="1" t="str">
        <f>_xlfn.IFNA(VLOOKUP(H57,'MCIA Corrective Actions'!$A$2:$R$1092,6,FALSE)," ")</f>
        <v>Bill Baumann</v>
      </c>
      <c r="P57" s="1"/>
    </row>
    <row r="58" spans="2:16" x14ac:dyDescent="0.25">
      <c r="B58" s="127" t="s">
        <v>10</v>
      </c>
      <c r="C58" s="107" t="str">
        <f>_xlfn.IFNA(VLOOKUP(H58,'MCIA Cases'!$A$2:$R$1091,15,FALSE)," ")</f>
        <v>Mike Hungerford</v>
      </c>
      <c r="H58" s="112">
        <v>95</v>
      </c>
      <c r="I58" s="1" t="str">
        <f>_xlfn.IFNA(VLOOKUP(H58,'MCIA Cases'!$A$2:$R$1091,2,FALSE)," ")</f>
        <v>MCIA_012_2016_CSD Ohio Broken STBD Pump Shell</v>
      </c>
      <c r="J58" s="1">
        <f>_xlfn.IFNA(VLOOKUP(H58,'MCIA Cases'!$A$2:$R$1091,9,FALSE)," ")</f>
        <v>0</v>
      </c>
      <c r="K58" s="1">
        <f>_xlfn.IFNA(VLOOKUP(H58,'MCIA Cases'!$A$2:$R$1091,10,FALSE)," ")</f>
        <v>0</v>
      </c>
      <c r="L58" s="1" t="str">
        <f>_xlfn.IFNA(VLOOKUP(H58,'MCIA Cases'!$A$2:$R$1091,3,FALSE)," ")</f>
        <v>Rey Mart  Taneo</v>
      </c>
      <c r="M58" s="1">
        <f>IF(COUNTIF('MCIA Corrective Actions'!$A:$A,H58)=0," ",COUNTIF('MCIA Corrective Actions'!$A:$A,H58))</f>
        <v>3</v>
      </c>
      <c r="N58" s="1">
        <f>IF(COUNTIF('MCIA Corrective Actions'!$A:$A,H58)=0," ",COUNTIFS('MCIA Corrective Actions'!$A:$A,H58,'MCIA Corrective Actions'!N:N,"Yes"))</f>
        <v>3</v>
      </c>
      <c r="O58" s="1" t="str">
        <f>_xlfn.IFNA(VLOOKUP(H58,'MCIA Corrective Actions'!$A$2:$R$1092,6,FALSE)," ")</f>
        <v>Sheldon Brooks</v>
      </c>
      <c r="P58" s="1"/>
    </row>
    <row r="59" spans="2:16" x14ac:dyDescent="0.25">
      <c r="B59" s="127" t="str">
        <f>_xlfn.IFNA(VLOOKUP(VLOOKUP(H59,'MCIA Cases'!$A$2:$AB$1091,26,FALSE),Summary!$J$43:$K$264,2,FALSE)," ")</f>
        <v xml:space="preserve"> </v>
      </c>
      <c r="C59" s="107" t="str">
        <f>_xlfn.IFNA(VLOOKUP(H59,'MCIA Cases'!$A$2:$R$1091,15,FALSE)," ")</f>
        <v>Stuart Hilgendorf</v>
      </c>
      <c r="H59" s="112">
        <v>99</v>
      </c>
      <c r="I59" s="1" t="str">
        <f>_xlfn.IFNA(VLOOKUP(H59,'MCIA Cases'!$A$2:$R$1091,2,FALSE)," ")</f>
        <v>Derrick 65 - Bent Boom Chord and Lacing</v>
      </c>
      <c r="J59" s="1">
        <f>_xlfn.IFNA(VLOOKUP(H59,'MCIA Cases'!$A$2:$R$1091,9,FALSE)," ")</f>
        <v>0</v>
      </c>
      <c r="K59" s="1">
        <f>_xlfn.IFNA(VLOOKUP(H59,'MCIA Cases'!$A$2:$R$1091,10,FALSE)," ")</f>
        <v>0</v>
      </c>
      <c r="L59" s="1" t="str">
        <f>_xlfn.IFNA(VLOOKUP(H59,'MCIA Cases'!$A$2:$R$1091,3,FALSE)," ")</f>
        <v>Stuart Hilgendorf</v>
      </c>
      <c r="M59" s="1">
        <f>IF(COUNTIF('MCIA Corrective Actions'!$A:$A,H59)=0," ",COUNTIF('MCIA Corrective Actions'!$A:$A,H59))</f>
        <v>5</v>
      </c>
      <c r="N59" s="1">
        <f>IF(COUNTIF('MCIA Corrective Actions'!$A:$A,H59)=0," ",COUNTIFS('MCIA Corrective Actions'!$A:$A,H59,'MCIA Corrective Actions'!N:N,"Yes"))</f>
        <v>5</v>
      </c>
      <c r="O59" s="1" t="str">
        <f>_xlfn.IFNA(VLOOKUP(H59,'MCIA Corrective Actions'!$A$2:$R$1092,6,FALSE)," ")</f>
        <v>Stuart Hilgendorf</v>
      </c>
      <c r="P59" s="1"/>
    </row>
    <row r="60" spans="2:16" x14ac:dyDescent="0.25">
      <c r="B60" s="127" t="str">
        <f>_xlfn.IFNA(VLOOKUP(VLOOKUP(H60,'MCIA Cases'!$A$2:$AB$1091,26,FALSE),Summary!$J$43:$K$264,2,FALSE)," ")</f>
        <v xml:space="preserve"> </v>
      </c>
      <c r="C60" s="107" t="str">
        <f>_xlfn.IFNA(VLOOKUP(H60,'MCIA Cases'!$A$2:$R$1091,15,FALSE)," ")</f>
        <v>Rodney Fromenthal Jr.</v>
      </c>
      <c r="H60" s="112">
        <v>100</v>
      </c>
      <c r="I60" s="1" t="str">
        <f>_xlfn.IFNA(VLOOKUP(H60,'MCIA Cases'!$A$2:$R$1091,2,FALSE)," ")</f>
        <v xml:space="preserve">MB1706 Derrick - Lifting Cube </v>
      </c>
      <c r="J60" s="1">
        <f>_xlfn.IFNA(VLOOKUP(H60,'MCIA Cases'!$A$2:$R$1091,9,FALSE)," ")</f>
        <v>0</v>
      </c>
      <c r="K60" s="1">
        <f>_xlfn.IFNA(VLOOKUP(H60,'MCIA Cases'!$A$2:$R$1091,10,FALSE)," ")</f>
        <v>0</v>
      </c>
      <c r="L60" s="1" t="str">
        <f>_xlfn.IFNA(VLOOKUP(H60,'MCIA Cases'!$A$2:$R$1091,3,FALSE)," ")</f>
        <v>Rodney Fromenthal Jr.</v>
      </c>
      <c r="M60" s="1">
        <f>IF(COUNTIF('MCIA Corrective Actions'!$A:$A,H60)=0," ",COUNTIF('MCIA Corrective Actions'!$A:$A,H60))</f>
        <v>3</v>
      </c>
      <c r="N60" s="1">
        <f>IF(COUNTIF('MCIA Corrective Actions'!$A:$A,H60)=0," ",COUNTIFS('MCIA Corrective Actions'!$A:$A,H60,'MCIA Corrective Actions'!N:N,"Yes"))</f>
        <v>0</v>
      </c>
      <c r="O60" s="1">
        <f>_xlfn.IFNA(VLOOKUP(H60,'MCIA Corrective Actions'!$A$2:$R$1092,6,FALSE)," ")</f>
        <v>0</v>
      </c>
      <c r="P60" s="1"/>
    </row>
    <row r="61" spans="2:16" x14ac:dyDescent="0.25">
      <c r="B61" s="127" t="str">
        <f>_xlfn.IFNA(VLOOKUP(VLOOKUP(H61,'MCIA Cases'!$A$2:$AB$1091,26,FALSE),Summary!$J$43:$K$264,2,FALSE)," ")</f>
        <v xml:space="preserve"> </v>
      </c>
      <c r="C61" s="107" t="str">
        <f>_xlfn.IFNA(VLOOKUP(H61,'MCIA Cases'!$A$2:$R$1091,15,FALSE)," ")</f>
        <v>Sheldon Brooks</v>
      </c>
      <c r="H61" s="112">
        <v>105</v>
      </c>
      <c r="I61" s="1" t="str">
        <f>_xlfn.IFNA(VLOOKUP(H61,'MCIA Cases'!$A$2:$R$1091,2,FALSE)," ")</f>
        <v>MCIA_003_2016_Lake Michigan Grounding</v>
      </c>
      <c r="J61" s="1">
        <f>_xlfn.IFNA(VLOOKUP(H61,'MCIA Cases'!$A$2:$R$1091,9,FALSE)," ")</f>
        <v>0</v>
      </c>
      <c r="K61" s="1">
        <f>_xlfn.IFNA(VLOOKUP(H61,'MCIA Cases'!$A$2:$R$1091,10,FALSE)," ")</f>
        <v>0</v>
      </c>
      <c r="L61" s="1" t="str">
        <f>_xlfn.IFNA(VLOOKUP(H61,'MCIA Cases'!$A$2:$R$1091,3,FALSE)," ")</f>
        <v>Joseph Sadiq</v>
      </c>
      <c r="M61" s="1">
        <f>IF(COUNTIF('MCIA Corrective Actions'!$A:$A,H61)=0," ",COUNTIF('MCIA Corrective Actions'!$A:$A,H61))</f>
        <v>2</v>
      </c>
      <c r="N61" s="1">
        <f>IF(COUNTIF('MCIA Corrective Actions'!$A:$A,H61)=0," ",COUNTIFS('MCIA Corrective Actions'!$A:$A,H61,'MCIA Corrective Actions'!N:N,"Yes"))</f>
        <v>2</v>
      </c>
      <c r="O61" s="1" t="str">
        <f>_xlfn.IFNA(VLOOKUP(H61,'MCIA Corrective Actions'!$A$2:$R$1092,6,FALSE)," ")</f>
        <v>Ed Tiearney</v>
      </c>
      <c r="P61" s="1"/>
    </row>
    <row r="62" spans="2:16" x14ac:dyDescent="0.25">
      <c r="B62" s="127" t="s">
        <v>2283</v>
      </c>
      <c r="C62" s="107" t="str">
        <f>_xlfn.IFNA(VLOOKUP(H62,'MCIA Cases'!$A$2:$R$1091,15,FALSE)," ")</f>
        <v>Andrew Larkin</v>
      </c>
      <c r="H62" s="112">
        <v>108</v>
      </c>
      <c r="I62" s="1" t="str">
        <f>_xlfn.IFNA(VLOOKUP(H62,'MCIA Cases'!$A$2:$R$1091,2,FALSE)," ")</f>
        <v>DR 55 - Load Drop</v>
      </c>
      <c r="J62" s="1">
        <f>_xlfn.IFNA(VLOOKUP(H62,'MCIA Cases'!$A$2:$R$1091,9,FALSE)," ")</f>
        <v>0</v>
      </c>
      <c r="K62" s="1">
        <f>_xlfn.IFNA(VLOOKUP(H62,'MCIA Cases'!$A$2:$R$1091,10,FALSE)," ")</f>
        <v>0</v>
      </c>
      <c r="L62" s="1" t="str">
        <f>_xlfn.IFNA(VLOOKUP(H62,'MCIA Cases'!$A$2:$R$1091,3,FALSE)," ")</f>
        <v>Andrew Larkin</v>
      </c>
      <c r="M62" s="1">
        <f>IF(COUNTIF('MCIA Corrective Actions'!$A:$A,H62)=0," ",COUNTIF('MCIA Corrective Actions'!$A:$A,H62))</f>
        <v>7</v>
      </c>
      <c r="N62" s="1">
        <f>IF(COUNTIF('MCIA Corrective Actions'!$A:$A,H62)=0," ",COUNTIFS('MCIA Corrective Actions'!$A:$A,H62,'MCIA Corrective Actions'!N:N,"Yes"))</f>
        <v>7</v>
      </c>
      <c r="O62" s="1" t="str">
        <f>_xlfn.IFNA(VLOOKUP(H62,'MCIA Corrective Actions'!$A$2:$R$1092,6,FALSE)," ")</f>
        <v>Christopher Gunsten</v>
      </c>
      <c r="P62" s="1"/>
    </row>
    <row r="63" spans="2:16" x14ac:dyDescent="0.25">
      <c r="B63" s="127" t="s">
        <v>2385</v>
      </c>
      <c r="C63" s="107" t="str">
        <f>_xlfn.IFNA(VLOOKUP(H63,'MCIA Cases'!$A$2:$R$1091,15,FALSE)," ")</f>
        <v>Brian Goetchius</v>
      </c>
      <c r="H63" s="112">
        <v>110</v>
      </c>
      <c r="I63" s="1" t="str">
        <f>_xlfn.IFNA(VLOOKUP(H63,'MCIA Cases'!$A$2:$R$1091,2,FALSE)," ")</f>
        <v>Dredge 54 Boom Dropped</v>
      </c>
      <c r="J63" s="1">
        <f>_xlfn.IFNA(VLOOKUP(H63,'MCIA Cases'!$A$2:$R$1091,9,FALSE)," ")</f>
        <v>0</v>
      </c>
      <c r="K63" s="1">
        <f>_xlfn.IFNA(VLOOKUP(H63,'MCIA Cases'!$A$2:$R$1091,10,FALSE)," ")</f>
        <v>0</v>
      </c>
      <c r="L63" s="1" t="str">
        <f>_xlfn.IFNA(VLOOKUP(H63,'MCIA Cases'!$A$2:$R$1091,3,FALSE)," ")</f>
        <v>Rene V Fernandez</v>
      </c>
      <c r="M63" s="1">
        <f>IF(COUNTIF('MCIA Corrective Actions'!$A:$A,H63)=0," ",COUNTIF('MCIA Corrective Actions'!$A:$A,H63))</f>
        <v>6</v>
      </c>
      <c r="N63" s="1">
        <f>IF(COUNTIF('MCIA Corrective Actions'!$A:$A,H63)=0," ",COUNTIFS('MCIA Corrective Actions'!$A:$A,H63,'MCIA Corrective Actions'!N:N,"Yes"))</f>
        <v>6</v>
      </c>
      <c r="O63" s="1" t="str">
        <f>_xlfn.IFNA(VLOOKUP(H63,'MCIA Corrective Actions'!$A$2:$R$1092,6,FALSE)," ")</f>
        <v>Andrew Larkin</v>
      </c>
      <c r="P63" s="1"/>
    </row>
    <row r="64" spans="2:16" x14ac:dyDescent="0.25">
      <c r="B64" s="127" t="s">
        <v>9</v>
      </c>
      <c r="C64" s="107" t="str">
        <f>_xlfn.IFNA(VLOOKUP(H64,'MCIA Cases'!$A$2:$R$1091,15,FALSE)," ")</f>
        <v>Mike Hungerford</v>
      </c>
      <c r="H64" s="112">
        <v>112</v>
      </c>
      <c r="I64" s="1" t="str">
        <f>_xlfn.IFNA(VLOOKUP(H64,'MCIA Cases'!$A$2:$R$1091,2,FALSE)," ")</f>
        <v>MCIA_015_2016_UWP Knife Brook_CSD Carolina_161201</v>
      </c>
      <c r="J64" s="1">
        <f>_xlfn.IFNA(VLOOKUP(H64,'MCIA Cases'!$A$2:$R$1091,9,FALSE)," ")</f>
        <v>0</v>
      </c>
      <c r="K64" s="1">
        <f>_xlfn.IFNA(VLOOKUP(H64,'MCIA Cases'!$A$2:$R$1091,10,FALSE)," ")</f>
        <v>0</v>
      </c>
      <c r="L64" s="1" t="str">
        <f>_xlfn.IFNA(VLOOKUP(H64,'MCIA Cases'!$A$2:$R$1091,3,FALSE)," ")</f>
        <v>Joseph Sadiq</v>
      </c>
      <c r="M64" s="1">
        <f>IF(COUNTIF('MCIA Corrective Actions'!$A:$A,H64)=0," ",COUNTIF('MCIA Corrective Actions'!$A:$A,H64))</f>
        <v>3</v>
      </c>
      <c r="N64" s="1">
        <f>IF(COUNTIF('MCIA Corrective Actions'!$A:$A,H64)=0," ",COUNTIFS('MCIA Corrective Actions'!$A:$A,H64,'MCIA Corrective Actions'!N:N,"Yes"))</f>
        <v>3</v>
      </c>
      <c r="O64" s="1" t="str">
        <f>_xlfn.IFNA(VLOOKUP(H64,'MCIA Corrective Actions'!$A$2:$R$1092,6,FALSE)," ")</f>
        <v>Ed Tiearney</v>
      </c>
      <c r="P64" s="1"/>
    </row>
    <row r="65" spans="2:16" x14ac:dyDescent="0.25">
      <c r="B65" s="127" t="s">
        <v>2280</v>
      </c>
      <c r="C65" s="107" t="str">
        <f>_xlfn.IFNA(VLOOKUP(H65,'MCIA Cases'!$A$2:$R$1091,15,FALSE)," ")</f>
        <v>Mark V Outten</v>
      </c>
      <c r="H65" s="112">
        <v>114</v>
      </c>
      <c r="I65" s="1" t="str">
        <f>_xlfn.IFNA(VLOOKUP(H65,'MCIA Cases'!$A$2:$R$1091,2,FALSE)," ")</f>
        <v>Booster Jack stern spud failure / drop</v>
      </c>
      <c r="J65" s="1">
        <f>_xlfn.IFNA(VLOOKUP(H65,'MCIA Cases'!$A$2:$R$1091,9,FALSE)," ")</f>
        <v>0</v>
      </c>
      <c r="K65" s="1">
        <f>_xlfn.IFNA(VLOOKUP(H65,'MCIA Cases'!$A$2:$R$1091,10,FALSE)," ")</f>
        <v>0</v>
      </c>
      <c r="L65" s="1" t="str">
        <f>_xlfn.IFNA(VLOOKUP(H65,'MCIA Cases'!$A$2:$R$1091,3,FALSE)," ")</f>
        <v>Bill Baumann</v>
      </c>
      <c r="M65" s="1">
        <f>IF(COUNTIF('MCIA Corrective Actions'!$A:$A,H65)=0," ",COUNTIF('MCIA Corrective Actions'!$A:$A,H65))</f>
        <v>4</v>
      </c>
      <c r="N65" s="1">
        <f>IF(COUNTIF('MCIA Corrective Actions'!$A:$A,H65)=0," ",COUNTIFS('MCIA Corrective Actions'!$A:$A,H65,'MCIA Corrective Actions'!N:N,"Yes"))</f>
        <v>4</v>
      </c>
      <c r="O65" s="1" t="str">
        <f>_xlfn.IFNA(VLOOKUP(H65,'MCIA Corrective Actions'!$A$2:$R$1092,6,FALSE)," ")</f>
        <v>Mark V Outten</v>
      </c>
      <c r="P65" s="1"/>
    </row>
    <row r="66" spans="2:16" x14ac:dyDescent="0.25">
      <c r="B66" s="127" t="s">
        <v>4</v>
      </c>
      <c r="C66" s="107" t="str">
        <f>_xlfn.IFNA(VLOOKUP(H66,'MCIA Cases'!$A$2:$R$1091,15,FALSE)," ")</f>
        <v>Terry Wright</v>
      </c>
      <c r="H66" s="112">
        <v>116</v>
      </c>
      <c r="I66" s="1" t="str">
        <f>_xlfn.IFNA(VLOOKUP(H66,'MCIA Cases'!$A$2:$R$1091,2,FALSE)," ")</f>
        <v>Dredge Illinois Stbd Main Engine Turbo Failure</v>
      </c>
      <c r="J66" s="1">
        <f>_xlfn.IFNA(VLOOKUP(H66,'MCIA Cases'!$A$2:$R$1091,9,FALSE)," ")</f>
        <v>0</v>
      </c>
      <c r="K66" s="1">
        <f>_xlfn.IFNA(VLOOKUP(H66,'MCIA Cases'!$A$2:$R$1091,10,FALSE)," ")</f>
        <v>0</v>
      </c>
      <c r="L66" s="1" t="str">
        <f>_xlfn.IFNA(VLOOKUP(H66,'MCIA Cases'!$A$2:$R$1091,3,FALSE)," ")</f>
        <v>Terry Wright</v>
      </c>
      <c r="M66" s="1">
        <f>IF(COUNTIF('MCIA Corrective Actions'!$A:$A,H66)=0," ",COUNTIF('MCIA Corrective Actions'!$A:$A,H66))</f>
        <v>2</v>
      </c>
      <c r="N66" s="1">
        <f>IF(COUNTIF('MCIA Corrective Actions'!$A:$A,H66)=0," ",COUNTIFS('MCIA Corrective Actions'!$A:$A,H66,'MCIA Corrective Actions'!N:N,"Yes"))</f>
        <v>2</v>
      </c>
      <c r="O66" s="1" t="str">
        <f>_xlfn.IFNA(VLOOKUP(H66,'MCIA Corrective Actions'!$A$2:$R$1092,6,FALSE)," ")</f>
        <v>Bill Baumann</v>
      </c>
      <c r="P66" s="1"/>
    </row>
    <row r="67" spans="2:16" x14ac:dyDescent="0.25">
      <c r="B67" s="127" t="str">
        <f>_xlfn.IFNA(VLOOKUP(VLOOKUP(H67,'MCIA Cases'!$A$2:$AB$1091,26,FALSE),Summary!$J$43:$K$264,2,FALSE)," ")</f>
        <v xml:space="preserve"> </v>
      </c>
      <c r="C67" s="107" t="str">
        <f>_xlfn.IFNA(VLOOKUP(H67,'MCIA Cases'!$A$2:$R$1091,15,FALSE)," ")</f>
        <v>Robert pierce</v>
      </c>
      <c r="H67" s="112">
        <v>117</v>
      </c>
      <c r="I67" s="1" t="str">
        <f>_xlfn.IFNA(VLOOKUP(H67,'MCIA Cases'!$A$2:$R$1091,2,FALSE)," ")</f>
        <v>MCIA_001_2017_Stern Swivel Vertical Inlet Broke</v>
      </c>
      <c r="J67" s="1">
        <f>_xlfn.IFNA(VLOOKUP(H67,'MCIA Cases'!$A$2:$R$1091,9,FALSE)," ")</f>
        <v>0</v>
      </c>
      <c r="K67" s="1">
        <f>_xlfn.IFNA(VLOOKUP(H67,'MCIA Cases'!$A$2:$R$1091,10,FALSE)," ")</f>
        <v>0</v>
      </c>
      <c r="L67" s="1" t="str">
        <f>_xlfn.IFNA(VLOOKUP(H67,'MCIA Cases'!$A$2:$R$1091,3,FALSE)," ")</f>
        <v>Joseph Sadiq</v>
      </c>
      <c r="M67" s="1">
        <f>IF(COUNTIF('MCIA Corrective Actions'!$A:$A,H67)=0," ",COUNTIF('MCIA Corrective Actions'!$A:$A,H67))</f>
        <v>2</v>
      </c>
      <c r="N67" s="1">
        <f>IF(COUNTIF('MCIA Corrective Actions'!$A:$A,H67)=0," ",COUNTIFS('MCIA Corrective Actions'!$A:$A,H67,'MCIA Corrective Actions'!N:N,"Yes"))</f>
        <v>2</v>
      </c>
      <c r="O67" s="1" t="str">
        <f>_xlfn.IFNA(VLOOKUP(H67,'MCIA Corrective Actions'!$A$2:$R$1092,6,FALSE)," ")</f>
        <v>Ed Tiearney</v>
      </c>
      <c r="P67" s="1"/>
    </row>
    <row r="68" spans="2:16" x14ac:dyDescent="0.25">
      <c r="B68" s="127" t="str">
        <f>_xlfn.IFNA(VLOOKUP(VLOOKUP(H68,'MCIA Cases'!$A$2:$AB$1091,26,FALSE),Summary!$J$43:$K$264,2,FALSE)," ")</f>
        <v xml:space="preserve"> </v>
      </c>
      <c r="C68" s="107" t="str">
        <f>_xlfn.IFNA(VLOOKUP(H68,'MCIA Cases'!$A$2:$R$1091,15,FALSE)," ")</f>
        <v>Sheldon Brooks</v>
      </c>
      <c r="H68" s="112">
        <v>120</v>
      </c>
      <c r="I68" s="1" t="str">
        <f>_xlfn.IFNA(VLOOKUP(H68,'MCIA Cases'!$A$2:$R$1091,2,FALSE)," ")</f>
        <v>Equipment Damage - Boat Operator</v>
      </c>
      <c r="J68" s="1">
        <f>_xlfn.IFNA(VLOOKUP(H68,'MCIA Cases'!$A$2:$R$1091,9,FALSE)," ")</f>
        <v>0</v>
      </c>
      <c r="K68" s="1">
        <f>_xlfn.IFNA(VLOOKUP(H68,'MCIA Cases'!$A$2:$R$1091,10,FALSE)," ")</f>
        <v>0</v>
      </c>
      <c r="L68" s="1" t="str">
        <f>_xlfn.IFNA(VLOOKUP(H68,'MCIA Cases'!$A$2:$R$1091,3,FALSE)," ")</f>
        <v>James P Arias</v>
      </c>
      <c r="M68" s="1">
        <f>IF(COUNTIF('MCIA Corrective Actions'!$A:$A,H68)=0," ",COUNTIF('MCIA Corrective Actions'!$A:$A,H68))</f>
        <v>2</v>
      </c>
      <c r="N68" s="1">
        <f>IF(COUNTIF('MCIA Corrective Actions'!$A:$A,H68)=0," ",COUNTIFS('MCIA Corrective Actions'!$A:$A,H68,'MCIA Corrective Actions'!N:N,"Yes"))</f>
        <v>2</v>
      </c>
      <c r="O68" s="1" t="str">
        <f>_xlfn.IFNA(VLOOKUP(H68,'MCIA Corrective Actions'!$A$2:$R$1092,6,FALSE)," ")</f>
        <v>Joseph Sadiq</v>
      </c>
      <c r="P68" s="1"/>
    </row>
    <row r="69" spans="2:16" x14ac:dyDescent="0.25">
      <c r="B69" s="127" t="str">
        <f>_xlfn.IFNA(VLOOKUP(VLOOKUP(H69,'MCIA Cases'!$A$2:$AB$1091,26,FALSE),Summary!$J$43:$K$264,2,FALSE)," ")</f>
        <v xml:space="preserve"> </v>
      </c>
      <c r="C69" s="107" t="str">
        <f>_xlfn.IFNA(VLOOKUP(H69,'MCIA Cases'!$A$2:$R$1091,15,FALSE)," ")</f>
        <v>Terry Wright</v>
      </c>
      <c r="H69" s="112">
        <v>122</v>
      </c>
      <c r="I69" s="1" t="str">
        <f>_xlfn.IFNA(VLOOKUP(H69,'MCIA Cases'!$A$2:$R$1091,2,FALSE)," ")</f>
        <v>Crane 63 Boom Damage</v>
      </c>
      <c r="J69" s="1">
        <f>_xlfn.IFNA(VLOOKUP(H69,'MCIA Cases'!$A$2:$R$1091,9,FALSE)," ")</f>
        <v>0</v>
      </c>
      <c r="K69" s="1">
        <f>_xlfn.IFNA(VLOOKUP(H69,'MCIA Cases'!$A$2:$R$1091,10,FALSE)," ")</f>
        <v>0</v>
      </c>
      <c r="L69" s="1" t="str">
        <f>_xlfn.IFNA(VLOOKUP(H69,'MCIA Cases'!$A$2:$R$1091,3,FALSE)," ")</f>
        <v>Brian C Puckett</v>
      </c>
      <c r="M69" s="1">
        <f>IF(COUNTIF('MCIA Corrective Actions'!$A:$A,H69)=0," ",COUNTIF('MCIA Corrective Actions'!$A:$A,H69))</f>
        <v>2</v>
      </c>
      <c r="N69" s="1">
        <f>IF(COUNTIF('MCIA Corrective Actions'!$A:$A,H69)=0," ",COUNTIFS('MCIA Corrective Actions'!$A:$A,H69,'MCIA Corrective Actions'!N:N,"Yes"))</f>
        <v>2</v>
      </c>
      <c r="O69" s="1" t="str">
        <f>_xlfn.IFNA(VLOOKUP(H69,'MCIA Corrective Actions'!$A$2:$R$1092,6,FALSE)," ")</f>
        <v>David J Johanson</v>
      </c>
      <c r="P69" s="1"/>
    </row>
    <row r="70" spans="2:16" x14ac:dyDescent="0.25">
      <c r="B70" s="127" t="str">
        <f>_xlfn.IFNA(VLOOKUP(VLOOKUP(H70,'MCIA Cases'!$A$2:$AB$1091,26,FALSE),Summary!$J$43:$K$264,2,FALSE)," ")</f>
        <v xml:space="preserve"> </v>
      </c>
      <c r="C70" s="107" t="str">
        <f>_xlfn.IFNA(VLOOKUP(H70,'MCIA Cases'!$A$2:$R$1091,15,FALSE)," ")</f>
        <v>Dave Allen</v>
      </c>
      <c r="H70" s="112">
        <v>123</v>
      </c>
      <c r="I70" s="1" t="str">
        <f>_xlfn.IFNA(VLOOKUP(H70,'MCIA Cases'!$A$2:$R$1091,2,FALSE)," ")</f>
        <v>Subline tow - lost raft incident</v>
      </c>
      <c r="J70" s="1">
        <f>_xlfn.IFNA(VLOOKUP(H70,'MCIA Cases'!$A$2:$R$1091,9,FALSE)," ")</f>
        <v>0</v>
      </c>
      <c r="K70" s="1">
        <f>_xlfn.IFNA(VLOOKUP(H70,'MCIA Cases'!$A$2:$R$1091,10,FALSE)," ")</f>
        <v>0</v>
      </c>
      <c r="L70" s="1" t="str">
        <f>_xlfn.IFNA(VLOOKUP(H70,'MCIA Cases'!$A$2:$R$1091,3,FALSE)," ")</f>
        <v>Dave Allen</v>
      </c>
      <c r="M70" s="1">
        <f>IF(COUNTIF('MCIA Corrective Actions'!$A:$A,H70)=0," ",COUNTIF('MCIA Corrective Actions'!$A:$A,H70))</f>
        <v>2</v>
      </c>
      <c r="N70" s="1">
        <f>IF(COUNTIF('MCIA Corrective Actions'!$A:$A,H70)=0," ",COUNTIFS('MCIA Corrective Actions'!$A:$A,H70,'MCIA Corrective Actions'!N:N,"Yes"))</f>
        <v>2</v>
      </c>
      <c r="O70" s="1" t="str">
        <f>_xlfn.IFNA(VLOOKUP(H70,'MCIA Corrective Actions'!$A$2:$R$1092,6,FALSE)," ")</f>
        <v>David J Johanson</v>
      </c>
      <c r="P70" s="1"/>
    </row>
    <row r="71" spans="2:16" x14ac:dyDescent="0.25">
      <c r="B71" s="127" t="s">
        <v>2274</v>
      </c>
      <c r="C71" s="107" t="str">
        <f>_xlfn.IFNA(VLOOKUP(H71,'MCIA Cases'!$A$2:$R$1091,15,FALSE)," ")</f>
        <v>Eugene Corey</v>
      </c>
      <c r="H71" s="112">
        <v>124</v>
      </c>
      <c r="I71" s="1" t="str">
        <f>_xlfn.IFNA(VLOOKUP(H71,'MCIA Cases'!$A$2:$R$1091,2,FALSE)," ")</f>
        <v>Columbia River Multi Beam Head Damage</v>
      </c>
      <c r="J71" s="1">
        <f>_xlfn.IFNA(VLOOKUP(H71,'MCIA Cases'!$A$2:$R$1091,9,FALSE)," ")</f>
        <v>0</v>
      </c>
      <c r="K71" s="1">
        <f>_xlfn.IFNA(VLOOKUP(H71,'MCIA Cases'!$A$2:$R$1091,10,FALSE)," ")</f>
        <v>0</v>
      </c>
      <c r="L71" s="1" t="str">
        <f>_xlfn.IFNA(VLOOKUP(H71,'MCIA Cases'!$A$2:$R$1091,3,FALSE)," ")</f>
        <v>Eugene Corey</v>
      </c>
      <c r="M71" s="1">
        <f>IF(COUNTIF('MCIA Corrective Actions'!$A:$A,H71)=0," ",COUNTIF('MCIA Corrective Actions'!$A:$A,H71))</f>
        <v>2</v>
      </c>
      <c r="N71" s="1">
        <f>IF(COUNTIF('MCIA Corrective Actions'!$A:$A,H71)=0," ",COUNTIFS('MCIA Corrective Actions'!$A:$A,H71,'MCIA Corrective Actions'!N:N,"Yes"))</f>
        <v>2</v>
      </c>
      <c r="O71" s="1" t="str">
        <f>_xlfn.IFNA(VLOOKUP(H71,'MCIA Corrective Actions'!$A$2:$R$1092,6,FALSE)," ")</f>
        <v>Dave Allen</v>
      </c>
      <c r="P71" s="1"/>
    </row>
    <row r="72" spans="2:16" x14ac:dyDescent="0.25">
      <c r="B72" s="127" t="s">
        <v>626</v>
      </c>
      <c r="C72" s="107" t="str">
        <f>_xlfn.IFNA(VLOOKUP(H72,'MCIA Cases'!$A$2:$R$1091,15,FALSE)," ")</f>
        <v>Jaclyn Abrams</v>
      </c>
      <c r="H72" s="112">
        <v>125</v>
      </c>
      <c r="I72" s="1" t="str">
        <f>_xlfn.IFNA(VLOOKUP(H72,'MCIA Cases'!$A$2:$R$1091,2,FALSE)," ")</f>
        <v>Dredge New York Boom Assist Mid Platform</v>
      </c>
      <c r="J72" s="1">
        <f>_xlfn.IFNA(VLOOKUP(H72,'MCIA Cases'!$A$2:$R$1091,9,FALSE)," ")</f>
        <v>0</v>
      </c>
      <c r="K72" s="1">
        <f>_xlfn.IFNA(VLOOKUP(H72,'MCIA Cases'!$A$2:$R$1091,10,FALSE)," ")</f>
        <v>0</v>
      </c>
      <c r="L72" s="1" t="str">
        <f>_xlfn.IFNA(VLOOKUP(H72,'MCIA Cases'!$A$2:$R$1091,3,FALSE)," ")</f>
        <v>Jaclyn Abrams</v>
      </c>
      <c r="M72" s="1">
        <f>IF(COUNTIF('MCIA Corrective Actions'!$A:$A,H72)=0," ",COUNTIF('MCIA Corrective Actions'!$A:$A,H72))</f>
        <v>3</v>
      </c>
      <c r="N72" s="1">
        <f>IF(COUNTIF('MCIA Corrective Actions'!$A:$A,H72)=0," ",COUNTIFS('MCIA Corrective Actions'!$A:$A,H72,'MCIA Corrective Actions'!N:N,"Yes"))</f>
        <v>3</v>
      </c>
      <c r="O72" s="1" t="str">
        <f>_xlfn.IFNA(VLOOKUP(H72,'MCIA Corrective Actions'!$A$2:$R$1092,6,FALSE)," ")</f>
        <v>Jaclyn Abrams</v>
      </c>
      <c r="P72" s="1"/>
    </row>
    <row r="73" spans="2:16" x14ac:dyDescent="0.25">
      <c r="B73" s="127" t="str">
        <f>_xlfn.IFNA(VLOOKUP(VLOOKUP(H73,'MCIA Cases'!$A$2:$AB$1091,26,FALSE),Summary!$J$43:$K$264,2,FALSE)," ")</f>
        <v xml:space="preserve"> </v>
      </c>
      <c r="C73" s="107" t="str">
        <f>_xlfn.IFNA(VLOOKUP(H73,'MCIA Cases'!$A$2:$R$1091,15,FALSE)," ")</f>
        <v>Christopher Gunsten</v>
      </c>
      <c r="H73" s="112">
        <v>128</v>
      </c>
      <c r="I73" s="1" t="str">
        <f>_xlfn.IFNA(VLOOKUP(H73,'MCIA Cases'!$A$2:$R$1091,2,FALSE)," ")</f>
        <v>GL702 Headlog Repairs</v>
      </c>
      <c r="J73" s="1">
        <f>_xlfn.IFNA(VLOOKUP(H73,'MCIA Cases'!$A$2:$R$1091,9,FALSE)," ")</f>
        <v>0</v>
      </c>
      <c r="K73" s="1">
        <f>_xlfn.IFNA(VLOOKUP(H73,'MCIA Cases'!$A$2:$R$1091,10,FALSE)," ")</f>
        <v>0</v>
      </c>
      <c r="L73" s="1" t="str">
        <f>_xlfn.IFNA(VLOOKUP(H73,'MCIA Cases'!$A$2:$R$1091,3,FALSE)," ")</f>
        <v>Christopher Gunsten</v>
      </c>
      <c r="M73" s="1">
        <f>IF(COUNTIF('MCIA Corrective Actions'!$A:$A,H73)=0," ",COUNTIF('MCIA Corrective Actions'!$A:$A,H73))</f>
        <v>4</v>
      </c>
      <c r="N73" s="1">
        <f>IF(COUNTIF('MCIA Corrective Actions'!$A:$A,H73)=0," ",COUNTIFS('MCIA Corrective Actions'!$A:$A,H73,'MCIA Corrective Actions'!N:N,"Yes"))</f>
        <v>4</v>
      </c>
      <c r="O73" s="1" t="str">
        <f>_xlfn.IFNA(VLOOKUP(H73,'MCIA Corrective Actions'!$A$2:$R$1092,6,FALSE)," ")</f>
        <v>Christopher Gunsten</v>
      </c>
      <c r="P73" s="1"/>
    </row>
    <row r="74" spans="2:16" x14ac:dyDescent="0.25">
      <c r="B74" s="127" t="str">
        <f>_xlfn.IFNA(VLOOKUP(VLOOKUP(H74,'MCIA Cases'!$A$2:$AB$1091,26,FALSE),Summary!$J$43:$K$264,2,FALSE)," ")</f>
        <v xml:space="preserve"> </v>
      </c>
      <c r="C74" s="107" t="str">
        <f>_xlfn.IFNA(VLOOKUP(H74,'MCIA Cases'!$A$2:$R$1091,15,FALSE)," ")</f>
        <v>William E Mitchell</v>
      </c>
      <c r="H74" s="112">
        <v>132</v>
      </c>
      <c r="I74" s="1" t="str">
        <f>_xlfn.IFNA(VLOOKUP(H74,'MCIA Cases'!$A$2:$R$1091,2,FALSE)," ")</f>
        <v>Buried Bulldozer</v>
      </c>
      <c r="J74" s="1">
        <f>_xlfn.IFNA(VLOOKUP(H74,'MCIA Cases'!$A$2:$R$1091,9,FALSE)," ")</f>
        <v>0</v>
      </c>
      <c r="K74" s="1">
        <f>_xlfn.IFNA(VLOOKUP(H74,'MCIA Cases'!$A$2:$R$1091,10,FALSE)," ")</f>
        <v>0</v>
      </c>
      <c r="L74" s="1" t="str">
        <f>_xlfn.IFNA(VLOOKUP(H74,'MCIA Cases'!$A$2:$R$1091,3,FALSE)," ")</f>
        <v>William E Mitchell</v>
      </c>
      <c r="M74" s="1">
        <f>IF(COUNTIF('MCIA Corrective Actions'!$A:$A,H74)=0," ",COUNTIF('MCIA Corrective Actions'!$A:$A,H74))</f>
        <v>4</v>
      </c>
      <c r="N74" s="1">
        <f>IF(COUNTIF('MCIA Corrective Actions'!$A:$A,H74)=0," ",COUNTIFS('MCIA Corrective Actions'!$A:$A,H74,'MCIA Corrective Actions'!N:N,"Yes"))</f>
        <v>4</v>
      </c>
      <c r="O74" s="1" t="str">
        <f>_xlfn.IFNA(VLOOKUP(H74,'MCIA Corrective Actions'!$A$2:$R$1092,6,FALSE)," ")</f>
        <v>Dave Allen</v>
      </c>
      <c r="P74" s="1"/>
    </row>
    <row r="75" spans="2:16" x14ac:dyDescent="0.25">
      <c r="B75" s="127" t="str">
        <f>_xlfn.IFNA(VLOOKUP(VLOOKUP(H75,'MCIA Cases'!$A$2:$AB$1091,26,FALSE),Summary!$J$43:$K$264,2,FALSE)," ")</f>
        <v xml:space="preserve"> </v>
      </c>
      <c r="C75" s="107" t="str">
        <f>_xlfn.IFNA(VLOOKUP(H75,'MCIA Cases'!$A$2:$R$1091,15,FALSE)," ")</f>
        <v>Andrew Larkin</v>
      </c>
      <c r="H75" s="112">
        <v>133</v>
      </c>
      <c r="I75" s="1" t="str">
        <f>_xlfn.IFNA(VLOOKUP(H75,'MCIA Cases'!$A$2:$R$1091,2,FALSE)," ")</f>
        <v xml:space="preserve">DR 55 Tagline Motor </v>
      </c>
      <c r="J75" s="1">
        <f>_xlfn.IFNA(VLOOKUP(H75,'MCIA Cases'!$A$2:$R$1091,9,FALSE)," ")</f>
        <v>0</v>
      </c>
      <c r="K75" s="1">
        <f>_xlfn.IFNA(VLOOKUP(H75,'MCIA Cases'!$A$2:$R$1091,10,FALSE)," ")</f>
        <v>0</v>
      </c>
      <c r="L75" s="1" t="str">
        <f>_xlfn.IFNA(VLOOKUP(H75,'MCIA Cases'!$A$2:$R$1091,3,FALSE)," ")</f>
        <v>Andrew Larkin</v>
      </c>
      <c r="M75" s="1">
        <f>IF(COUNTIF('MCIA Corrective Actions'!$A:$A,H75)=0," ",COUNTIF('MCIA Corrective Actions'!$A:$A,H75))</f>
        <v>5</v>
      </c>
      <c r="N75" s="1">
        <f>IF(COUNTIF('MCIA Corrective Actions'!$A:$A,H75)=0," ",COUNTIFS('MCIA Corrective Actions'!$A:$A,H75,'MCIA Corrective Actions'!N:N,"Yes"))</f>
        <v>5</v>
      </c>
      <c r="O75" s="1" t="str">
        <f>_xlfn.IFNA(VLOOKUP(H75,'MCIA Corrective Actions'!$A$2:$R$1092,6,FALSE)," ")</f>
        <v>Bill Baumann</v>
      </c>
      <c r="P75" s="1"/>
    </row>
    <row r="76" spans="2:16" x14ac:dyDescent="0.25">
      <c r="B76" s="127" t="str">
        <f>_xlfn.IFNA(VLOOKUP(VLOOKUP(H76,'MCIA Cases'!$A$2:$AB$1091,26,FALSE),Summary!$J$43:$K$264,2,FALSE)," ")</f>
        <v xml:space="preserve"> </v>
      </c>
      <c r="C76" s="107" t="str">
        <f>_xlfn.IFNA(VLOOKUP(H76,'MCIA Cases'!$A$2:$R$1091,15,FALSE)," ")</f>
        <v>Andrew Larkin</v>
      </c>
      <c r="H76" s="112">
        <v>136</v>
      </c>
      <c r="I76" s="1" t="str">
        <f>_xlfn.IFNA(VLOOKUP(H76,'MCIA Cases'!$A$2:$R$1091,2,FALSE)," ")</f>
        <v>DR 55 - Gusset Crack</v>
      </c>
      <c r="J76" s="1">
        <f>_xlfn.IFNA(VLOOKUP(H76,'MCIA Cases'!$A$2:$R$1091,9,FALSE)," ")</f>
        <v>0</v>
      </c>
      <c r="K76" s="1">
        <f>_xlfn.IFNA(VLOOKUP(H76,'MCIA Cases'!$A$2:$R$1091,10,FALSE)," ")</f>
        <v>0</v>
      </c>
      <c r="L76" s="1" t="str">
        <f>_xlfn.IFNA(VLOOKUP(H76,'MCIA Cases'!$A$2:$R$1091,3,FALSE)," ")</f>
        <v>Andrew Larkin</v>
      </c>
      <c r="M76" s="1">
        <f>IF(COUNTIF('MCIA Corrective Actions'!$A:$A,H76)=0," ",COUNTIF('MCIA Corrective Actions'!$A:$A,H76))</f>
        <v>1</v>
      </c>
      <c r="N76" s="1">
        <f>IF(COUNTIF('MCIA Corrective Actions'!$A:$A,H76)=0," ",COUNTIFS('MCIA Corrective Actions'!$A:$A,H76,'MCIA Corrective Actions'!N:N,"Yes"))</f>
        <v>1</v>
      </c>
      <c r="O76" s="1" t="str">
        <f>_xlfn.IFNA(VLOOKUP(H76,'MCIA Corrective Actions'!$A$2:$R$1092,6,FALSE)," ")</f>
        <v>Christopher Gunsten</v>
      </c>
      <c r="P76" s="1"/>
    </row>
    <row r="77" spans="2:16" x14ac:dyDescent="0.25">
      <c r="B77" s="127" t="str">
        <f>_xlfn.IFNA(VLOOKUP(VLOOKUP(H77,'MCIA Cases'!$A$2:$AB$1091,26,FALSE),Summary!$J$43:$K$264,2,FALSE)," ")</f>
        <v xml:space="preserve"> </v>
      </c>
      <c r="C77" s="107" t="str">
        <f>_xlfn.IFNA(VLOOKUP(H77,'MCIA Cases'!$A$2:$R$1091,15,FALSE)," ")</f>
        <v>Kurt Hill</v>
      </c>
      <c r="H77" s="112">
        <v>137</v>
      </c>
      <c r="I77" s="1" t="str">
        <f>_xlfn.IFNA(VLOOKUP(H77,'MCIA Cases'!$A$2:$R$1091,2,FALSE)," ")</f>
        <v>Unloader # 2 - CAT 398 Gasket</v>
      </c>
      <c r="J77" s="1">
        <f>_xlfn.IFNA(VLOOKUP(H77,'MCIA Cases'!$A$2:$R$1091,9,FALSE)," ")</f>
        <v>0</v>
      </c>
      <c r="K77" s="1">
        <f>_xlfn.IFNA(VLOOKUP(H77,'MCIA Cases'!$A$2:$R$1091,10,FALSE)," ")</f>
        <v>0</v>
      </c>
      <c r="L77" s="1" t="str">
        <f>_xlfn.IFNA(VLOOKUP(H77,'MCIA Cases'!$A$2:$R$1091,3,FALSE)," ")</f>
        <v>Andrew Larkin</v>
      </c>
      <c r="M77" s="1">
        <f>IF(COUNTIF('MCIA Corrective Actions'!$A:$A,H77)=0," ",COUNTIF('MCIA Corrective Actions'!$A:$A,H77))</f>
        <v>2</v>
      </c>
      <c r="N77" s="1">
        <f>IF(COUNTIF('MCIA Corrective Actions'!$A:$A,H77)=0," ",COUNTIFS('MCIA Corrective Actions'!$A:$A,H77,'MCIA Corrective Actions'!N:N,"Yes"))</f>
        <v>2</v>
      </c>
      <c r="O77" s="1" t="str">
        <f>_xlfn.IFNA(VLOOKUP(H77,'MCIA Corrective Actions'!$A$2:$R$1092,6,FALSE)," ")</f>
        <v>Andrew Larkin</v>
      </c>
      <c r="P77" s="1"/>
    </row>
    <row r="78" spans="2:16" x14ac:dyDescent="0.25">
      <c r="B78" s="127" t="str">
        <f>_xlfn.IFNA(VLOOKUP(VLOOKUP(H78,'MCIA Cases'!$A$2:$AB$1091,26,FALSE),Summary!$J$43:$K$264,2,FALSE)," ")</f>
        <v xml:space="preserve"> </v>
      </c>
      <c r="C78" s="107" t="str">
        <f>_xlfn.IFNA(VLOOKUP(H78,'MCIA Cases'!$A$2:$R$1091,15,FALSE)," ")</f>
        <v>Jacques Coetzee</v>
      </c>
      <c r="H78" s="112">
        <v>138</v>
      </c>
      <c r="I78" s="1" t="str">
        <f>_xlfn.IFNA(VLOOKUP(H78,'MCIA Cases'!$A$2:$R$1091,2,FALSE)," ")</f>
        <v>MCIA_003_2017_CSD Ohio_Cutter Motor # 2 Failure</v>
      </c>
      <c r="J78" s="1">
        <f>_xlfn.IFNA(VLOOKUP(H78,'MCIA Cases'!$A$2:$R$1091,9,FALSE)," ")</f>
        <v>0</v>
      </c>
      <c r="K78" s="1">
        <f>_xlfn.IFNA(VLOOKUP(H78,'MCIA Cases'!$A$2:$R$1091,10,FALSE)," ")</f>
        <v>0</v>
      </c>
      <c r="L78" s="1" t="str">
        <f>_xlfn.IFNA(VLOOKUP(H78,'MCIA Cases'!$A$2:$R$1091,3,FALSE)," ")</f>
        <v>Joseph Sadiq</v>
      </c>
      <c r="M78" s="1">
        <f>IF(COUNTIF('MCIA Corrective Actions'!$A:$A,H78)=0," ",COUNTIF('MCIA Corrective Actions'!$A:$A,H78))</f>
        <v>3</v>
      </c>
      <c r="N78" s="1">
        <f>IF(COUNTIF('MCIA Corrective Actions'!$A:$A,H78)=0," ",COUNTIFS('MCIA Corrective Actions'!$A:$A,H78,'MCIA Corrective Actions'!N:N,"Yes"))</f>
        <v>3</v>
      </c>
      <c r="O78" s="1" t="str">
        <f>_xlfn.IFNA(VLOOKUP(H78,'MCIA Corrective Actions'!$A$2:$R$1092,6,FALSE)," ")</f>
        <v>Sheldon Brooks</v>
      </c>
      <c r="P78" s="1"/>
    </row>
    <row r="79" spans="2:16" x14ac:dyDescent="0.25">
      <c r="B79" s="127" t="str">
        <f>_xlfn.IFNA(VLOOKUP(VLOOKUP(H79,'MCIA Cases'!$A$2:$AB$1091,26,FALSE),Summary!$J$43:$K$264,2,FALSE)," ")</f>
        <v xml:space="preserve"> </v>
      </c>
      <c r="C79" s="107" t="str">
        <f>_xlfn.IFNA(VLOOKUP(H79,'MCIA Cases'!$A$2:$R$1091,15,FALSE)," ")</f>
        <v>Jacques Coetzee</v>
      </c>
      <c r="H79" s="112">
        <v>139</v>
      </c>
      <c r="I79" s="1" t="str">
        <f>_xlfn.IFNA(VLOOKUP(H79,'MCIA Cases'!$A$2:$R$1091,2,FALSE)," ")</f>
        <v xml:space="preserve">MCIA_004_2017_Ohio_Cutter Motor # 6_Failure  </v>
      </c>
      <c r="J79" s="1">
        <f>_xlfn.IFNA(VLOOKUP(H79,'MCIA Cases'!$A$2:$R$1091,9,FALSE)," ")</f>
        <v>0</v>
      </c>
      <c r="K79" s="1">
        <f>_xlfn.IFNA(VLOOKUP(H79,'MCIA Cases'!$A$2:$R$1091,10,FALSE)," ")</f>
        <v>0</v>
      </c>
      <c r="L79" s="1" t="str">
        <f>_xlfn.IFNA(VLOOKUP(H79,'MCIA Cases'!$A$2:$R$1091,3,FALSE)," ")</f>
        <v>Joseph Sadiq</v>
      </c>
      <c r="M79" s="1">
        <f>IF(COUNTIF('MCIA Corrective Actions'!$A:$A,H79)=0," ",COUNTIF('MCIA Corrective Actions'!$A:$A,H79))</f>
        <v>2</v>
      </c>
      <c r="N79" s="1">
        <f>IF(COUNTIF('MCIA Corrective Actions'!$A:$A,H79)=0," ",COUNTIFS('MCIA Corrective Actions'!$A:$A,H79,'MCIA Corrective Actions'!N:N,"Yes"))</f>
        <v>2</v>
      </c>
      <c r="O79" s="1" t="str">
        <f>_xlfn.IFNA(VLOOKUP(H79,'MCIA Corrective Actions'!$A$2:$R$1092,6,FALSE)," ")</f>
        <v>Ed Tiearney</v>
      </c>
      <c r="P79" s="1"/>
    </row>
    <row r="80" spans="2:16" x14ac:dyDescent="0.25">
      <c r="B80" s="127" t="str">
        <f>_xlfn.IFNA(VLOOKUP(VLOOKUP(H80,'MCIA Cases'!$A$2:$AB$1091,26,FALSE),Summary!$J$43:$K$264,2,FALSE)," ")</f>
        <v xml:space="preserve"> </v>
      </c>
      <c r="C80" s="107" t="str">
        <f>_xlfn.IFNA(VLOOKUP(H80,'MCIA Cases'!$A$2:$R$1091,15,FALSE)," ")</f>
        <v>Rene V Fernandez</v>
      </c>
      <c r="H80" s="112">
        <v>140</v>
      </c>
      <c r="I80" s="1" t="str">
        <f>_xlfn.IFNA(VLOOKUP(H80,'MCIA Cases'!$A$2:$R$1091,2,FALSE)," ")</f>
        <v xml:space="preserve">CA Bucket 517 Puncturing a Hole in Scow Hull GL64 </v>
      </c>
      <c r="J80" s="1">
        <f>_xlfn.IFNA(VLOOKUP(H80,'MCIA Cases'!$A$2:$R$1091,9,FALSE)," ")</f>
        <v>0</v>
      </c>
      <c r="K80" s="1">
        <f>_xlfn.IFNA(VLOOKUP(H80,'MCIA Cases'!$A$2:$R$1091,10,FALSE)," ")</f>
        <v>0</v>
      </c>
      <c r="L80" s="1" t="str">
        <f>_xlfn.IFNA(VLOOKUP(H80,'MCIA Cases'!$A$2:$R$1091,3,FALSE)," ")</f>
        <v>Rene V Fernandez</v>
      </c>
      <c r="M80" s="1">
        <f>IF(COUNTIF('MCIA Corrective Actions'!$A:$A,H80)=0," ",COUNTIF('MCIA Corrective Actions'!$A:$A,H80))</f>
        <v>3</v>
      </c>
      <c r="N80" s="1">
        <f>IF(COUNTIF('MCIA Corrective Actions'!$A:$A,H80)=0," ",COUNTIFS('MCIA Corrective Actions'!$A:$A,H80,'MCIA Corrective Actions'!N:N,"Yes"))</f>
        <v>3</v>
      </c>
      <c r="O80" s="1" t="str">
        <f>_xlfn.IFNA(VLOOKUP(H80,'MCIA Corrective Actions'!$A$2:$R$1092,6,FALSE)," ")</f>
        <v>Andrew Larkin</v>
      </c>
      <c r="P80" s="1"/>
    </row>
    <row r="81" spans="2:16" x14ac:dyDescent="0.25">
      <c r="B81" s="127" t="str">
        <f>_xlfn.IFNA(VLOOKUP(VLOOKUP(H81,'MCIA Cases'!$A$2:$AB$1091,26,FALSE),Summary!$J$43:$K$264,2,FALSE)," ")</f>
        <v xml:space="preserve"> </v>
      </c>
      <c r="C81" s="107" t="str">
        <f>_xlfn.IFNA(VLOOKUP(H81,'MCIA Cases'!$A$2:$R$1091,15,FALSE)," ")</f>
        <v>Eugene Corey</v>
      </c>
      <c r="H81" s="112">
        <v>146</v>
      </c>
      <c r="I81" s="1" t="str">
        <f>_xlfn.IFNA(VLOOKUP(H81,'MCIA Cases'!$A$2:$R$1091,2,FALSE)," ")</f>
        <v>Port Breast Winch Shaft Failure</v>
      </c>
      <c r="J81" s="1">
        <f>_xlfn.IFNA(VLOOKUP(H81,'MCIA Cases'!$A$2:$R$1091,9,FALSE)," ")</f>
        <v>0</v>
      </c>
      <c r="K81" s="1">
        <f>_xlfn.IFNA(VLOOKUP(H81,'MCIA Cases'!$A$2:$R$1091,10,FALSE)," ")</f>
        <v>0</v>
      </c>
      <c r="L81" s="1" t="str">
        <f>_xlfn.IFNA(VLOOKUP(H81,'MCIA Cases'!$A$2:$R$1091,3,FALSE)," ")</f>
        <v>Eugene Corey</v>
      </c>
      <c r="M81" s="1">
        <f>IF(COUNTIF('MCIA Corrective Actions'!$A:$A,H81)=0," ",COUNTIF('MCIA Corrective Actions'!$A:$A,H81))</f>
        <v>1</v>
      </c>
      <c r="N81" s="1">
        <f>IF(COUNTIF('MCIA Corrective Actions'!$A:$A,H81)=0," ",COUNTIFS('MCIA Corrective Actions'!$A:$A,H81,'MCIA Corrective Actions'!N:N,"Yes"))</f>
        <v>1</v>
      </c>
      <c r="O81" s="1" t="str">
        <f>_xlfn.IFNA(VLOOKUP(H81,'MCIA Corrective Actions'!$A$2:$R$1092,6,FALSE)," ")</f>
        <v>Eugene Corey</v>
      </c>
      <c r="P81" s="1"/>
    </row>
    <row r="82" spans="2:16" x14ac:dyDescent="0.25">
      <c r="B82" s="127" t="str">
        <f>_xlfn.IFNA(VLOOKUP(VLOOKUP(H82,'MCIA Cases'!$A$2:$AB$1091,26,FALSE),Summary!$J$43:$K$264,2,FALSE)," ")</f>
        <v xml:space="preserve"> </v>
      </c>
      <c r="C82" s="107" t="str">
        <f>_xlfn.IFNA(VLOOKUP(H82,'MCIA Cases'!$A$2:$R$1091,15,FALSE)," ")</f>
        <v>Chris Faught</v>
      </c>
      <c r="H82" s="112">
        <v>149</v>
      </c>
      <c r="I82" s="1" t="str">
        <f>_xlfn.IFNA(VLOOKUP(H82,'MCIA Cases'!$A$2:$R$1091,2,FALSE)," ")</f>
        <v>Radial Bearing Failure on Pump Shaft</v>
      </c>
      <c r="J82" s="1">
        <f>_xlfn.IFNA(VLOOKUP(H82,'MCIA Cases'!$A$2:$R$1091,9,FALSE)," ")</f>
        <v>0</v>
      </c>
      <c r="K82" s="1">
        <f>_xlfn.IFNA(VLOOKUP(H82,'MCIA Cases'!$A$2:$R$1091,10,FALSE)," ")</f>
        <v>0</v>
      </c>
      <c r="L82" s="1" t="str">
        <f>_xlfn.IFNA(VLOOKUP(H82,'MCIA Cases'!$A$2:$R$1091,3,FALSE)," ")</f>
        <v>Chris Faught</v>
      </c>
      <c r="M82" s="1">
        <f>IF(COUNTIF('MCIA Corrective Actions'!$A:$A,H82)=0," ",COUNTIF('MCIA Corrective Actions'!$A:$A,H82))</f>
        <v>3</v>
      </c>
      <c r="N82" s="1">
        <f>IF(COUNTIF('MCIA Corrective Actions'!$A:$A,H82)=0," ",COUNTIFS('MCIA Corrective Actions'!$A:$A,H82,'MCIA Corrective Actions'!N:N,"Yes"))</f>
        <v>3</v>
      </c>
      <c r="O82" s="1" t="str">
        <f>_xlfn.IFNA(VLOOKUP(H82,'MCIA Corrective Actions'!$A$2:$R$1092,6,FALSE)," ")</f>
        <v>Christopher Charron</v>
      </c>
      <c r="P82" s="1"/>
    </row>
    <row r="83" spans="2:16" x14ac:dyDescent="0.25">
      <c r="B83" s="127" t="str">
        <f>_xlfn.IFNA(VLOOKUP(VLOOKUP(H83,'MCIA Cases'!$A$2:$AB$1091,26,FALSE),Summary!$J$43:$K$264,2,FALSE)," ")</f>
        <v xml:space="preserve"> </v>
      </c>
      <c r="C83" s="107" t="str">
        <f>_xlfn.IFNA(VLOOKUP(H83,'MCIA Cases'!$A$2:$R$1091,15,FALSE)," ")</f>
        <v>Chris Faught</v>
      </c>
      <c r="H83" s="112">
        <v>151</v>
      </c>
      <c r="I83" s="1" t="str">
        <f>_xlfn.IFNA(VLOOKUP(H83,'MCIA Cases'!$A$2:$R$1091,2,FALSE)," ")</f>
        <v>R1244 Hydraulic Pump Failure</v>
      </c>
      <c r="J83" s="1">
        <f>_xlfn.IFNA(VLOOKUP(H83,'MCIA Cases'!$A$2:$R$1091,9,FALSE)," ")</f>
        <v>0</v>
      </c>
      <c r="K83" s="1">
        <f>_xlfn.IFNA(VLOOKUP(H83,'MCIA Cases'!$A$2:$R$1091,10,FALSE)," ")</f>
        <v>0</v>
      </c>
      <c r="L83" s="1" t="str">
        <f>_xlfn.IFNA(VLOOKUP(H83,'MCIA Cases'!$A$2:$R$1091,3,FALSE)," ")</f>
        <v>Chris Faught</v>
      </c>
      <c r="M83" s="1">
        <f>IF(COUNTIF('MCIA Corrective Actions'!$A:$A,H83)=0," ",COUNTIF('MCIA Corrective Actions'!$A:$A,H83))</f>
        <v>2</v>
      </c>
      <c r="N83" s="1">
        <f>IF(COUNTIF('MCIA Corrective Actions'!$A:$A,H83)=0," ",COUNTIFS('MCIA Corrective Actions'!$A:$A,H83,'MCIA Corrective Actions'!N:N,"Yes"))</f>
        <v>2</v>
      </c>
      <c r="O83" s="1" t="str">
        <f>_xlfn.IFNA(VLOOKUP(H83,'MCIA Corrective Actions'!$A$2:$R$1092,6,FALSE)," ")</f>
        <v>Christopher Charron</v>
      </c>
      <c r="P83" s="1"/>
    </row>
    <row r="84" spans="2:16" x14ac:dyDescent="0.25">
      <c r="B84" s="127" t="str">
        <f>_xlfn.IFNA(VLOOKUP(VLOOKUP(H84,'MCIA Cases'!$A$2:$AB$1091,26,FALSE),Summary!$J$43:$K$264,2,FALSE)," ")</f>
        <v xml:space="preserve"> </v>
      </c>
      <c r="C84" s="107" t="str">
        <f>_xlfn.IFNA(VLOOKUP(H84,'MCIA Cases'!$A$2:$R$1091,15,FALSE)," ")</f>
        <v>Chris Faught</v>
      </c>
      <c r="H84" s="112">
        <v>153</v>
      </c>
      <c r="I84" s="1" t="str">
        <f>_xlfn.IFNA(VLOOKUP(H84,'MCIA Cases'!$A$2:$R$1091,2,FALSE)," ")</f>
        <v xml:space="preserve">Main Engine Failure </v>
      </c>
      <c r="J84" s="1">
        <f>_xlfn.IFNA(VLOOKUP(H84,'MCIA Cases'!$A$2:$R$1091,9,FALSE)," ")</f>
        <v>0</v>
      </c>
      <c r="K84" s="1">
        <f>_xlfn.IFNA(VLOOKUP(H84,'MCIA Cases'!$A$2:$R$1091,10,FALSE)," ")</f>
        <v>0</v>
      </c>
      <c r="L84" s="1" t="str">
        <f>_xlfn.IFNA(VLOOKUP(H84,'MCIA Cases'!$A$2:$R$1091,3,FALSE)," ")</f>
        <v>Garren Clegg</v>
      </c>
      <c r="M84" s="1">
        <f>IF(COUNTIF('MCIA Corrective Actions'!$A:$A,H84)=0," ",COUNTIF('MCIA Corrective Actions'!$A:$A,H84))</f>
        <v>1</v>
      </c>
      <c r="N84" s="1">
        <f>IF(COUNTIF('MCIA Corrective Actions'!$A:$A,H84)=0," ",COUNTIFS('MCIA Corrective Actions'!$A:$A,H84,'MCIA Corrective Actions'!N:N,"Yes"))</f>
        <v>1</v>
      </c>
      <c r="O84" s="1" t="str">
        <f>_xlfn.IFNA(VLOOKUP(H84,'MCIA Corrective Actions'!$A$2:$R$1092,6,FALSE)," ")</f>
        <v>Christopher Charron</v>
      </c>
      <c r="P84" s="1"/>
    </row>
    <row r="85" spans="2:16" x14ac:dyDescent="0.25">
      <c r="B85" s="127" t="str">
        <f>_xlfn.IFNA(VLOOKUP(VLOOKUP(H85,'MCIA Cases'!$A$2:$AB$1091,26,FALSE),Summary!$J$43:$K$264,2,FALSE)," ")</f>
        <v xml:space="preserve"> </v>
      </c>
      <c r="C85" s="107" t="str">
        <f>_xlfn.IFNA(VLOOKUP(H85,'MCIA Cases'!$A$2:$R$1091,15,FALSE)," ")</f>
        <v>Andrew Larkin</v>
      </c>
      <c r="H85" s="112">
        <v>154</v>
      </c>
      <c r="I85" s="1" t="str">
        <f>_xlfn.IFNA(VLOOKUP(H85,'MCIA Cases'!$A$2:$R$1091,2,FALSE)," ")</f>
        <v>Unloader - Slurry Engine Fire</v>
      </c>
      <c r="J85" s="1">
        <f>_xlfn.IFNA(VLOOKUP(H85,'MCIA Cases'!$A$2:$R$1091,9,FALSE)," ")</f>
        <v>0</v>
      </c>
      <c r="K85" s="1">
        <f>_xlfn.IFNA(VLOOKUP(H85,'MCIA Cases'!$A$2:$R$1091,10,FALSE)," ")</f>
        <v>0</v>
      </c>
      <c r="L85" s="1" t="str">
        <f>_xlfn.IFNA(VLOOKUP(H85,'MCIA Cases'!$A$2:$R$1091,3,FALSE)," ")</f>
        <v>Andrew Larkin</v>
      </c>
      <c r="M85" s="1">
        <f>IF(COUNTIF('MCIA Corrective Actions'!$A:$A,H85)=0," ",COUNTIF('MCIA Corrective Actions'!$A:$A,H85))</f>
        <v>3</v>
      </c>
      <c r="N85" s="1">
        <f>IF(COUNTIF('MCIA Corrective Actions'!$A:$A,H85)=0," ",COUNTIFS('MCIA Corrective Actions'!$A:$A,H85,'MCIA Corrective Actions'!N:N,"Yes"))</f>
        <v>3</v>
      </c>
      <c r="O85" s="1" t="str">
        <f>_xlfn.IFNA(VLOOKUP(H85,'MCIA Corrective Actions'!$A$2:$R$1092,6,FALSE)," ")</f>
        <v>Andrew Larkin</v>
      </c>
      <c r="P85" s="1"/>
    </row>
    <row r="86" spans="2:16" x14ac:dyDescent="0.25">
      <c r="B86" s="127" t="str">
        <f>_xlfn.IFNA(VLOOKUP(VLOOKUP(H86,'MCIA Cases'!$A$2:$AB$1091,26,FALSE),Summary!$J$43:$K$264,2,FALSE)," ")</f>
        <v xml:space="preserve"> </v>
      </c>
      <c r="C86" s="107" t="str">
        <f>_xlfn.IFNA(VLOOKUP(H86,'MCIA Cases'!$A$2:$R$1091,15,FALSE)," ")</f>
        <v>Kurt Hill</v>
      </c>
      <c r="H86" s="112">
        <v>155</v>
      </c>
      <c r="I86" s="1" t="str">
        <f>_xlfn.IFNA(VLOOKUP(H86,'MCIA Cases'!$A$2:$R$1091,2,FALSE)," ")</f>
        <v>Unloader #2 - Electrical Failure</v>
      </c>
      <c r="J86" s="1">
        <f>_xlfn.IFNA(VLOOKUP(H86,'MCIA Cases'!$A$2:$R$1091,9,FALSE)," ")</f>
        <v>0</v>
      </c>
      <c r="K86" s="1">
        <f>_xlfn.IFNA(VLOOKUP(H86,'MCIA Cases'!$A$2:$R$1091,10,FALSE)," ")</f>
        <v>0</v>
      </c>
      <c r="L86" s="1" t="str">
        <f>_xlfn.IFNA(VLOOKUP(H86,'MCIA Cases'!$A$2:$R$1091,3,FALSE)," ")</f>
        <v>Andrew Larkin</v>
      </c>
      <c r="M86" s="1">
        <f>IF(COUNTIF('MCIA Corrective Actions'!$A:$A,H86)=0," ",COUNTIF('MCIA Corrective Actions'!$A:$A,H86))</f>
        <v>3</v>
      </c>
      <c r="N86" s="1">
        <f>IF(COUNTIF('MCIA Corrective Actions'!$A:$A,H86)=0," ",COUNTIFS('MCIA Corrective Actions'!$A:$A,H86,'MCIA Corrective Actions'!N:N,"Yes"))</f>
        <v>3</v>
      </c>
      <c r="O86" s="1" t="str">
        <f>_xlfn.IFNA(VLOOKUP(H86,'MCIA Corrective Actions'!$A$2:$R$1092,6,FALSE)," ")</f>
        <v>Andrew Larkin</v>
      </c>
      <c r="P86" s="1"/>
    </row>
    <row r="87" spans="2:16" x14ac:dyDescent="0.25">
      <c r="B87" s="127" t="str">
        <f>_xlfn.IFNA(VLOOKUP(VLOOKUP(H87,'MCIA Cases'!$A$2:$AB$1091,26,FALSE),Summary!$J$43:$K$264,2,FALSE)," ")</f>
        <v xml:space="preserve"> </v>
      </c>
      <c r="C87" s="107" t="str">
        <f>_xlfn.IFNA(VLOOKUP(H87,'MCIA Cases'!$A$2:$R$1091,15,FALSE)," ")</f>
        <v>Terry Wright</v>
      </c>
      <c r="H87" s="112">
        <v>158</v>
      </c>
      <c r="I87" s="1" t="str">
        <f>_xlfn.IFNA(VLOOKUP(H87,'MCIA Cases'!$A$2:$R$1091,2,FALSE)," ")</f>
        <v>Cutter Gear Box / Cutter Motor Noise</v>
      </c>
      <c r="J87" s="1">
        <f>_xlfn.IFNA(VLOOKUP(H87,'MCIA Cases'!$A$2:$R$1091,9,FALSE)," ")</f>
        <v>0</v>
      </c>
      <c r="K87" s="1">
        <f>_xlfn.IFNA(VLOOKUP(H87,'MCIA Cases'!$A$2:$R$1091,10,FALSE)," ")</f>
        <v>0</v>
      </c>
      <c r="L87" s="1" t="str">
        <f>_xlfn.IFNA(VLOOKUP(H87,'MCIA Cases'!$A$2:$R$1091,3,FALSE)," ")</f>
        <v>Terry Wright</v>
      </c>
      <c r="M87" s="1">
        <f>IF(COUNTIF('MCIA Corrective Actions'!$A:$A,H87)=0," ",COUNTIF('MCIA Corrective Actions'!$A:$A,H87))</f>
        <v>3</v>
      </c>
      <c r="N87" s="1">
        <f>IF(COUNTIF('MCIA Corrective Actions'!$A:$A,H87)=0," ",COUNTIFS('MCIA Corrective Actions'!$A:$A,H87,'MCIA Corrective Actions'!N:N,"Yes"))</f>
        <v>3</v>
      </c>
      <c r="O87" s="1" t="str">
        <f>_xlfn.IFNA(VLOOKUP(H87,'MCIA Corrective Actions'!$A$2:$R$1092,6,FALSE)," ")</f>
        <v>Bill Baumann</v>
      </c>
      <c r="P87" s="1"/>
    </row>
    <row r="88" spans="2:16" x14ac:dyDescent="0.25">
      <c r="B88" s="127" t="str">
        <f>_xlfn.IFNA(VLOOKUP(VLOOKUP(H88,'MCIA Cases'!$A$2:$AB$1091,26,FALSE),Summary!$J$43:$K$264,2,FALSE)," ")</f>
        <v xml:space="preserve"> </v>
      </c>
      <c r="C88" s="107" t="str">
        <f>_xlfn.IFNA(VLOOKUP(H88,'MCIA Cases'!$A$2:$R$1091,15,FALSE)," ")</f>
        <v>Mike Kraljevic</v>
      </c>
      <c r="H88" s="112">
        <v>161</v>
      </c>
      <c r="I88" s="1" t="str">
        <f>_xlfn.IFNA(VLOOKUP(H88,'MCIA Cases'!$A$2:$R$1091,2,FALSE)," ")</f>
        <v>Liberty Island port main engine</v>
      </c>
      <c r="J88" s="1">
        <f>_xlfn.IFNA(VLOOKUP(H88,'MCIA Cases'!$A$2:$R$1091,9,FALSE)," ")</f>
        <v>0</v>
      </c>
      <c r="K88" s="1">
        <f>_xlfn.IFNA(VLOOKUP(H88,'MCIA Cases'!$A$2:$R$1091,10,FALSE)," ")</f>
        <v>0</v>
      </c>
      <c r="L88" s="1" t="str">
        <f>_xlfn.IFNA(VLOOKUP(H88,'MCIA Cases'!$A$2:$R$1091,3,FALSE)," ")</f>
        <v>Armand F Riehl</v>
      </c>
      <c r="M88" s="1">
        <f>IF(COUNTIF('MCIA Corrective Actions'!$A:$A,H88)=0," ",COUNTIF('MCIA Corrective Actions'!$A:$A,H88))</f>
        <v>2</v>
      </c>
      <c r="N88" s="1">
        <f>IF(COUNTIF('MCIA Corrective Actions'!$A:$A,H88)=0," ",COUNTIFS('MCIA Corrective Actions'!$A:$A,H88,'MCIA Corrective Actions'!N:N,"Yes"))</f>
        <v>0</v>
      </c>
      <c r="O88" s="1" t="str">
        <f>_xlfn.IFNA(VLOOKUP(H88,'MCIA Corrective Actions'!$A$2:$R$1092,6,FALSE)," ")</f>
        <v>Steven W  Becker</v>
      </c>
      <c r="P88" s="1"/>
    </row>
    <row r="89" spans="2:16" x14ac:dyDescent="0.25">
      <c r="B89" s="127" t="str">
        <f>_xlfn.IFNA(VLOOKUP(VLOOKUP(H89,'MCIA Cases'!$A$2:$AB$1091,26,FALSE),Summary!$J$43:$K$264,2,FALSE)," ")</f>
        <v xml:space="preserve"> </v>
      </c>
      <c r="C89" s="107" t="str">
        <f>_xlfn.IFNA(VLOOKUP(H89,'MCIA Cases'!$A$2:$R$1091,15,FALSE)," ")</f>
        <v>Jacques Coetzee</v>
      </c>
      <c r="H89" s="112">
        <v>162</v>
      </c>
      <c r="I89" s="1" t="str">
        <f>_xlfn.IFNA(VLOOKUP(H89,'MCIA Cases'!$A$2:$R$1091,2,FALSE)," ")</f>
        <v>MCIA_006_2017_CSD Ohio_ Cutter motor # 4</v>
      </c>
      <c r="J89" s="1">
        <f>_xlfn.IFNA(VLOOKUP(H89,'MCIA Cases'!$A$2:$R$1091,9,FALSE)," ")</f>
        <v>0</v>
      </c>
      <c r="K89" s="1">
        <f>_xlfn.IFNA(VLOOKUP(H89,'MCIA Cases'!$A$2:$R$1091,10,FALSE)," ")</f>
        <v>0</v>
      </c>
      <c r="L89" s="1" t="str">
        <f>_xlfn.IFNA(VLOOKUP(H89,'MCIA Cases'!$A$2:$R$1091,3,FALSE)," ")</f>
        <v>Joseph Sadiq</v>
      </c>
      <c r="M89" s="1">
        <f>IF(COUNTIF('MCIA Corrective Actions'!$A:$A,H89)=0," ",COUNTIF('MCIA Corrective Actions'!$A:$A,H89))</f>
        <v>2</v>
      </c>
      <c r="N89" s="1">
        <f>IF(COUNTIF('MCIA Corrective Actions'!$A:$A,H89)=0," ",COUNTIFS('MCIA Corrective Actions'!$A:$A,H89,'MCIA Corrective Actions'!N:N,"Yes"))</f>
        <v>2</v>
      </c>
      <c r="O89" s="1" t="str">
        <f>_xlfn.IFNA(VLOOKUP(H89,'MCIA Corrective Actions'!$A$2:$R$1092,6,FALSE)," ")</f>
        <v>Brian Bickford</v>
      </c>
      <c r="P89" s="1"/>
    </row>
    <row r="90" spans="2:16" x14ac:dyDescent="0.25">
      <c r="B90" s="127" t="str">
        <f>_xlfn.IFNA(VLOOKUP(VLOOKUP(H90,'MCIA Cases'!$A$2:$AB$1091,26,FALSE),Summary!$J$43:$K$264,2,FALSE)," ")</f>
        <v xml:space="preserve"> </v>
      </c>
      <c r="C90" s="107" t="str">
        <f>_xlfn.IFNA(VLOOKUP(H90,'MCIA Cases'!$A$2:$R$1091,15,FALSE)," ")</f>
        <v>Sheldon Brooks</v>
      </c>
      <c r="H90" s="112">
        <v>167</v>
      </c>
      <c r="I90" s="1" t="str">
        <f>_xlfn.IFNA(VLOOKUP(H90,'MCIA Cases'!$A$2:$R$1091,2,FALSE)," ")</f>
        <v>MCIA_007_2017_CSD Ohio_ Broken U.W.Pump Impeller</v>
      </c>
      <c r="J90" s="1">
        <f>_xlfn.IFNA(VLOOKUP(H90,'MCIA Cases'!$A$2:$R$1091,9,FALSE)," ")</f>
        <v>0</v>
      </c>
      <c r="K90" s="1">
        <f>_xlfn.IFNA(VLOOKUP(H90,'MCIA Cases'!$A$2:$R$1091,10,FALSE)," ")</f>
        <v>0</v>
      </c>
      <c r="L90" s="1" t="str">
        <f>_xlfn.IFNA(VLOOKUP(H90,'MCIA Cases'!$A$2:$R$1091,3,FALSE)," ")</f>
        <v>James P Arias</v>
      </c>
      <c r="M90" s="1">
        <f>IF(COUNTIF('MCIA Corrective Actions'!$A:$A,H90)=0," ",COUNTIF('MCIA Corrective Actions'!$A:$A,H90))</f>
        <v>2</v>
      </c>
      <c r="N90" s="1">
        <f>IF(COUNTIF('MCIA Corrective Actions'!$A:$A,H90)=0," ",COUNTIFS('MCIA Corrective Actions'!$A:$A,H90,'MCIA Corrective Actions'!N:N,"Yes"))</f>
        <v>2</v>
      </c>
      <c r="O90" s="1" t="str">
        <f>_xlfn.IFNA(VLOOKUP(H90,'MCIA Corrective Actions'!$A$2:$R$1092,6,FALSE)," ")</f>
        <v>Manny Vianzon</v>
      </c>
      <c r="P90" s="1"/>
    </row>
    <row r="91" spans="2:16" x14ac:dyDescent="0.25">
      <c r="B91" s="127" t="str">
        <f>_xlfn.IFNA(VLOOKUP(VLOOKUP(H91,'MCIA Cases'!$A$2:$AB$1091,26,FALSE),Summary!$J$43:$K$264,2,FALSE)," ")</f>
        <v xml:space="preserve"> </v>
      </c>
      <c r="C91" s="107" t="str">
        <f>_xlfn.IFNA(VLOOKUP(H91,'MCIA Cases'!$A$2:$R$1091,15,FALSE)," ")</f>
        <v>Washington Bryan</v>
      </c>
      <c r="H91" s="112">
        <v>171</v>
      </c>
      <c r="I91" s="1" t="str">
        <f>_xlfn.IFNA(VLOOKUP(H91,'MCIA Cases'!$A$2:$R$1091,2,FALSE)," ")</f>
        <v>CRAB 3 Wheel Damage</v>
      </c>
      <c r="J91" s="1">
        <f>_xlfn.IFNA(VLOOKUP(H91,'MCIA Cases'!$A$2:$R$1091,9,FALSE)," ")</f>
        <v>0</v>
      </c>
      <c r="K91" s="1">
        <f>_xlfn.IFNA(VLOOKUP(H91,'MCIA Cases'!$A$2:$R$1091,10,FALSE)," ")</f>
        <v>0</v>
      </c>
      <c r="L91" s="1" t="str">
        <f>_xlfn.IFNA(VLOOKUP(H91,'MCIA Cases'!$A$2:$R$1091,3,FALSE)," ")</f>
        <v>Washington Bryan</v>
      </c>
      <c r="M91" s="1">
        <f>IF(COUNTIF('MCIA Corrective Actions'!$A:$A,H91)=0," ",COUNTIF('MCIA Corrective Actions'!$A:$A,H91))</f>
        <v>2</v>
      </c>
      <c r="N91" s="1">
        <f>IF(COUNTIF('MCIA Corrective Actions'!$A:$A,H91)=0," ",COUNTIFS('MCIA Corrective Actions'!$A:$A,H91,'MCIA Corrective Actions'!N:N,"Yes"))</f>
        <v>2</v>
      </c>
      <c r="O91" s="1" t="str">
        <f>_xlfn.IFNA(VLOOKUP(H91,'MCIA Corrective Actions'!$A$2:$R$1092,6,FALSE)," ")</f>
        <v>Washington Bryan</v>
      </c>
      <c r="P91" s="1"/>
    </row>
    <row r="92" spans="2:16" x14ac:dyDescent="0.25">
      <c r="B92" s="127" t="str">
        <f>_xlfn.IFNA(VLOOKUP(VLOOKUP(H92,'MCIA Cases'!$A$2:$AB$1091,26,FALSE),Summary!$J$43:$K$264,2,FALSE)," ")</f>
        <v xml:space="preserve"> </v>
      </c>
      <c r="C92" s="107" t="str">
        <f>_xlfn.IFNA(VLOOKUP(H92,'MCIA Cases'!$A$2:$R$1091,15,FALSE)," ")</f>
        <v>Bill Baumann</v>
      </c>
      <c r="H92" s="112">
        <v>173</v>
      </c>
      <c r="I92" s="1" t="str">
        <f>_xlfn.IFNA(VLOOKUP(H92,'MCIA Cases'!$A$2:$R$1091,2,FALSE)," ")</f>
        <v>DR 55 Oil Cooler</v>
      </c>
      <c r="J92" s="1">
        <f>_xlfn.IFNA(VLOOKUP(H92,'MCIA Cases'!$A$2:$R$1091,9,FALSE)," ")</f>
        <v>0</v>
      </c>
      <c r="K92" s="1">
        <f>_xlfn.IFNA(VLOOKUP(H92,'MCIA Cases'!$A$2:$R$1091,10,FALSE)," ")</f>
        <v>0</v>
      </c>
      <c r="L92" s="1" t="str">
        <f>_xlfn.IFNA(VLOOKUP(H92,'MCIA Cases'!$A$2:$R$1091,3,FALSE)," ")</f>
        <v>Andrew Larkin</v>
      </c>
      <c r="M92" s="1">
        <f>IF(COUNTIF('MCIA Corrective Actions'!$A:$A,H92)=0," ",COUNTIF('MCIA Corrective Actions'!$A:$A,H92))</f>
        <v>4</v>
      </c>
      <c r="N92" s="1">
        <f>IF(COUNTIF('MCIA Corrective Actions'!$A:$A,H92)=0," ",COUNTIFS('MCIA Corrective Actions'!$A:$A,H92,'MCIA Corrective Actions'!N:N,"Yes"))</f>
        <v>4</v>
      </c>
      <c r="O92" s="1" t="str">
        <f>_xlfn.IFNA(VLOOKUP(H92,'MCIA Corrective Actions'!$A$2:$R$1092,6,FALSE)," ")</f>
        <v>Bill Baumann</v>
      </c>
      <c r="P92" s="1"/>
    </row>
    <row r="93" spans="2:16" x14ac:dyDescent="0.25">
      <c r="B93" s="127" t="str">
        <f>_xlfn.IFNA(VLOOKUP(VLOOKUP(H93,'MCIA Cases'!$A$2:$AB$1091,26,FALSE),Summary!$J$43:$K$264,2,FALSE)," ")</f>
        <v xml:space="preserve"> </v>
      </c>
      <c r="C93" s="107" t="str">
        <f>_xlfn.IFNA(VLOOKUP(H93,'MCIA Cases'!$A$2:$R$1091,15,FALSE)," ")</f>
        <v>Chris Faught</v>
      </c>
      <c r="H93" s="112">
        <v>178</v>
      </c>
      <c r="I93" s="1" t="str">
        <f>_xlfn.IFNA(VLOOKUP(H93,'MCIA Cases'!$A$2:$R$1091,2,FALSE)," ")</f>
        <v>Memphis rental tow delay.</v>
      </c>
      <c r="J93" s="1">
        <f>_xlfn.IFNA(VLOOKUP(H93,'MCIA Cases'!$A$2:$R$1091,9,FALSE)," ")</f>
        <v>0</v>
      </c>
      <c r="K93" s="1">
        <f>_xlfn.IFNA(VLOOKUP(H93,'MCIA Cases'!$A$2:$R$1091,10,FALSE)," ")</f>
        <v>0</v>
      </c>
      <c r="L93" s="1" t="str">
        <f>_xlfn.IFNA(VLOOKUP(H93,'MCIA Cases'!$A$2:$R$1091,3,FALSE)," ")</f>
        <v>Robert Kelly</v>
      </c>
      <c r="M93" s="1">
        <f>IF(COUNTIF('MCIA Corrective Actions'!$A:$A,H93)=0," ",COUNTIF('MCIA Corrective Actions'!$A:$A,H93))</f>
        <v>1</v>
      </c>
      <c r="N93" s="1">
        <f>IF(COUNTIF('MCIA Corrective Actions'!$A:$A,H93)=0," ",COUNTIFS('MCIA Corrective Actions'!$A:$A,H93,'MCIA Corrective Actions'!N:N,"Yes"))</f>
        <v>1</v>
      </c>
      <c r="O93" s="1" t="str">
        <f>_xlfn.IFNA(VLOOKUP(H93,'MCIA Corrective Actions'!$A$2:$R$1092,6,FALSE)," ")</f>
        <v>Christopher Charron</v>
      </c>
      <c r="P93" s="1"/>
    </row>
    <row r="94" spans="2:16" x14ac:dyDescent="0.25">
      <c r="B94" s="127" t="str">
        <f>_xlfn.IFNA(VLOOKUP(VLOOKUP(H94,'MCIA Cases'!$A$2:$AB$1091,26,FALSE),Summary!$J$43:$K$264,2,FALSE)," ")</f>
        <v xml:space="preserve"> </v>
      </c>
      <c r="C94" s="107" t="str">
        <f>_xlfn.IFNA(VLOOKUP(H94,'MCIA Cases'!$A$2:$R$1091,15,FALSE)," ")</f>
        <v>Troy Booth</v>
      </c>
      <c r="H94" s="112">
        <v>180</v>
      </c>
      <c r="I94" s="1" t="str">
        <f>_xlfn.IFNA(VLOOKUP(H94,'MCIA Cases'!$A$2:$R$1091,2,FALSE)," ")</f>
        <v>GL65 - Gasket Failure</v>
      </c>
      <c r="J94" s="1">
        <f>_xlfn.IFNA(VLOOKUP(H94,'MCIA Cases'!$A$2:$R$1091,9,FALSE)," ")</f>
        <v>0</v>
      </c>
      <c r="K94" s="1">
        <f>_xlfn.IFNA(VLOOKUP(H94,'MCIA Cases'!$A$2:$R$1091,10,FALSE)," ")</f>
        <v>0</v>
      </c>
      <c r="L94" s="1" t="str">
        <f>_xlfn.IFNA(VLOOKUP(H94,'MCIA Cases'!$A$2:$R$1091,3,FALSE)," ")</f>
        <v>Andrew Larkin</v>
      </c>
      <c r="M94" s="1">
        <f>IF(COUNTIF('MCIA Corrective Actions'!$A:$A,H94)=0," ",COUNTIF('MCIA Corrective Actions'!$A:$A,H94))</f>
        <v>1</v>
      </c>
      <c r="N94" s="1">
        <f>IF(COUNTIF('MCIA Corrective Actions'!$A:$A,H94)=0," ",COUNTIFS('MCIA Corrective Actions'!$A:$A,H94,'MCIA Corrective Actions'!N:N,"Yes"))</f>
        <v>1</v>
      </c>
      <c r="O94" s="1" t="str">
        <f>_xlfn.IFNA(VLOOKUP(H94,'MCIA Corrective Actions'!$A$2:$R$1092,6,FALSE)," ")</f>
        <v>Bill Baumann</v>
      </c>
      <c r="P94" s="1"/>
    </row>
    <row r="95" spans="2:16" x14ac:dyDescent="0.25">
      <c r="B95" s="127" t="str">
        <f>_xlfn.IFNA(VLOOKUP(VLOOKUP(H95,'MCIA Cases'!$A$2:$AB$1091,26,FALSE),Summary!$J$43:$K$264,2,FALSE)," ")</f>
        <v xml:space="preserve"> </v>
      </c>
      <c r="C95" s="107" t="str">
        <f>_xlfn.IFNA(VLOOKUP(H95,'MCIA Cases'!$A$2:$R$1091,15,FALSE)," ")</f>
        <v xml:space="preserve">Matt Ferrell </v>
      </c>
      <c r="H95" s="112">
        <v>182</v>
      </c>
      <c r="I95" s="1" t="str">
        <f>_xlfn.IFNA(VLOOKUP(H95,'MCIA Cases'!$A$2:$R$1091,2,FALSE)," ")</f>
        <v>Liberty Island submerged pipeline sand plug</v>
      </c>
      <c r="J95" s="1">
        <f>_xlfn.IFNA(VLOOKUP(H95,'MCIA Cases'!$A$2:$R$1091,9,FALSE)," ")</f>
        <v>0</v>
      </c>
      <c r="K95" s="1">
        <f>_xlfn.IFNA(VLOOKUP(H95,'MCIA Cases'!$A$2:$R$1091,10,FALSE)," ")</f>
        <v>0</v>
      </c>
      <c r="L95" s="1" t="str">
        <f>_xlfn.IFNA(VLOOKUP(H95,'MCIA Cases'!$A$2:$R$1091,3,FALSE)," ")</f>
        <v>Armand F Riehl</v>
      </c>
      <c r="M95" s="1">
        <f>IF(COUNTIF('MCIA Corrective Actions'!$A:$A,H95)=0," ",COUNTIF('MCIA Corrective Actions'!$A:$A,H95))</f>
        <v>4</v>
      </c>
      <c r="N95" s="1">
        <f>IF(COUNTIF('MCIA Corrective Actions'!$A:$A,H95)=0," ",COUNTIFS('MCIA Corrective Actions'!$A:$A,H95,'MCIA Corrective Actions'!N:N,"Yes"))</f>
        <v>4</v>
      </c>
      <c r="O95" s="1" t="str">
        <f>_xlfn.IFNA(VLOOKUP(H95,'MCIA Corrective Actions'!$A$2:$R$1092,6,FALSE)," ")</f>
        <v xml:space="preserve">Matt Ferrell </v>
      </c>
      <c r="P95" s="1"/>
    </row>
    <row r="96" spans="2:16" x14ac:dyDescent="0.25">
      <c r="B96" s="127" t="str">
        <f>_xlfn.IFNA(VLOOKUP(VLOOKUP(H96,'MCIA Cases'!$A$2:$AB$1091,26,FALSE),Summary!$J$43:$K$264,2,FALSE)," ")</f>
        <v xml:space="preserve"> </v>
      </c>
      <c r="C96" s="107" t="str">
        <f>_xlfn.IFNA(VLOOKUP(H96,'MCIA Cases'!$A$2:$R$1091,15,FALSE)," ")</f>
        <v>Andrew Larkin</v>
      </c>
      <c r="H96" s="112">
        <v>183</v>
      </c>
      <c r="I96" s="1" t="str">
        <f>_xlfn.IFNA(VLOOKUP(H96,'MCIA Cases'!$A$2:$R$1091,2,FALSE)," ")</f>
        <v>GL 65 - Pennant Line Failure</v>
      </c>
      <c r="J96" s="1">
        <f>_xlfn.IFNA(VLOOKUP(H96,'MCIA Cases'!$A$2:$R$1091,9,FALSE)," ")</f>
        <v>0</v>
      </c>
      <c r="K96" s="1">
        <f>_xlfn.IFNA(VLOOKUP(H96,'MCIA Cases'!$A$2:$R$1091,10,FALSE)," ")</f>
        <v>0</v>
      </c>
      <c r="L96" s="1" t="str">
        <f>_xlfn.IFNA(VLOOKUP(H96,'MCIA Cases'!$A$2:$R$1091,3,FALSE)," ")</f>
        <v>Andrew Larkin</v>
      </c>
      <c r="M96" s="1">
        <f>IF(COUNTIF('MCIA Corrective Actions'!$A:$A,H96)=0," ",COUNTIF('MCIA Corrective Actions'!$A:$A,H96))</f>
        <v>1</v>
      </c>
      <c r="N96" s="1">
        <f>IF(COUNTIF('MCIA Corrective Actions'!$A:$A,H96)=0," ",COUNTIFS('MCIA Corrective Actions'!$A:$A,H96,'MCIA Corrective Actions'!N:N,"Yes"))</f>
        <v>1</v>
      </c>
      <c r="O96" s="1" t="str">
        <f>_xlfn.IFNA(VLOOKUP(H96,'MCIA Corrective Actions'!$A$2:$R$1092,6,FALSE)," ")</f>
        <v>Andrew Larkin</v>
      </c>
      <c r="P96" s="1"/>
    </row>
    <row r="97" spans="2:16" x14ac:dyDescent="0.25">
      <c r="B97" s="127" t="str">
        <f>_xlfn.IFNA(VLOOKUP(VLOOKUP(H97,'MCIA Cases'!$A$2:$AB$1091,26,FALSE),Summary!$J$43:$K$264,2,FALSE)," ")</f>
        <v xml:space="preserve"> </v>
      </c>
      <c r="C97" s="107" t="str">
        <f>_xlfn.IFNA(VLOOKUP(H97,'MCIA Cases'!$A$2:$R$1091,15,FALSE)," ")</f>
        <v>Ed ODowd</v>
      </c>
      <c r="H97" s="112">
        <v>189</v>
      </c>
      <c r="I97" s="1" t="str">
        <f>_xlfn.IFNA(VLOOKUP(H97,'MCIA Cases'!$A$2:$R$1091,2,FALSE)," ")</f>
        <v xml:space="preserve">Myrtle Beach 'Sink' Hose Failure </v>
      </c>
      <c r="J97" s="1">
        <f>_xlfn.IFNA(VLOOKUP(H97,'MCIA Cases'!$A$2:$R$1091,9,FALSE)," ")</f>
        <v>0</v>
      </c>
      <c r="K97" s="1">
        <f>_xlfn.IFNA(VLOOKUP(H97,'MCIA Cases'!$A$2:$R$1091,10,FALSE)," ")</f>
        <v>0</v>
      </c>
      <c r="L97" s="1" t="str">
        <f>_xlfn.IFNA(VLOOKUP(H97,'MCIA Cases'!$A$2:$R$1091,3,FALSE)," ")</f>
        <v>Chris Pomfret</v>
      </c>
      <c r="M97" s="1">
        <f>IF(COUNTIF('MCIA Corrective Actions'!$A:$A,H97)=0," ",COUNTIF('MCIA Corrective Actions'!$A:$A,H97))</f>
        <v>3</v>
      </c>
      <c r="N97" s="1">
        <f>IF(COUNTIF('MCIA Corrective Actions'!$A:$A,H97)=0," ",COUNTIFS('MCIA Corrective Actions'!$A:$A,H97,'MCIA Corrective Actions'!N:N,"Yes"))</f>
        <v>3</v>
      </c>
      <c r="O97" s="1" t="str">
        <f>_xlfn.IFNA(VLOOKUP(H97,'MCIA Corrective Actions'!$A$2:$R$1092,6,FALSE)," ")</f>
        <v>James M Walker</v>
      </c>
      <c r="P97" s="1"/>
    </row>
    <row r="98" spans="2:16" x14ac:dyDescent="0.25">
      <c r="B98" s="127" t="str">
        <f>_xlfn.IFNA(VLOOKUP(VLOOKUP(H98,'MCIA Cases'!$A$2:$AB$1091,26,FALSE),Summary!$J$43:$K$264,2,FALSE)," ")</f>
        <v xml:space="preserve"> </v>
      </c>
      <c r="C98" s="107" t="str">
        <f>_xlfn.IFNA(VLOOKUP(H98,'MCIA Cases'!$A$2:$R$1091,15,FALSE)," ")</f>
        <v>Tim Riehl</v>
      </c>
      <c r="H98" s="112">
        <v>190</v>
      </c>
      <c r="I98" s="1" t="str">
        <f>_xlfn.IFNA(VLOOKUP(H98,'MCIA Cases'!$A$2:$R$1091,2,FALSE)," ")</f>
        <v>Alaska Swing Drive Issue</v>
      </c>
      <c r="J98" s="1">
        <f>_xlfn.IFNA(VLOOKUP(H98,'MCIA Cases'!$A$2:$R$1091,9,FALSE)," ")</f>
        <v>0</v>
      </c>
      <c r="K98" s="1">
        <f>_xlfn.IFNA(VLOOKUP(H98,'MCIA Cases'!$A$2:$R$1091,10,FALSE)," ")</f>
        <v>0</v>
      </c>
      <c r="L98" s="1" t="str">
        <f>_xlfn.IFNA(VLOOKUP(H98,'MCIA Cases'!$A$2:$R$1091,3,FALSE)," ")</f>
        <v>Tim Riehl</v>
      </c>
      <c r="M98" s="1">
        <f>IF(COUNTIF('MCIA Corrective Actions'!$A:$A,H98)=0," ",COUNTIF('MCIA Corrective Actions'!$A:$A,H98))</f>
        <v>6</v>
      </c>
      <c r="N98" s="1">
        <f>IF(COUNTIF('MCIA Corrective Actions'!$A:$A,H98)=0," ",COUNTIFS('MCIA Corrective Actions'!$A:$A,H98,'MCIA Corrective Actions'!N:N,"Yes"))</f>
        <v>6</v>
      </c>
      <c r="O98" s="1" t="str">
        <f>_xlfn.IFNA(VLOOKUP(H98,'MCIA Corrective Actions'!$A$2:$R$1092,6,FALSE)," ")</f>
        <v>Tim Riehl</v>
      </c>
      <c r="P98" s="1"/>
    </row>
    <row r="99" spans="2:16" x14ac:dyDescent="0.25">
      <c r="B99" s="127" t="str">
        <f>_xlfn.IFNA(VLOOKUP(VLOOKUP(H99,'MCIA Cases'!$A$2:$AB$1091,26,FALSE),Summary!$J$43:$K$264,2,FALSE)," ")</f>
        <v xml:space="preserve"> </v>
      </c>
      <c r="C99" s="107" t="str">
        <f>_xlfn.IFNA(VLOOKUP(H99,'MCIA Cases'!$A$2:$R$1091,15,FALSE)," ")</f>
        <v>Tim J Kremer</v>
      </c>
      <c r="H99" s="112">
        <v>191</v>
      </c>
      <c r="I99" s="1" t="str">
        <f>_xlfn.IFNA(VLOOKUP(H99,'MCIA Cases'!$A$2:$R$1091,2,FALSE)," ")</f>
        <v>IL Swing Drive</v>
      </c>
      <c r="J99" s="1">
        <f>_xlfn.IFNA(VLOOKUP(H99,'MCIA Cases'!$A$2:$R$1091,9,FALSE)," ")</f>
        <v>0</v>
      </c>
      <c r="K99" s="1">
        <f>_xlfn.IFNA(VLOOKUP(H99,'MCIA Cases'!$A$2:$R$1091,10,FALSE)," ")</f>
        <v>0</v>
      </c>
      <c r="L99" s="1" t="str">
        <f>_xlfn.IFNA(VLOOKUP(H99,'MCIA Cases'!$A$2:$R$1091,3,FALSE)," ")</f>
        <v>Tim J Kremer</v>
      </c>
      <c r="M99" s="1">
        <f>IF(COUNTIF('MCIA Corrective Actions'!$A:$A,H99)=0," ",COUNTIF('MCIA Corrective Actions'!$A:$A,H99))</f>
        <v>2</v>
      </c>
      <c r="N99" s="1">
        <f>IF(COUNTIF('MCIA Corrective Actions'!$A:$A,H99)=0," ",COUNTIFS('MCIA Corrective Actions'!$A:$A,H99,'MCIA Corrective Actions'!N:N,"Yes"))</f>
        <v>2</v>
      </c>
      <c r="O99" s="1" t="str">
        <f>_xlfn.IFNA(VLOOKUP(H99,'MCIA Corrective Actions'!$A$2:$R$1092,6,FALSE)," ")</f>
        <v>Bill Baumann</v>
      </c>
      <c r="P99" s="1"/>
    </row>
    <row r="100" spans="2:16" x14ac:dyDescent="0.25">
      <c r="B100" s="127" t="str">
        <f>_xlfn.IFNA(VLOOKUP(VLOOKUP(H100,'MCIA Cases'!$A$2:$AB$1091,26,FALSE),Summary!$J$43:$K$264,2,FALSE)," ")</f>
        <v xml:space="preserve"> </v>
      </c>
      <c r="C100" s="107" t="str">
        <f>_xlfn.IFNA(VLOOKUP(H100,'MCIA Cases'!$A$2:$R$1091,15,FALSE)," ")</f>
        <v>Johan VanBladel</v>
      </c>
      <c r="H100" s="112">
        <v>194</v>
      </c>
      <c r="I100" s="1" t="str">
        <f>_xlfn.IFNA(VLOOKUP(H100,'MCIA Cases'!$A$2:$R$1091,2,FALSE)," ")</f>
        <v>DR 55 Load Drop</v>
      </c>
      <c r="J100" s="1">
        <f>_xlfn.IFNA(VLOOKUP(H100,'MCIA Cases'!$A$2:$R$1091,9,FALSE)," ")</f>
        <v>0</v>
      </c>
      <c r="K100" s="1">
        <f>_xlfn.IFNA(VLOOKUP(H100,'MCIA Cases'!$A$2:$R$1091,10,FALSE)," ")</f>
        <v>0</v>
      </c>
      <c r="L100" s="1" t="str">
        <f>_xlfn.IFNA(VLOOKUP(H100,'MCIA Cases'!$A$2:$R$1091,3,FALSE)," ")</f>
        <v>Johan VanBladel</v>
      </c>
      <c r="M100" s="1">
        <f>IF(COUNTIF('MCIA Corrective Actions'!$A:$A,H100)=0," ",COUNTIF('MCIA Corrective Actions'!$A:$A,H100))</f>
        <v>6</v>
      </c>
      <c r="N100" s="1">
        <f>IF(COUNTIF('MCIA Corrective Actions'!$A:$A,H100)=0," ",COUNTIFS('MCIA Corrective Actions'!$A:$A,H100,'MCIA Corrective Actions'!N:N,"Yes"))</f>
        <v>6</v>
      </c>
      <c r="O100" s="1" t="str">
        <f>_xlfn.IFNA(VLOOKUP(H100,'MCIA Corrective Actions'!$A$2:$R$1092,6,FALSE)," ")</f>
        <v>Christopher Gunsten</v>
      </c>
      <c r="P100" s="1"/>
    </row>
    <row r="101" spans="2:16" x14ac:dyDescent="0.25">
      <c r="B101" s="127" t="str">
        <f>_xlfn.IFNA(VLOOKUP(VLOOKUP(H101,'MCIA Cases'!$A$2:$AB$1091,26,FALSE),Summary!$J$43:$K$264,2,FALSE)," ")</f>
        <v xml:space="preserve"> </v>
      </c>
      <c r="C101" s="107" t="str">
        <f>_xlfn.IFNA(VLOOKUP(H101,'MCIA Cases'!$A$2:$R$1091,15,FALSE)," ")</f>
        <v>Andrew Larkin</v>
      </c>
      <c r="H101" s="112">
        <v>197</v>
      </c>
      <c r="I101" s="1" t="str">
        <f>_xlfn.IFNA(VLOOKUP(H101,'MCIA Cases'!$A$2:$R$1091,2,FALSE)," ")</f>
        <v>DR 55 #2 Hoist Motor Failure</v>
      </c>
      <c r="J101" s="1">
        <f>_xlfn.IFNA(VLOOKUP(H101,'MCIA Cases'!$A$2:$R$1091,9,FALSE)," ")</f>
        <v>0</v>
      </c>
      <c r="K101" s="1">
        <f>_xlfn.IFNA(VLOOKUP(H101,'MCIA Cases'!$A$2:$R$1091,10,FALSE)," ")</f>
        <v>0</v>
      </c>
      <c r="L101" s="1" t="str">
        <f>_xlfn.IFNA(VLOOKUP(H101,'MCIA Cases'!$A$2:$R$1091,3,FALSE)," ")</f>
        <v>Andrew Larkin</v>
      </c>
      <c r="M101" s="1">
        <f>IF(COUNTIF('MCIA Corrective Actions'!$A:$A,H101)=0," ",COUNTIF('MCIA Corrective Actions'!$A:$A,H101))</f>
        <v>2</v>
      </c>
      <c r="N101" s="1">
        <f>IF(COUNTIF('MCIA Corrective Actions'!$A:$A,H101)=0," ",COUNTIFS('MCIA Corrective Actions'!$A:$A,H101,'MCIA Corrective Actions'!N:N,"Yes"))</f>
        <v>2</v>
      </c>
      <c r="O101" s="1" t="str">
        <f>_xlfn.IFNA(VLOOKUP(H101,'MCIA Corrective Actions'!$A$2:$R$1092,6,FALSE)," ")</f>
        <v>Christopher Gunsten</v>
      </c>
      <c r="P101" s="1"/>
    </row>
    <row r="102" spans="2:16" x14ac:dyDescent="0.25">
      <c r="B102" s="127" t="str">
        <f>_xlfn.IFNA(VLOOKUP(VLOOKUP(H102,'MCIA Cases'!$A$2:$AB$1091,26,FALSE),Summary!$J$43:$K$264,2,FALSE)," ")</f>
        <v xml:space="preserve"> </v>
      </c>
      <c r="C102" s="107" t="str">
        <f>_xlfn.IFNA(VLOOKUP(H102,'MCIA Cases'!$A$2:$R$1091,15,FALSE)," ")</f>
        <v>William Bradshaw</v>
      </c>
      <c r="H102" s="112">
        <v>200</v>
      </c>
      <c r="I102" s="1" t="str">
        <f>_xlfn.IFNA(VLOOKUP(H102,'MCIA Cases'!$A$2:$R$1091,2,FALSE)," ")</f>
        <v xml:space="preserve"> Booster Reggie Dropped</v>
      </c>
      <c r="J102" s="1">
        <f>_xlfn.IFNA(VLOOKUP(H102,'MCIA Cases'!$A$2:$R$1091,9,FALSE)," ")</f>
        <v>0</v>
      </c>
      <c r="K102" s="1">
        <f>_xlfn.IFNA(VLOOKUP(H102,'MCIA Cases'!$A$2:$R$1091,10,FALSE)," ")</f>
        <v>0</v>
      </c>
      <c r="L102" s="1" t="str">
        <f>_xlfn.IFNA(VLOOKUP(H102,'MCIA Cases'!$A$2:$R$1091,3,FALSE)," ")</f>
        <v>William Bradshaw</v>
      </c>
      <c r="M102" s="1">
        <f>IF(COUNTIF('MCIA Corrective Actions'!$A:$A,H102)=0," ",COUNTIF('MCIA Corrective Actions'!$A:$A,H102))</f>
        <v>4</v>
      </c>
      <c r="N102" s="1">
        <f>IF(COUNTIF('MCIA Corrective Actions'!$A:$A,H102)=0," ",COUNTIFS('MCIA Corrective Actions'!$A:$A,H102,'MCIA Corrective Actions'!N:N,"Yes"))</f>
        <v>4</v>
      </c>
      <c r="O102" s="1" t="str">
        <f>_xlfn.IFNA(VLOOKUP(H102,'MCIA Corrective Actions'!$A$2:$R$1092,6,FALSE)," ")</f>
        <v>Bill Baumann</v>
      </c>
      <c r="P102" s="1"/>
    </row>
    <row r="103" spans="2:16" x14ac:dyDescent="0.25">
      <c r="B103" s="127" t="str">
        <f>_xlfn.IFNA(VLOOKUP(VLOOKUP(H103,'MCIA Cases'!$A$2:$AB$1091,26,FALSE),Summary!$J$43:$K$264,2,FALSE)," ")</f>
        <v xml:space="preserve"> </v>
      </c>
      <c r="C103" s="107" t="str">
        <f>_xlfn.IFNA(VLOOKUP(H103,'MCIA Cases'!$A$2:$R$1091,15,FALSE)," ")</f>
        <v>Armand F Riehl</v>
      </c>
      <c r="H103" s="112">
        <v>206</v>
      </c>
      <c r="I103" s="1" t="str">
        <f>_xlfn.IFNA(VLOOKUP(H103,'MCIA Cases'!$A$2:$R$1091,2,FALSE)," ")</f>
        <v>MCIA - Dare county cube set up leak</v>
      </c>
      <c r="J103" s="1">
        <f>_xlfn.IFNA(VLOOKUP(H103,'MCIA Cases'!$A$2:$R$1091,9,FALSE)," ")</f>
        <v>0</v>
      </c>
      <c r="K103" s="1">
        <f>_xlfn.IFNA(VLOOKUP(H103,'MCIA Cases'!$A$2:$R$1091,10,FALSE)," ")</f>
        <v>0</v>
      </c>
      <c r="L103" s="1" t="str">
        <f>_xlfn.IFNA(VLOOKUP(H103,'MCIA Cases'!$A$2:$R$1091,3,FALSE)," ")</f>
        <v>Armand F Riehl</v>
      </c>
      <c r="M103" s="1">
        <f>IF(COUNTIF('MCIA Corrective Actions'!$A:$A,H103)=0," ",COUNTIF('MCIA Corrective Actions'!$A:$A,H103))</f>
        <v>1</v>
      </c>
      <c r="N103" s="1">
        <f>IF(COUNTIF('MCIA Corrective Actions'!$A:$A,H103)=0," ",COUNTIFS('MCIA Corrective Actions'!$A:$A,H103,'MCIA Corrective Actions'!N:N,"Yes"))</f>
        <v>1</v>
      </c>
      <c r="O103" s="1" t="str">
        <f>_xlfn.IFNA(VLOOKUP(H103,'MCIA Corrective Actions'!$A$2:$R$1092,6,FALSE)," ")</f>
        <v>Jack Winn</v>
      </c>
      <c r="P103" s="1"/>
    </row>
    <row r="104" spans="2:16" x14ac:dyDescent="0.25">
      <c r="B104" s="127" t="str">
        <f>_xlfn.IFNA(VLOOKUP(VLOOKUP(H104,'MCIA Cases'!$A$2:$AB$1091,26,FALSE),Summary!$J$43:$K$264,2,FALSE)," ")</f>
        <v xml:space="preserve"> </v>
      </c>
      <c r="C104" s="107" t="str">
        <f>_xlfn.IFNA(VLOOKUP(H104,'MCIA Cases'!$A$2:$R$1091,15,FALSE)," ")</f>
        <v>Kevin Holt</v>
      </c>
      <c r="H104" s="112">
        <v>207</v>
      </c>
      <c r="I104" s="1" t="str">
        <f>_xlfn.IFNA(VLOOKUP(H104,'MCIA Cases'!$A$2:$R$1091,2,FALSE)," ")</f>
        <v>Crane Damage Cracked Boom</v>
      </c>
      <c r="J104" s="1">
        <f>_xlfn.IFNA(VLOOKUP(H104,'MCIA Cases'!$A$2:$R$1091,9,FALSE)," ")</f>
        <v>0</v>
      </c>
      <c r="K104" s="1">
        <f>_xlfn.IFNA(VLOOKUP(H104,'MCIA Cases'!$A$2:$R$1091,10,FALSE)," ")</f>
        <v>0</v>
      </c>
      <c r="L104" s="1" t="str">
        <f>_xlfn.IFNA(VLOOKUP(H104,'MCIA Cases'!$A$2:$R$1091,3,FALSE)," ")</f>
        <v>Robert Kelly</v>
      </c>
      <c r="M104" s="1">
        <f>IF(COUNTIF('MCIA Corrective Actions'!$A:$A,H104)=0," ",COUNTIF('MCIA Corrective Actions'!$A:$A,H104))</f>
        <v>2</v>
      </c>
      <c r="N104" s="1">
        <f>IF(COUNTIF('MCIA Corrective Actions'!$A:$A,H104)=0," ",COUNTIFS('MCIA Corrective Actions'!$A:$A,H104,'MCIA Corrective Actions'!N:N,"Yes"))</f>
        <v>2</v>
      </c>
      <c r="O104" s="1" t="str">
        <f>_xlfn.IFNA(VLOOKUP(H104,'MCIA Corrective Actions'!$A$2:$R$1092,6,FALSE)," ")</f>
        <v>Christopher Charron</v>
      </c>
      <c r="P104" s="1"/>
    </row>
    <row r="105" spans="2:16" x14ac:dyDescent="0.25">
      <c r="B105" s="127" t="str">
        <f>_xlfn.IFNA(VLOOKUP(VLOOKUP(H105,'MCIA Cases'!$A$2:$AB$1091,26,FALSE),Summary!$J$43:$K$264,2,FALSE)," ")</f>
        <v xml:space="preserve"> </v>
      </c>
      <c r="C105" s="107" t="str">
        <f>_xlfn.IFNA(VLOOKUP(H105,'MCIA Cases'!$A$2:$R$1091,15,FALSE)," ")</f>
        <v>Andrew Larkin</v>
      </c>
      <c r="H105" s="112">
        <v>209</v>
      </c>
      <c r="I105" s="1" t="str">
        <f>_xlfn.IFNA(VLOOKUP(H105,'MCIA Cases'!$A$2:$R$1091,2,FALSE)," ")</f>
        <v>DR 54 Main Generator Failure</v>
      </c>
      <c r="J105" s="1">
        <f>_xlfn.IFNA(VLOOKUP(H105,'MCIA Cases'!$A$2:$R$1091,9,FALSE)," ")</f>
        <v>0</v>
      </c>
      <c r="K105" s="1">
        <f>_xlfn.IFNA(VLOOKUP(H105,'MCIA Cases'!$A$2:$R$1091,10,FALSE)," ")</f>
        <v>0</v>
      </c>
      <c r="L105" s="1" t="str">
        <f>_xlfn.IFNA(VLOOKUP(H105,'MCIA Cases'!$A$2:$R$1091,3,FALSE)," ")</f>
        <v>Andrew Larkin</v>
      </c>
      <c r="M105" s="1">
        <f>IF(COUNTIF('MCIA Corrective Actions'!$A:$A,H105)=0," ",COUNTIF('MCIA Corrective Actions'!$A:$A,H105))</f>
        <v>1</v>
      </c>
      <c r="N105" s="1">
        <f>IF(COUNTIF('MCIA Corrective Actions'!$A:$A,H105)=0," ",COUNTIFS('MCIA Corrective Actions'!$A:$A,H105,'MCIA Corrective Actions'!N:N,"Yes"))</f>
        <v>1</v>
      </c>
      <c r="O105" s="1" t="str">
        <f>_xlfn.IFNA(VLOOKUP(H105,'MCIA Corrective Actions'!$A$2:$R$1092,6,FALSE)," ")</f>
        <v>Andrew Larkin</v>
      </c>
      <c r="P105" s="1"/>
    </row>
    <row r="106" spans="2:16" x14ac:dyDescent="0.25">
      <c r="B106" s="127" t="str">
        <f>_xlfn.IFNA(VLOOKUP(VLOOKUP(H106,'MCIA Cases'!$A$2:$AB$1091,26,FALSE),Summary!$J$43:$K$264,2,FALSE)," ")</f>
        <v xml:space="preserve"> </v>
      </c>
      <c r="C106" s="107" t="str">
        <f>_xlfn.IFNA(VLOOKUP(H106,'MCIA Cases'!$A$2:$R$1091,15,FALSE)," ")</f>
        <v>Matt Jack</v>
      </c>
      <c r="H106" s="112">
        <v>211</v>
      </c>
      <c r="I106" s="1" t="str">
        <f>_xlfn.IFNA(VLOOKUP(H106,'MCIA Cases'!$A$2:$R$1091,2,FALSE)," ")</f>
        <v>GL 65 Grounding</v>
      </c>
      <c r="J106" s="1">
        <f>_xlfn.IFNA(VLOOKUP(H106,'MCIA Cases'!$A$2:$R$1091,9,FALSE)," ")</f>
        <v>0</v>
      </c>
      <c r="K106" s="1">
        <f>_xlfn.IFNA(VLOOKUP(H106,'MCIA Cases'!$A$2:$R$1091,10,FALSE)," ")</f>
        <v>0</v>
      </c>
      <c r="L106" s="1" t="str">
        <f>_xlfn.IFNA(VLOOKUP(H106,'MCIA Cases'!$A$2:$R$1091,3,FALSE)," ")</f>
        <v>Michael Tester</v>
      </c>
      <c r="M106" s="1">
        <f>IF(COUNTIF('MCIA Corrective Actions'!$A:$A,H106)=0," ",COUNTIF('MCIA Corrective Actions'!$A:$A,H106))</f>
        <v>2</v>
      </c>
      <c r="N106" s="1">
        <f>IF(COUNTIF('MCIA Corrective Actions'!$A:$A,H106)=0," ",COUNTIFS('MCIA Corrective Actions'!$A:$A,H106,'MCIA Corrective Actions'!N:N,"Yes"))</f>
        <v>2</v>
      </c>
      <c r="O106" s="1" t="str">
        <f>_xlfn.IFNA(VLOOKUP(H106,'MCIA Corrective Actions'!$A$2:$R$1092,6,FALSE)," ")</f>
        <v>Christopher Gunsten</v>
      </c>
      <c r="P106" s="1"/>
    </row>
    <row r="107" spans="2:16" x14ac:dyDescent="0.25">
      <c r="B107" s="127" t="str">
        <f>_xlfn.IFNA(VLOOKUP(VLOOKUP(H107,'MCIA Cases'!$A$2:$AB$1091,26,FALSE),Summary!$J$43:$K$264,2,FALSE)," ")</f>
        <v xml:space="preserve"> </v>
      </c>
      <c r="C107" s="107" t="str">
        <f>_xlfn.IFNA(VLOOKUP(H107,'MCIA Cases'!$A$2:$R$1091,15,FALSE)," ")</f>
        <v>Jacques Coetzee</v>
      </c>
      <c r="H107" s="112">
        <v>214</v>
      </c>
      <c r="I107" s="1" t="str">
        <f>_xlfn.IFNA(VLOOKUP(H107,'MCIA Cases'!$A$2:$R$1091,2,FALSE)," ")</f>
        <v>22582_MCIA_009_CSD Carolina Cutter Motor No. 4</v>
      </c>
      <c r="J107" s="1">
        <f>_xlfn.IFNA(VLOOKUP(H107,'MCIA Cases'!$A$2:$R$1091,9,FALSE)," ")</f>
        <v>0</v>
      </c>
      <c r="K107" s="1">
        <f>_xlfn.IFNA(VLOOKUP(H107,'MCIA Cases'!$A$2:$R$1091,10,FALSE)," ")</f>
        <v>0</v>
      </c>
      <c r="L107" s="1" t="str">
        <f>_xlfn.IFNA(VLOOKUP(H107,'MCIA Cases'!$A$2:$R$1091,3,FALSE)," ")</f>
        <v>James P Arias</v>
      </c>
      <c r="M107" s="1">
        <f>IF(COUNTIF('MCIA Corrective Actions'!$A:$A,H107)=0," ",COUNTIF('MCIA Corrective Actions'!$A:$A,H107))</f>
        <v>2</v>
      </c>
      <c r="N107" s="1">
        <f>IF(COUNTIF('MCIA Corrective Actions'!$A:$A,H107)=0," ",COUNTIFS('MCIA Corrective Actions'!$A:$A,H107,'MCIA Corrective Actions'!N:N,"Yes"))</f>
        <v>2</v>
      </c>
      <c r="O107" s="1" t="str">
        <f>_xlfn.IFNA(VLOOKUP(H107,'MCIA Corrective Actions'!$A$2:$R$1092,6,FALSE)," ")</f>
        <v>Joseph Sadiq</v>
      </c>
      <c r="P107" s="1"/>
    </row>
    <row r="108" spans="2:16" x14ac:dyDescent="0.25">
      <c r="B108" s="127" t="str">
        <f>_xlfn.IFNA(VLOOKUP(VLOOKUP(H108,'MCIA Cases'!$A$2:$AB$1091,26,FALSE),Summary!$J$43:$K$264,2,FALSE)," ")</f>
        <v xml:space="preserve"> </v>
      </c>
      <c r="C108" s="107" t="str">
        <f>_xlfn.IFNA(VLOOKUP(H108,'MCIA Cases'!$A$2:$R$1091,15,FALSE)," ")</f>
        <v>Wade Eldridge</v>
      </c>
      <c r="H108" s="112">
        <v>217</v>
      </c>
      <c r="I108" s="1" t="str">
        <f>_xlfn.IFNA(VLOOKUP(H108,'MCIA Cases'!$A$2:$R$1091,2,FALSE)," ")</f>
        <v>Unloader 2, CAT 399 Failure</v>
      </c>
      <c r="J108" s="1">
        <f>_xlfn.IFNA(VLOOKUP(H108,'MCIA Cases'!$A$2:$R$1091,9,FALSE)," ")</f>
        <v>0</v>
      </c>
      <c r="K108" s="1">
        <f>_xlfn.IFNA(VLOOKUP(H108,'MCIA Cases'!$A$2:$R$1091,10,FALSE)," ")</f>
        <v>0</v>
      </c>
      <c r="L108" s="1" t="str">
        <f>_xlfn.IFNA(VLOOKUP(H108,'MCIA Cases'!$A$2:$R$1091,3,FALSE)," ")</f>
        <v xml:space="preserve">Matt Ferrell </v>
      </c>
      <c r="M108" s="1">
        <f>IF(COUNTIF('MCIA Corrective Actions'!$A:$A,H108)=0," ",COUNTIF('MCIA Corrective Actions'!$A:$A,H108))</f>
        <v>3</v>
      </c>
      <c r="N108" s="1">
        <f>IF(COUNTIF('MCIA Corrective Actions'!$A:$A,H108)=0," ",COUNTIFS('MCIA Corrective Actions'!$A:$A,H108,'MCIA Corrective Actions'!N:N,"Yes"))</f>
        <v>3</v>
      </c>
      <c r="O108" s="1" t="str">
        <f>_xlfn.IFNA(VLOOKUP(H108,'MCIA Corrective Actions'!$A$2:$R$1092,6,FALSE)," ")</f>
        <v>Bill Baumann</v>
      </c>
      <c r="P108" s="1"/>
    </row>
    <row r="109" spans="2:16" x14ac:dyDescent="0.25">
      <c r="B109" s="127" t="str">
        <f>_xlfn.IFNA(VLOOKUP(VLOOKUP(H109,'MCIA Cases'!$A$2:$AB$1091,26,FALSE),Summary!$J$43:$K$264,2,FALSE)," ")</f>
        <v xml:space="preserve"> </v>
      </c>
      <c r="C109" s="107" t="str">
        <f>_xlfn.IFNA(VLOOKUP(H109,'MCIA Cases'!$A$2:$R$1091,15,FALSE)," ")</f>
        <v>Brian C Puckett</v>
      </c>
      <c r="H109" s="112">
        <v>218</v>
      </c>
      <c r="I109" s="1" t="str">
        <f>_xlfn.IFNA(VLOOKUP(H109,'MCIA Cases'!$A$2:$R$1091,2,FALSE)," ")</f>
        <v>Ohio River Engine Room Fire</v>
      </c>
      <c r="J109" s="1">
        <f>_xlfn.IFNA(VLOOKUP(H109,'MCIA Cases'!$A$2:$R$1091,9,FALSE)," ")</f>
        <v>0</v>
      </c>
      <c r="K109" s="1">
        <f>_xlfn.IFNA(VLOOKUP(H109,'MCIA Cases'!$A$2:$R$1091,10,FALSE)," ")</f>
        <v>0</v>
      </c>
      <c r="L109" s="1" t="str">
        <f>_xlfn.IFNA(VLOOKUP(H109,'MCIA Cases'!$A$2:$R$1091,3,FALSE)," ")</f>
        <v>Brian C Puckett</v>
      </c>
      <c r="M109" s="1">
        <f>IF(COUNTIF('MCIA Corrective Actions'!$A:$A,H109)=0," ",COUNTIF('MCIA Corrective Actions'!$A:$A,H109))</f>
        <v>5</v>
      </c>
      <c r="N109" s="1">
        <f>IF(COUNTIF('MCIA Corrective Actions'!$A:$A,H109)=0," ",COUNTIFS('MCIA Corrective Actions'!$A:$A,H109,'MCIA Corrective Actions'!N:N,"Yes"))</f>
        <v>5</v>
      </c>
      <c r="O109" s="1" t="str">
        <f>_xlfn.IFNA(VLOOKUP(H109,'MCIA Corrective Actions'!$A$2:$R$1092,6,FALSE)," ")</f>
        <v>Brian C Puckett</v>
      </c>
      <c r="P109" s="1"/>
    </row>
    <row r="110" spans="2:16" x14ac:dyDescent="0.25">
      <c r="B110" s="127" t="str">
        <f>_xlfn.IFNA(VLOOKUP(VLOOKUP(H110,'MCIA Cases'!$A$2:$AB$1091,26,FALSE),Summary!$J$43:$K$264,2,FALSE)," ")</f>
        <v xml:space="preserve"> </v>
      </c>
      <c r="C110" s="107" t="str">
        <f>_xlfn.IFNA(VLOOKUP(H110,'MCIA Cases'!$A$2:$R$1091,15,FALSE)," ")</f>
        <v>Armand F Riehl</v>
      </c>
      <c r="H110" s="112">
        <v>221</v>
      </c>
      <c r="I110" s="1" t="str">
        <f>_xlfn.IFNA(VLOOKUP(H110,'MCIA Cases'!$A$2:$R$1091,2,FALSE)," ")</f>
        <v>Dredge Liberty Automation Failure Incident</v>
      </c>
      <c r="J110" s="1">
        <f>_xlfn.IFNA(VLOOKUP(H110,'MCIA Cases'!$A$2:$R$1091,9,FALSE)," ")</f>
        <v>0</v>
      </c>
      <c r="K110" s="1">
        <f>_xlfn.IFNA(VLOOKUP(H110,'MCIA Cases'!$A$2:$R$1091,10,FALSE)," ")</f>
        <v>0</v>
      </c>
      <c r="L110" s="1" t="str">
        <f>_xlfn.IFNA(VLOOKUP(H110,'MCIA Cases'!$A$2:$R$1091,3,FALSE)," ")</f>
        <v>Adolfo Lopez</v>
      </c>
      <c r="M110" s="1">
        <f>IF(COUNTIF('MCIA Corrective Actions'!$A:$A,H110)=0," ",COUNTIF('MCIA Corrective Actions'!$A:$A,H110))</f>
        <v>1</v>
      </c>
      <c r="N110" s="1">
        <f>IF(COUNTIF('MCIA Corrective Actions'!$A:$A,H110)=0," ",COUNTIFS('MCIA Corrective Actions'!$A:$A,H110,'MCIA Corrective Actions'!N:N,"Yes"))</f>
        <v>1</v>
      </c>
      <c r="O110" s="1" t="str">
        <f>_xlfn.IFNA(VLOOKUP(H110,'MCIA Corrective Actions'!$A$2:$R$1092,6,FALSE)," ")</f>
        <v>Mike Kraljevic</v>
      </c>
      <c r="P110" s="1"/>
    </row>
    <row r="111" spans="2:16" x14ac:dyDescent="0.25">
      <c r="B111" s="127" t="str">
        <f>_xlfn.IFNA(VLOOKUP(VLOOKUP(H111,'MCIA Cases'!$A$2:$AB$1091,26,FALSE),Summary!$J$43:$K$264,2,FALSE)," ")</f>
        <v xml:space="preserve"> </v>
      </c>
      <c r="C111" s="107" t="str">
        <f>_xlfn.IFNA(VLOOKUP(H111,'MCIA Cases'!$A$2:$R$1091,15,FALSE)," ")</f>
        <v>Brian Markey</v>
      </c>
      <c r="H111" s="112">
        <v>225</v>
      </c>
      <c r="I111" s="1" t="str">
        <f>_xlfn.IFNA(VLOOKUP(H111,'MCIA Cases'!$A$2:$R$1091,2,FALSE)," ")</f>
        <v>Alaska Cutter Motor Failure 12/21/2017</v>
      </c>
      <c r="J111" s="1">
        <f>_xlfn.IFNA(VLOOKUP(H111,'MCIA Cases'!$A$2:$R$1091,9,FALSE)," ")</f>
        <v>0</v>
      </c>
      <c r="K111" s="1">
        <f>_xlfn.IFNA(VLOOKUP(H111,'MCIA Cases'!$A$2:$R$1091,10,FALSE)," ")</f>
        <v>0</v>
      </c>
      <c r="L111" s="1" t="str">
        <f>_xlfn.IFNA(VLOOKUP(H111,'MCIA Cases'!$A$2:$R$1091,3,FALSE)," ")</f>
        <v>James C Towner</v>
      </c>
      <c r="M111" s="1">
        <f>IF(COUNTIF('MCIA Corrective Actions'!$A:$A,H111)=0," ",COUNTIF('MCIA Corrective Actions'!$A:$A,H111))</f>
        <v>4</v>
      </c>
      <c r="N111" s="1">
        <f>IF(COUNTIF('MCIA Corrective Actions'!$A:$A,H111)=0," ",COUNTIFS('MCIA Corrective Actions'!$A:$A,H111,'MCIA Corrective Actions'!N:N,"Yes"))</f>
        <v>4</v>
      </c>
      <c r="O111" s="1" t="str">
        <f>_xlfn.IFNA(VLOOKUP(H111,'MCIA Corrective Actions'!$A$2:$R$1092,6,FALSE)," ")</f>
        <v>Bill Baumann</v>
      </c>
      <c r="P111" s="1"/>
    </row>
  </sheetData>
  <autoFilter ref="B3:P3" xr:uid="{00000000-0009-0000-0000-000005000000}"/>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A1:P87"/>
  <sheetViews>
    <sheetView workbookViewId="0">
      <pane ySplit="3" topLeftCell="A4" activePane="bottomLeft" state="frozen"/>
      <selection activeCell="I56" sqref="I56"/>
      <selection pane="bottomLeft" activeCell="I56" sqref="I56"/>
    </sheetView>
  </sheetViews>
  <sheetFormatPr defaultRowHeight="15" x14ac:dyDescent="0.25"/>
  <cols>
    <col min="1" max="1" width="13.140625" style="1" hidden="1" customWidth="1"/>
    <col min="2" max="2" width="14.28515625" style="108" bestFit="1" customWidth="1"/>
    <col min="3" max="3" width="10.140625" style="107" bestFit="1" customWidth="1"/>
    <col min="4" max="4" width="9" style="3" bestFit="1" customWidth="1"/>
    <col min="5" max="5" width="40.85546875" style="1" customWidth="1"/>
    <col min="6" max="6" width="19.28515625" style="109" customWidth="1"/>
    <col min="7" max="7" width="52" style="7" customWidth="1"/>
    <col min="8" max="8" width="12.42578125" bestFit="1" customWidth="1"/>
    <col min="9" max="9" width="44.42578125" bestFit="1" customWidth="1"/>
    <col min="10" max="10" width="10.7109375" bestFit="1" customWidth="1"/>
    <col min="11" max="11" width="11" bestFit="1" customWidth="1"/>
    <col min="12" max="12" width="16.140625" bestFit="1" customWidth="1"/>
    <col min="13" max="13" width="11.42578125" customWidth="1"/>
    <col min="14" max="14" width="11.85546875" customWidth="1"/>
    <col min="15" max="15" width="16.42578125" bestFit="1" customWidth="1"/>
    <col min="16" max="16" width="11.85546875" customWidth="1"/>
  </cols>
  <sheetData>
    <row r="1" spans="1:16" x14ac:dyDescent="0.25">
      <c r="E1" s="11" t="s">
        <v>607</v>
      </c>
    </row>
    <row r="3" spans="1:16" ht="60" x14ac:dyDescent="0.25">
      <c r="A3" s="113" t="s">
        <v>625</v>
      </c>
      <c r="B3" s="117" t="s">
        <v>588</v>
      </c>
      <c r="C3" s="118" t="s">
        <v>589</v>
      </c>
      <c r="D3" s="119" t="s">
        <v>590</v>
      </c>
      <c r="E3" s="120" t="s">
        <v>591</v>
      </c>
      <c r="F3" s="114" t="s">
        <v>592</v>
      </c>
      <c r="G3" s="113" t="s">
        <v>605</v>
      </c>
      <c r="H3" s="113" t="s">
        <v>1276</v>
      </c>
      <c r="I3" s="113" t="s">
        <v>1277</v>
      </c>
      <c r="J3" s="113" t="s">
        <v>657</v>
      </c>
      <c r="K3" s="113" t="s">
        <v>652</v>
      </c>
      <c r="L3" s="113" t="s">
        <v>655</v>
      </c>
      <c r="M3" s="113" t="s">
        <v>653</v>
      </c>
      <c r="N3" s="113" t="s">
        <v>654</v>
      </c>
      <c r="O3" s="113" t="s">
        <v>2273</v>
      </c>
      <c r="P3" s="113" t="s">
        <v>660</v>
      </c>
    </row>
    <row r="4" spans="1:16" x14ac:dyDescent="0.25">
      <c r="A4" s="1">
        <v>45</v>
      </c>
      <c r="B4" s="108" t="str">
        <f>VLOOKUP($A4,Table1[['#]:[Vessel]],4,FALSE)</f>
        <v>Terrapin Island</v>
      </c>
      <c r="C4" s="107">
        <f>VLOOKUP($A4,Table1[['#]:[Date]],3,FALSE)</f>
        <v>43105</v>
      </c>
      <c r="D4" s="3">
        <f>VLOOKUP($A4,Table1[['#]:[Hours]],7,FALSE)</f>
        <v>73.3</v>
      </c>
      <c r="E4" s="3" t="str">
        <f>VLOOKUP($A4,Table1[['#]:[System]],8,FALSE)&amp;" / "&amp;VLOOKUP($A4,Table1[['#]:[Subsystem]],9,FALSE)</f>
        <v>Main Engine / Propulsion / Tail Shaft</v>
      </c>
      <c r="F4" s="108">
        <f>VLOOKUP($A4,Table1[['#]:[Work Order '#]],10,FALSE)</f>
        <v>4178593</v>
      </c>
      <c r="G4" s="110" t="str">
        <f>VLOOKUP($A4,Table1[['#]:[Delay Log Notes]],11,FALSE)</f>
        <v>Stbd M/E down due to leaking stern tube</v>
      </c>
      <c r="H4" s="1" t="str">
        <f>_xlfn.IFNA(VLOOKUP(A4,'EDL Data'!$A$2:$M$1245,6,FALSE)," ")</f>
        <v>None</v>
      </c>
      <c r="I4" s="1" t="str">
        <f>_xlfn.IFNA(VLOOKUP(H4,'MCIA Cases'!$A$2:$R$1091,2,FALSE)," ")</f>
        <v xml:space="preserve"> </v>
      </c>
      <c r="J4" s="1" t="str">
        <f>_xlfn.IFNA(VLOOKUP(H4,'MCIA Cases'!$A$2:$R$1091,9,FALSE)," ")</f>
        <v xml:space="preserve"> </v>
      </c>
      <c r="K4" s="1" t="str">
        <f>_xlfn.IFNA(VLOOKUP(H4,'MCIA Cases'!$A$2:$R$1091,10,FALSE)," ")</f>
        <v xml:space="preserve"> </v>
      </c>
      <c r="L4" s="1" t="str">
        <f>_xlfn.IFNA(VLOOKUP(H4,'MCIA Cases'!$A$2:$R$1091,3,FALSE)," ")</f>
        <v xml:space="preserve"> </v>
      </c>
      <c r="M4" s="1" t="str">
        <f>IF(COUNTIF('MCIA Corrective Actions'!$A:$A,H4)=0," ",COUNTIF('MCIA Corrective Actions'!$A:$A,H4))</f>
        <v xml:space="preserve"> </v>
      </c>
      <c r="N4" s="1" t="str">
        <f>IF(COUNTIF('MCIA Corrective Actions'!$A:$A,H4)=0," ",COUNTIFS('MCIA Corrective Actions'!$A:$A,H4,'MCIA Corrective Actions'!N:N,"Yes"))</f>
        <v xml:space="preserve"> </v>
      </c>
      <c r="O4" s="1" t="str">
        <f>_xlfn.IFNA(VLOOKUP(H4,'MCIA Corrective Actions'!$A$2:$R$1092,6,FALSE)," ")</f>
        <v xml:space="preserve"> </v>
      </c>
      <c r="P4" s="1"/>
    </row>
    <row r="5" spans="1:16" x14ac:dyDescent="0.25">
      <c r="A5" s="1">
        <v>46</v>
      </c>
      <c r="B5" s="108" t="str">
        <f>VLOOKUP($A5,Table1[['#]:[Vessel]],4,FALSE)</f>
        <v>Alaska</v>
      </c>
      <c r="C5" s="107">
        <f>VLOOKUP($A5,Table1[['#]:[Date]],3,FALSE)</f>
        <v>43111</v>
      </c>
      <c r="D5" s="3">
        <f>VLOOKUP($A5,Table1[['#]:[Hours]],7,FALSE)</f>
        <v>84.71</v>
      </c>
      <c r="E5" s="3" t="str">
        <f>VLOOKUP($A5,Table1[['#]:[System]],8,FALSE)&amp;" / "&amp;VLOOKUP($A5,Table1[['#]:[Subsystem]],9,FALSE)</f>
        <v>Main Pump / Pump rebuild</v>
      </c>
      <c r="F5" s="108">
        <f>VLOOKUP($A5,Table1[['#]:[Work Order '#]],10,FALSE)</f>
        <v>1727803</v>
      </c>
      <c r="G5" s="110" t="str">
        <f>VLOOKUP($A5,Table1[['#]:[Delay Log Notes]],11,FALSE)</f>
        <v>None</v>
      </c>
      <c r="H5" s="1" t="str">
        <f>_xlfn.IFNA(VLOOKUP(A5,'EDL Data'!$A$2:$M$1245,6,FALSE)," ")</f>
        <v>None</v>
      </c>
      <c r="I5" s="1" t="str">
        <f>_xlfn.IFNA(VLOOKUP(H5,'MCIA Cases'!$A$2:$R$1091,2,FALSE)," ")</f>
        <v xml:space="preserve"> </v>
      </c>
      <c r="J5" s="1" t="str">
        <f>_xlfn.IFNA(VLOOKUP(H5,'MCIA Cases'!$A$2:$R$1091,9,FALSE)," ")</f>
        <v xml:space="preserve"> </v>
      </c>
      <c r="K5" s="1" t="str">
        <f>_xlfn.IFNA(VLOOKUP(H5,'MCIA Cases'!$A$2:$R$1091,10,FALSE)," ")</f>
        <v xml:space="preserve"> </v>
      </c>
      <c r="L5" s="1" t="str">
        <f>_xlfn.IFNA(VLOOKUP(H5,'MCIA Cases'!$A$2:$R$1091,3,FALSE)," ")</f>
        <v xml:space="preserve"> </v>
      </c>
      <c r="M5" s="1" t="str">
        <f>IF(COUNTIF('MCIA Corrective Actions'!$A:$A,H5)=0," ",COUNTIF('MCIA Corrective Actions'!$A:$A,H5))</f>
        <v xml:space="preserve"> </v>
      </c>
      <c r="N5" s="1" t="str">
        <f>IF(COUNTIF('MCIA Corrective Actions'!$A:$A,H5)=0," ",COUNTIFS('MCIA Corrective Actions'!$A:$A,H5,'MCIA Corrective Actions'!N:N,"Yes"))</f>
        <v xml:space="preserve"> </v>
      </c>
      <c r="O5" s="1" t="str">
        <f>_xlfn.IFNA(VLOOKUP(H5,'MCIA Corrective Actions'!$A$2:$R$1092,6,FALSE)," ")</f>
        <v xml:space="preserve"> </v>
      </c>
      <c r="P5" s="1"/>
    </row>
    <row r="6" spans="1:16" ht="30" x14ac:dyDescent="0.25">
      <c r="A6" s="1">
        <v>47</v>
      </c>
      <c r="B6" s="108" t="str">
        <f>VLOOKUP($A6,Table1[['#]:[Vessel]],4,FALSE)</f>
        <v>Ellis Island</v>
      </c>
      <c r="C6" s="107">
        <f>VLOOKUP($A6,Table1[['#]:[Date]],3,FALSE)</f>
        <v>43121</v>
      </c>
      <c r="D6" s="3">
        <f>VLOOKUP($A6,Table1[['#]:[Hours]],7,FALSE)</f>
        <v>92.61</v>
      </c>
      <c r="E6" s="3" t="str">
        <f>VLOOKUP($A6,Table1[['#]:[System]],8,FALSE)&amp;" / "&amp;VLOOKUP($A6,Table1[['#]:[Subsystem]],9,FALSE)</f>
        <v>Piping / Hoses / Pump Room Suction Pipe</v>
      </c>
      <c r="F6" s="108" t="str">
        <f>VLOOKUP($A6,Table1[['#]:[Work Order '#]],10,FALSE)</f>
        <v>N/A</v>
      </c>
      <c r="G6" s="110" t="str">
        <f>VLOOKUP($A6,Table1[['#]:[Delay Log Notes]],11,FALSE)</f>
        <v>Stbd slope tank flooded 15 feet of water in tank vessel at anchor ocsw</v>
      </c>
      <c r="H6" s="1" t="str">
        <f>_xlfn.IFNA(VLOOKUP(A6,'EDL Data'!$A$2:$M$1245,6,FALSE)," ")</f>
        <v>None</v>
      </c>
      <c r="I6" s="1" t="str">
        <f>_xlfn.IFNA(VLOOKUP(H6,'MCIA Cases'!$A$2:$R$1091,2,FALSE)," ")</f>
        <v xml:space="preserve"> </v>
      </c>
      <c r="J6" s="1" t="str">
        <f>_xlfn.IFNA(VLOOKUP(H6,'MCIA Cases'!$A$2:$R$1091,9,FALSE)," ")</f>
        <v xml:space="preserve"> </v>
      </c>
      <c r="K6" s="1" t="str">
        <f>_xlfn.IFNA(VLOOKUP(H6,'MCIA Cases'!$A$2:$R$1091,10,FALSE)," ")</f>
        <v xml:space="preserve"> </v>
      </c>
      <c r="L6" s="1" t="str">
        <f>_xlfn.IFNA(VLOOKUP(H6,'MCIA Cases'!$A$2:$R$1091,3,FALSE)," ")</f>
        <v xml:space="preserve"> </v>
      </c>
      <c r="M6" s="1" t="str">
        <f>IF(COUNTIF('MCIA Corrective Actions'!$A:$A,H6)=0," ",COUNTIF('MCIA Corrective Actions'!$A:$A,H6))</f>
        <v xml:space="preserve"> </v>
      </c>
      <c r="N6" s="1" t="str">
        <f>IF(COUNTIF('MCIA Corrective Actions'!$A:$A,H6)=0," ",COUNTIFS('MCIA Corrective Actions'!$A:$A,H6,'MCIA Corrective Actions'!N:N,"Yes"))</f>
        <v xml:space="preserve"> </v>
      </c>
      <c r="O6" s="1" t="str">
        <f>_xlfn.IFNA(VLOOKUP(H6,'MCIA Corrective Actions'!$A$2:$R$1092,6,FALSE)," ")</f>
        <v xml:space="preserve"> </v>
      </c>
      <c r="P6" s="1"/>
    </row>
    <row r="7" spans="1:16" x14ac:dyDescent="0.25">
      <c r="A7" s="1">
        <v>48</v>
      </c>
      <c r="B7" s="108" t="str">
        <f>VLOOKUP($A7,Table1[['#]:[Vessel]],4,FALSE)</f>
        <v>Ellis Island</v>
      </c>
      <c r="C7" s="107">
        <f>VLOOKUP($A7,Table1[['#]:[Date]],3,FALSE)</f>
        <v>43131</v>
      </c>
      <c r="D7" s="3">
        <f>VLOOKUP($A7,Table1[['#]:[Hours]],7,FALSE)</f>
        <v>40.39</v>
      </c>
      <c r="E7" s="3" t="str">
        <f>VLOOKUP($A7,Table1[['#]:[System]],8,FALSE)&amp;" / "&amp;VLOOKUP($A7,Table1[['#]:[Subsystem]],9,FALSE)</f>
        <v>Main Engine / Propulsion / Gearbox</v>
      </c>
      <c r="F7" s="108" t="str">
        <f>VLOOKUP($A7,Table1[['#]:[Work Order '#]],10,FALSE)</f>
        <v>N/A</v>
      </c>
      <c r="G7" s="110" t="str">
        <f>VLOOKUP($A7,Table1[['#]:[Delay Log Notes]],11,FALSE)</f>
        <v>None</v>
      </c>
      <c r="H7" s="1" t="str">
        <f>_xlfn.IFNA(VLOOKUP(A7,'EDL Data'!$A$2:$M$1245,6,FALSE)," ")</f>
        <v>None</v>
      </c>
      <c r="I7" s="1" t="str">
        <f>_xlfn.IFNA(VLOOKUP(H7,'MCIA Cases'!$A$2:$R$1091,2,FALSE)," ")</f>
        <v xml:space="preserve"> </v>
      </c>
      <c r="J7" s="1" t="str">
        <f>_xlfn.IFNA(VLOOKUP(H7,'MCIA Cases'!$A$2:$R$1091,9,FALSE)," ")</f>
        <v xml:space="preserve"> </v>
      </c>
      <c r="K7" s="1" t="str">
        <f>_xlfn.IFNA(VLOOKUP(H7,'MCIA Cases'!$A$2:$R$1091,10,FALSE)," ")</f>
        <v xml:space="preserve"> </v>
      </c>
      <c r="L7" s="1" t="str">
        <f>_xlfn.IFNA(VLOOKUP(H7,'MCIA Cases'!$A$2:$R$1091,3,FALSE)," ")</f>
        <v xml:space="preserve"> </v>
      </c>
      <c r="M7" s="1" t="str">
        <f>IF(COUNTIF('MCIA Corrective Actions'!$A:$A,H7)=0," ",COUNTIF('MCIA Corrective Actions'!$A:$A,H7))</f>
        <v xml:space="preserve"> </v>
      </c>
      <c r="N7" s="1" t="str">
        <f>IF(COUNTIF('MCIA Corrective Actions'!$A:$A,H7)=0," ",COUNTIFS('MCIA Corrective Actions'!$A:$A,H7,'MCIA Corrective Actions'!N:N,"Yes"))</f>
        <v xml:space="preserve"> </v>
      </c>
      <c r="O7" s="1" t="str">
        <f>_xlfn.IFNA(VLOOKUP(H7,'MCIA Corrective Actions'!$A$2:$R$1092,6,FALSE)," ")</f>
        <v xml:space="preserve"> </v>
      </c>
      <c r="P7" s="1"/>
    </row>
    <row r="8" spans="1:16" x14ac:dyDescent="0.25">
      <c r="A8" s="1">
        <v>49</v>
      </c>
      <c r="B8" s="108" t="str">
        <f>VLOOKUP($A8,Table1[['#]:[Vessel]],4,FALSE)</f>
        <v>Alaska</v>
      </c>
      <c r="C8" s="107">
        <f>VLOOKUP($A8,Table1[['#]:[Date]],3,FALSE)</f>
        <v>43132</v>
      </c>
      <c r="D8" s="3">
        <f>VLOOKUP($A8,Table1[['#]:[Hours]],7,FALSE)</f>
        <v>86.73</v>
      </c>
      <c r="E8" s="3" t="str">
        <f>VLOOKUP($A8,Table1[['#]:[System]],8,FALSE)&amp;" / "&amp;VLOOKUP($A8,Table1[['#]:[Subsystem]],9,FALSE)</f>
        <v>Cutter / Bearings/Shafts</v>
      </c>
      <c r="F8" s="108">
        <f>VLOOKUP($A8,Table1[['#]:[Work Order '#]],10,FALSE)</f>
        <v>1727880</v>
      </c>
      <c r="G8" s="110" t="str">
        <f>VLOOKUP($A8,Table1[['#]:[Delay Log Notes]],11,FALSE)</f>
        <v>None</v>
      </c>
      <c r="H8" s="1" t="str">
        <f>_xlfn.IFNA(VLOOKUP(A8,'EDL Data'!$A$2:$M$1245,6,FALSE)," ")</f>
        <v>None</v>
      </c>
      <c r="I8" s="1" t="str">
        <f>_xlfn.IFNA(VLOOKUP(H8,'MCIA Cases'!$A$2:$R$1091,2,FALSE)," ")</f>
        <v xml:space="preserve"> </v>
      </c>
      <c r="J8" s="1" t="str">
        <f>_xlfn.IFNA(VLOOKUP(H8,'MCIA Cases'!$A$2:$R$1091,9,FALSE)," ")</f>
        <v xml:space="preserve"> </v>
      </c>
      <c r="K8" s="1" t="str">
        <f>_xlfn.IFNA(VLOOKUP(H8,'MCIA Cases'!$A$2:$R$1091,10,FALSE)," ")</f>
        <v xml:space="preserve"> </v>
      </c>
      <c r="L8" s="1" t="str">
        <f>_xlfn.IFNA(VLOOKUP(H8,'MCIA Cases'!$A$2:$R$1091,3,FALSE)," ")</f>
        <v xml:space="preserve"> </v>
      </c>
      <c r="M8" s="1" t="str">
        <f>IF(COUNTIF('MCIA Corrective Actions'!$A:$A,H8)=0," ",COUNTIF('MCIA Corrective Actions'!$A:$A,H8))</f>
        <v xml:space="preserve"> </v>
      </c>
      <c r="N8" s="1" t="str">
        <f>IF(COUNTIF('MCIA Corrective Actions'!$A:$A,H8)=0," ",COUNTIFS('MCIA Corrective Actions'!$A:$A,H8,'MCIA Corrective Actions'!N:N,"Yes"))</f>
        <v xml:space="preserve"> </v>
      </c>
      <c r="O8" s="1" t="str">
        <f>_xlfn.IFNA(VLOOKUP(H8,'MCIA Corrective Actions'!$A$2:$R$1092,6,FALSE)," ")</f>
        <v xml:space="preserve"> </v>
      </c>
      <c r="P8" s="1"/>
    </row>
    <row r="9" spans="1:16" x14ac:dyDescent="0.25">
      <c r="A9" s="1">
        <v>50</v>
      </c>
      <c r="B9" s="108" t="str">
        <f>VLOOKUP($A9,Table1[['#]:[Vessel]],4,FALSE)</f>
        <v>Ellis Island</v>
      </c>
      <c r="C9" s="107">
        <f>VLOOKUP($A9,Table1[['#]:[Date]],3,FALSE)</f>
        <v>43133</v>
      </c>
      <c r="D9" s="3">
        <f>VLOOKUP($A9,Table1[['#]:[Hours]],7,FALSE)</f>
        <v>421.95</v>
      </c>
      <c r="E9" s="3" t="str">
        <f>VLOOKUP($A9,Table1[['#]:[System]],8,FALSE)&amp;" / "&amp;VLOOKUP($A9,Table1[['#]:[Subsystem]],9,FALSE)</f>
        <v>Main Engine / Propulsion / Gearbox</v>
      </c>
      <c r="F9" s="108" t="str">
        <f>VLOOKUP($A9,Table1[['#]:[Work Order '#]],10,FALSE)</f>
        <v>N/A</v>
      </c>
      <c r="G9" s="110" t="str">
        <f>VLOOKUP($A9,Table1[['#]:[Delay Log Notes]],11,FALSE)</f>
        <v>high speed aft clutch bearing failure</v>
      </c>
      <c r="H9" s="1" t="str">
        <f>_xlfn.IFNA(VLOOKUP(A9,'EDL Data'!$A$2:$M$1245,6,FALSE)," ")</f>
        <v>None</v>
      </c>
      <c r="I9" s="1" t="str">
        <f>_xlfn.IFNA(VLOOKUP(H9,'MCIA Cases'!$A$2:$R$1091,2,FALSE)," ")</f>
        <v xml:space="preserve"> </v>
      </c>
      <c r="J9" s="1" t="str">
        <f>_xlfn.IFNA(VLOOKUP(H9,'MCIA Cases'!$A$2:$R$1091,9,FALSE)," ")</f>
        <v xml:space="preserve"> </v>
      </c>
      <c r="K9" s="1" t="str">
        <f>_xlfn.IFNA(VLOOKUP(H9,'MCIA Cases'!$A$2:$R$1091,10,FALSE)," ")</f>
        <v xml:space="preserve"> </v>
      </c>
      <c r="L9" s="1" t="str">
        <f>_xlfn.IFNA(VLOOKUP(H9,'MCIA Cases'!$A$2:$R$1091,3,FALSE)," ")</f>
        <v xml:space="preserve"> </v>
      </c>
      <c r="M9" s="1" t="str">
        <f>IF(COUNTIF('MCIA Corrective Actions'!$A:$A,H9)=0," ",COUNTIF('MCIA Corrective Actions'!$A:$A,H9))</f>
        <v xml:space="preserve"> </v>
      </c>
      <c r="N9" s="1" t="str">
        <f>IF(COUNTIF('MCIA Corrective Actions'!$A:$A,H9)=0," ",COUNTIFS('MCIA Corrective Actions'!$A:$A,H9,'MCIA Corrective Actions'!N:N,"Yes"))</f>
        <v xml:space="preserve"> </v>
      </c>
      <c r="O9" s="1" t="str">
        <f>_xlfn.IFNA(VLOOKUP(H9,'MCIA Corrective Actions'!$A$2:$R$1092,6,FALSE)," ")</f>
        <v xml:space="preserve"> </v>
      </c>
      <c r="P9" s="1"/>
    </row>
    <row r="10" spans="1:16" x14ac:dyDescent="0.25">
      <c r="A10" s="1">
        <v>51</v>
      </c>
      <c r="B10" s="108" t="str">
        <f>VLOOKUP($A10,Table1[['#]:[Vessel]],4,FALSE)</f>
        <v>Illinois</v>
      </c>
      <c r="C10" s="107">
        <f>VLOOKUP($A10,Table1[['#]:[Date]],3,FALSE)</f>
        <v>43138</v>
      </c>
      <c r="D10" s="3">
        <f>VLOOKUP($A10,Table1[['#]:[Hours]],7,FALSE)</f>
        <v>60.76</v>
      </c>
      <c r="E10" s="3" t="str">
        <f>VLOOKUP($A10,Table1[['#]:[System]],8,FALSE)&amp;" / "&amp;VLOOKUP($A10,Table1[['#]:[Subsystem]],9,FALSE)</f>
        <v>Main Pump / Engine/Motor</v>
      </c>
      <c r="F10" s="108">
        <f>VLOOKUP($A10,Table1[['#]:[Work Order '#]],10,FALSE)</f>
        <v>4204577</v>
      </c>
      <c r="G10" s="110" t="str">
        <f>VLOOKUP($A10,Table1[['#]:[Delay Log Notes]],11,FALSE)</f>
        <v>Main Engine</v>
      </c>
      <c r="H10" s="1" t="str">
        <f>_xlfn.IFNA(VLOOKUP(A10,'EDL Data'!$A$2:$M$1245,6,FALSE)," ")</f>
        <v>None</v>
      </c>
      <c r="I10" s="1" t="str">
        <f>_xlfn.IFNA(VLOOKUP(H10,'MCIA Cases'!$A$2:$R$1091,2,FALSE)," ")</f>
        <v xml:space="preserve"> </v>
      </c>
      <c r="J10" s="1" t="str">
        <f>_xlfn.IFNA(VLOOKUP(H10,'MCIA Cases'!$A$2:$R$1091,9,FALSE)," ")</f>
        <v xml:space="preserve"> </v>
      </c>
      <c r="K10" s="1" t="str">
        <f>_xlfn.IFNA(VLOOKUP(H10,'MCIA Cases'!$A$2:$R$1091,10,FALSE)," ")</f>
        <v xml:space="preserve"> </v>
      </c>
      <c r="L10" s="1" t="str">
        <f>_xlfn.IFNA(VLOOKUP(H10,'MCIA Cases'!$A$2:$R$1091,3,FALSE)," ")</f>
        <v xml:space="preserve"> </v>
      </c>
      <c r="M10" s="1" t="str">
        <f>IF(COUNTIF('MCIA Corrective Actions'!$A:$A,H10)=0," ",COUNTIF('MCIA Corrective Actions'!$A:$A,H10))</f>
        <v xml:space="preserve"> </v>
      </c>
      <c r="N10" s="1" t="str">
        <f>IF(COUNTIF('MCIA Corrective Actions'!$A:$A,H10)=0," ",COUNTIFS('MCIA Corrective Actions'!$A:$A,H10,'MCIA Corrective Actions'!N:N,"Yes"))</f>
        <v xml:space="preserve"> </v>
      </c>
      <c r="O10" s="1" t="str">
        <f>_xlfn.IFNA(VLOOKUP(H10,'MCIA Corrective Actions'!$A$2:$R$1092,6,FALSE)," ")</f>
        <v xml:space="preserve"> </v>
      </c>
      <c r="P10" s="1"/>
    </row>
    <row r="11" spans="1:16" x14ac:dyDescent="0.25">
      <c r="A11" s="1">
        <v>52</v>
      </c>
      <c r="B11" s="108" t="str">
        <f>VLOOKUP($A11,Table1[['#]:[Vessel]],4,FALSE)</f>
        <v>Dodge Island</v>
      </c>
      <c r="C11" s="107">
        <f>VLOOKUP($A11,Table1[['#]:[Date]],3,FALSE)</f>
        <v>43140</v>
      </c>
      <c r="D11" s="3">
        <f>VLOOKUP($A11,Table1[['#]:[Hours]],7,FALSE)</f>
        <v>35.880000000000003</v>
      </c>
      <c r="E11" s="3" t="str">
        <f>VLOOKUP($A11,Table1[['#]:[System]],8,FALSE)&amp;" / "&amp;VLOOKUP($A11,Table1[['#]:[Subsystem]],9,FALSE)</f>
        <v>Dredge Pump   / Other</v>
      </c>
      <c r="F11" s="108">
        <f>VLOOKUP($A11,Table1[['#]:[Work Order '#]],10,FALSE)</f>
        <v>4068750</v>
      </c>
      <c r="G11" s="110" t="str">
        <f>VLOOKUP($A11,Table1[['#]:[Delay Log Notes]],11,FALSE)</f>
        <v>Stbd dredge pump repairs</v>
      </c>
      <c r="H11" s="1" t="str">
        <f>_xlfn.IFNA(VLOOKUP(A11,'EDL Data'!$A$2:$M$1245,6,FALSE)," ")</f>
        <v>None</v>
      </c>
      <c r="I11" s="1" t="str">
        <f>_xlfn.IFNA(VLOOKUP(H11,'MCIA Cases'!$A$2:$R$1091,2,FALSE)," ")</f>
        <v xml:space="preserve"> </v>
      </c>
      <c r="J11" s="1" t="str">
        <f>_xlfn.IFNA(VLOOKUP(H11,'MCIA Cases'!$A$2:$R$1091,9,FALSE)," ")</f>
        <v xml:space="preserve"> </v>
      </c>
      <c r="K11" s="1" t="str">
        <f>_xlfn.IFNA(VLOOKUP(H11,'MCIA Cases'!$A$2:$R$1091,10,FALSE)," ")</f>
        <v xml:space="preserve"> </v>
      </c>
      <c r="L11" s="1" t="str">
        <f>_xlfn.IFNA(VLOOKUP(H11,'MCIA Cases'!$A$2:$R$1091,3,FALSE)," ")</f>
        <v xml:space="preserve"> </v>
      </c>
      <c r="M11" s="1" t="str">
        <f>IF(COUNTIF('MCIA Corrective Actions'!$A:$A,H11)=0," ",COUNTIF('MCIA Corrective Actions'!$A:$A,H11))</f>
        <v xml:space="preserve"> </v>
      </c>
      <c r="N11" s="1" t="str">
        <f>IF(COUNTIF('MCIA Corrective Actions'!$A:$A,H11)=0," ",COUNTIFS('MCIA Corrective Actions'!$A:$A,H11,'MCIA Corrective Actions'!N:N,"Yes"))</f>
        <v xml:space="preserve"> </v>
      </c>
      <c r="O11" s="1" t="str">
        <f>_xlfn.IFNA(VLOOKUP(H11,'MCIA Corrective Actions'!$A$2:$R$1092,6,FALSE)," ")</f>
        <v xml:space="preserve"> </v>
      </c>
      <c r="P11" s="1"/>
    </row>
    <row r="12" spans="1:16" x14ac:dyDescent="0.25">
      <c r="A12" s="1">
        <v>53</v>
      </c>
      <c r="B12" s="108" t="str">
        <f>VLOOKUP($A12,Table1[['#]:[Vessel]],4,FALSE)</f>
        <v>Alaska</v>
      </c>
      <c r="C12" s="107">
        <f>VLOOKUP($A12,Table1[['#]:[Date]],3,FALSE)</f>
        <v>43142</v>
      </c>
      <c r="D12" s="3">
        <f>VLOOKUP($A12,Table1[['#]:[Hours]],7,FALSE)</f>
        <v>91.93</v>
      </c>
      <c r="E12" s="3" t="str">
        <f>VLOOKUP($A12,Table1[['#]:[System]],8,FALSE)&amp;" / "&amp;VLOOKUP($A12,Table1[['#]:[Subsystem]],9,FALSE)</f>
        <v>Cutter / Motor (Cutter Shaft)</v>
      </c>
      <c r="F12" s="108">
        <f>VLOOKUP($A12,Table1[['#]:[Work Order '#]],10,FALSE)</f>
        <v>1727914</v>
      </c>
      <c r="G12" s="110" t="str">
        <f>VLOOKUP($A12,Table1[['#]:[Delay Log Notes]],11,FALSE)</f>
        <v>wash out to check cutter motor</v>
      </c>
      <c r="H12" s="1" t="str">
        <f>_xlfn.IFNA(VLOOKUP(A12,'EDL Data'!$A$2:$M$1245,6,FALSE)," ")</f>
        <v>None</v>
      </c>
      <c r="I12" s="1" t="str">
        <f>_xlfn.IFNA(VLOOKUP(H12,'MCIA Cases'!$A$2:$R$1091,2,FALSE)," ")</f>
        <v xml:space="preserve"> </v>
      </c>
      <c r="J12" s="1" t="str">
        <f>_xlfn.IFNA(VLOOKUP(H12,'MCIA Cases'!$A$2:$R$1091,9,FALSE)," ")</f>
        <v xml:space="preserve"> </v>
      </c>
      <c r="K12" s="1" t="str">
        <f>_xlfn.IFNA(VLOOKUP(H12,'MCIA Cases'!$A$2:$R$1091,10,FALSE)," ")</f>
        <v xml:space="preserve"> </v>
      </c>
      <c r="L12" s="1" t="str">
        <f>_xlfn.IFNA(VLOOKUP(H12,'MCIA Cases'!$A$2:$R$1091,3,FALSE)," ")</f>
        <v xml:space="preserve"> </v>
      </c>
      <c r="M12" s="1" t="str">
        <f>IF(COUNTIF('MCIA Corrective Actions'!$A:$A,H12)=0," ",COUNTIF('MCIA Corrective Actions'!$A:$A,H12))</f>
        <v xml:space="preserve"> </v>
      </c>
      <c r="N12" s="1" t="str">
        <f>IF(COUNTIF('MCIA Corrective Actions'!$A:$A,H12)=0," ",COUNTIFS('MCIA Corrective Actions'!$A:$A,H12,'MCIA Corrective Actions'!N:N,"Yes"))</f>
        <v xml:space="preserve"> </v>
      </c>
      <c r="O12" s="1" t="str">
        <f>_xlfn.IFNA(VLOOKUP(H12,'MCIA Corrective Actions'!$A$2:$R$1092,6,FALSE)," ")</f>
        <v xml:space="preserve"> </v>
      </c>
      <c r="P12" s="1"/>
    </row>
    <row r="13" spans="1:16" x14ac:dyDescent="0.25">
      <c r="A13" s="1">
        <v>54</v>
      </c>
      <c r="B13" s="108" t="str">
        <f>VLOOKUP($A13,Table1[['#]:[Vessel]],4,FALSE)</f>
        <v>Alaska</v>
      </c>
      <c r="C13" s="107">
        <f>VLOOKUP($A13,Table1[['#]:[Date]],3,FALSE)</f>
        <v>43147</v>
      </c>
      <c r="D13" s="3">
        <f>VLOOKUP($A13,Table1[['#]:[Hours]],7,FALSE)</f>
        <v>65.62</v>
      </c>
      <c r="E13" s="3" t="str">
        <f>VLOOKUP($A13,Table1[['#]:[System]],8,FALSE)&amp;" / "&amp;VLOOKUP($A13,Table1[['#]:[Subsystem]],9,FALSE)</f>
        <v>Cutter / Motor (Cutter Shaft)</v>
      </c>
      <c r="F13" s="108">
        <f>VLOOKUP($A13,Table1[['#]:[Work Order '#]],10,FALSE)</f>
        <v>1727917</v>
      </c>
      <c r="G13" s="110" t="str">
        <f>VLOOKUP($A13,Table1[['#]:[Delay Log Notes]],11,FALSE)</f>
        <v>None</v>
      </c>
      <c r="H13" s="1" t="str">
        <f>_xlfn.IFNA(VLOOKUP(A13,'EDL Data'!$A$2:$M$1245,6,FALSE)," ")</f>
        <v>None</v>
      </c>
      <c r="I13" s="1" t="str">
        <f>_xlfn.IFNA(VLOOKUP(H13,'MCIA Cases'!$A$2:$R$1091,2,FALSE)," ")</f>
        <v xml:space="preserve"> </v>
      </c>
      <c r="J13" s="1" t="str">
        <f>_xlfn.IFNA(VLOOKUP(H13,'MCIA Cases'!$A$2:$R$1091,9,FALSE)," ")</f>
        <v xml:space="preserve"> </v>
      </c>
      <c r="K13" s="1" t="str">
        <f>_xlfn.IFNA(VLOOKUP(H13,'MCIA Cases'!$A$2:$R$1091,10,FALSE)," ")</f>
        <v xml:space="preserve"> </v>
      </c>
      <c r="L13" s="1" t="str">
        <f>_xlfn.IFNA(VLOOKUP(H13,'MCIA Cases'!$A$2:$R$1091,3,FALSE)," ")</f>
        <v xml:space="preserve"> </v>
      </c>
      <c r="M13" s="1" t="str">
        <f>IF(COUNTIF('MCIA Corrective Actions'!$A:$A,H13)=0," ",COUNTIF('MCIA Corrective Actions'!$A:$A,H13))</f>
        <v xml:space="preserve"> </v>
      </c>
      <c r="N13" s="1" t="str">
        <f>IF(COUNTIF('MCIA Corrective Actions'!$A:$A,H13)=0," ",COUNTIFS('MCIA Corrective Actions'!$A:$A,H13,'MCIA Corrective Actions'!N:N,"Yes"))</f>
        <v xml:space="preserve"> </v>
      </c>
      <c r="O13" s="1" t="str">
        <f>_xlfn.IFNA(VLOOKUP(H13,'MCIA Corrective Actions'!$A$2:$R$1092,6,FALSE)," ")</f>
        <v xml:space="preserve"> </v>
      </c>
      <c r="P13" s="1"/>
    </row>
    <row r="14" spans="1:16" x14ac:dyDescent="0.25">
      <c r="A14" s="1">
        <v>55</v>
      </c>
      <c r="B14" s="108" t="str">
        <f>VLOOKUP($A14,Table1[['#]:[Vessel]],4,FALSE)</f>
        <v>Alaska</v>
      </c>
      <c r="C14" s="107">
        <f>VLOOKUP($A14,Table1[['#]:[Date]],3,FALSE)</f>
        <v>43154</v>
      </c>
      <c r="D14" s="3">
        <f>VLOOKUP($A14,Table1[['#]:[Hours]],7,FALSE)</f>
        <v>67.8</v>
      </c>
      <c r="E14" s="3" t="str">
        <f>VLOOKUP($A14,Table1[['#]:[System]],8,FALSE)&amp;" / "&amp;VLOOKUP($A14,Table1[['#]:[Subsystem]],9,FALSE)</f>
        <v>Main Pump / Pump rebuild</v>
      </c>
      <c r="F14" s="108">
        <f>VLOOKUP($A14,Table1[['#]:[Work Order '#]],10,FALSE)</f>
        <v>1727908</v>
      </c>
      <c r="G14" s="110" t="str">
        <f>VLOOKUP($A14,Table1[['#]:[Delay Log Notes]],11,FALSE)</f>
        <v>None</v>
      </c>
      <c r="H14" s="1" t="str">
        <f>_xlfn.IFNA(VLOOKUP(A14,'EDL Data'!$A$2:$M$1245,6,FALSE)," ")</f>
        <v>None</v>
      </c>
      <c r="I14" s="1" t="str">
        <f>_xlfn.IFNA(VLOOKUP(H14,'MCIA Cases'!$A$2:$R$1091,2,FALSE)," ")</f>
        <v xml:space="preserve"> </v>
      </c>
      <c r="J14" s="1" t="str">
        <f>_xlfn.IFNA(VLOOKUP(H14,'MCIA Cases'!$A$2:$R$1091,9,FALSE)," ")</f>
        <v xml:space="preserve"> </v>
      </c>
      <c r="K14" s="1" t="str">
        <f>_xlfn.IFNA(VLOOKUP(H14,'MCIA Cases'!$A$2:$R$1091,10,FALSE)," ")</f>
        <v xml:space="preserve"> </v>
      </c>
      <c r="L14" s="1" t="str">
        <f>_xlfn.IFNA(VLOOKUP(H14,'MCIA Cases'!$A$2:$R$1091,3,FALSE)," ")</f>
        <v xml:space="preserve"> </v>
      </c>
      <c r="M14" s="1" t="str">
        <f>IF(COUNTIF('MCIA Corrective Actions'!$A:$A,H14)=0," ",COUNTIF('MCIA Corrective Actions'!$A:$A,H14))</f>
        <v xml:space="preserve"> </v>
      </c>
      <c r="N14" s="1" t="str">
        <f>IF(COUNTIF('MCIA Corrective Actions'!$A:$A,H14)=0," ",COUNTIFS('MCIA Corrective Actions'!$A:$A,H14,'MCIA Corrective Actions'!N:N,"Yes"))</f>
        <v xml:space="preserve"> </v>
      </c>
      <c r="O14" s="1" t="str">
        <f>_xlfn.IFNA(VLOOKUP(H14,'MCIA Corrective Actions'!$A$2:$R$1092,6,FALSE)," ")</f>
        <v xml:space="preserve"> </v>
      </c>
      <c r="P14" s="1"/>
    </row>
    <row r="15" spans="1:16" x14ac:dyDescent="0.25">
      <c r="A15" s="1">
        <v>56</v>
      </c>
      <c r="B15" s="108" t="str">
        <f>VLOOKUP($A15,Table1[['#]:[Vessel]],4,FALSE)</f>
        <v>Liberty Island</v>
      </c>
      <c r="C15" s="107">
        <f>VLOOKUP($A15,Table1[['#]:[Date]],3,FALSE)</f>
        <v>43154</v>
      </c>
      <c r="D15" s="3">
        <f>VLOOKUP($A15,Table1[['#]:[Hours]],7,FALSE)</f>
        <v>40</v>
      </c>
      <c r="E15" s="3" t="str">
        <f>VLOOKUP($A15,Table1[['#]:[System]],8,FALSE)&amp;" / "&amp;VLOOKUP($A15,Table1[['#]:[Subsystem]],9,FALSE)</f>
        <v>Jet Pump / Other</v>
      </c>
      <c r="F15" s="108" t="str">
        <f>VLOOKUP($A15,Table1[['#]:[Work Order '#]],10,FALSE)</f>
        <v>0847436</v>
      </c>
      <c r="G15" s="110" t="str">
        <f>VLOOKUP($A15,Table1[['#]:[Delay Log Notes]],11,FALSE)</f>
        <v>repairs to jet pump pipe and stern tubes while at dock</v>
      </c>
      <c r="H15" s="1" t="str">
        <f>_xlfn.IFNA(VLOOKUP(A15,'EDL Data'!$A$2:$M$1245,6,FALSE)," ")</f>
        <v>None</v>
      </c>
      <c r="I15" s="1" t="str">
        <f>_xlfn.IFNA(VLOOKUP(H15,'MCIA Cases'!$A$2:$R$1091,2,FALSE)," ")</f>
        <v xml:space="preserve"> </v>
      </c>
      <c r="J15" s="1" t="str">
        <f>_xlfn.IFNA(VLOOKUP(H15,'MCIA Cases'!$A$2:$R$1091,9,FALSE)," ")</f>
        <v xml:space="preserve"> </v>
      </c>
      <c r="K15" s="1" t="str">
        <f>_xlfn.IFNA(VLOOKUP(H15,'MCIA Cases'!$A$2:$R$1091,10,FALSE)," ")</f>
        <v xml:space="preserve"> </v>
      </c>
      <c r="L15" s="1" t="str">
        <f>_xlfn.IFNA(VLOOKUP(H15,'MCIA Cases'!$A$2:$R$1091,3,FALSE)," ")</f>
        <v xml:space="preserve"> </v>
      </c>
      <c r="M15" s="1" t="str">
        <f>IF(COUNTIF('MCIA Corrective Actions'!$A:$A,H15)=0," ",COUNTIF('MCIA Corrective Actions'!$A:$A,H15))</f>
        <v xml:space="preserve"> </v>
      </c>
      <c r="N15" s="1" t="str">
        <f>IF(COUNTIF('MCIA Corrective Actions'!$A:$A,H15)=0," ",COUNTIFS('MCIA Corrective Actions'!$A:$A,H15,'MCIA Corrective Actions'!N:N,"Yes"))</f>
        <v xml:space="preserve"> </v>
      </c>
      <c r="O15" s="1" t="str">
        <f>_xlfn.IFNA(VLOOKUP(H15,'MCIA Corrective Actions'!$A$2:$R$1092,6,FALSE)," ")</f>
        <v xml:space="preserve"> </v>
      </c>
      <c r="P15" s="1"/>
    </row>
    <row r="16" spans="1:16" ht="60" x14ac:dyDescent="0.25">
      <c r="A16" s="1">
        <v>57</v>
      </c>
      <c r="B16" s="108" t="str">
        <f>VLOOKUP($A16,Table1[['#]:[Vessel]],4,FALSE)</f>
        <v>Liberty Island</v>
      </c>
      <c r="C16" s="107">
        <f>VLOOKUP($A16,Table1[['#]:[Date]],3,FALSE)</f>
        <v>43157</v>
      </c>
      <c r="D16" s="3">
        <f>VLOOKUP($A16,Table1[['#]:[Hours]],7,FALSE)</f>
        <v>72.89</v>
      </c>
      <c r="E16" s="3" t="str">
        <f>VLOOKUP($A16,Table1[['#]:[System]],8,FALSE)&amp;" / "&amp;VLOOKUP($A16,Table1[['#]:[Subsystem]],9,FALSE)</f>
        <v>Generator Engine / Other</v>
      </c>
      <c r="F16" s="108" t="str">
        <f>VLOOKUP($A16,Table1[['#]:[Work Order '#]],10,FALSE)</f>
        <v>0847488</v>
      </c>
      <c r="G16" s="110" t="str">
        <f>VLOOKUP($A16,Table1[['#]:[Delay Log Notes]],11,FALSE)</f>
        <v>Generator not operating in safe parameters, since initial failure; many electronic systems have shown to be potenially compromised with mulitple fuses failing and vital systems not operating consistently</v>
      </c>
      <c r="H16" s="1" t="str">
        <f>_xlfn.IFNA(VLOOKUP(A16,'EDL Data'!$A$2:$M$1245,6,FALSE)," ")</f>
        <v>None</v>
      </c>
      <c r="I16" s="1" t="str">
        <f>_xlfn.IFNA(VLOOKUP(H16,'MCIA Cases'!$A$2:$R$1091,2,FALSE)," ")</f>
        <v xml:space="preserve"> </v>
      </c>
      <c r="J16" s="1" t="str">
        <f>_xlfn.IFNA(VLOOKUP(H16,'MCIA Cases'!$A$2:$R$1091,9,FALSE)," ")</f>
        <v xml:space="preserve"> </v>
      </c>
      <c r="K16" s="1" t="str">
        <f>_xlfn.IFNA(VLOOKUP(H16,'MCIA Cases'!$A$2:$R$1091,10,FALSE)," ")</f>
        <v xml:space="preserve"> </v>
      </c>
      <c r="L16" s="1" t="str">
        <f>_xlfn.IFNA(VLOOKUP(H16,'MCIA Cases'!$A$2:$R$1091,3,FALSE)," ")</f>
        <v xml:space="preserve"> </v>
      </c>
      <c r="M16" s="1" t="str">
        <f>IF(COUNTIF('MCIA Corrective Actions'!$A:$A,H16)=0," ",COUNTIF('MCIA Corrective Actions'!$A:$A,H16))</f>
        <v xml:space="preserve"> </v>
      </c>
      <c r="N16" s="1" t="str">
        <f>IF(COUNTIF('MCIA Corrective Actions'!$A:$A,H16)=0," ",COUNTIFS('MCIA Corrective Actions'!$A:$A,H16,'MCIA Corrective Actions'!N:N,"Yes"))</f>
        <v xml:space="preserve"> </v>
      </c>
      <c r="O16" s="1" t="str">
        <f>_xlfn.IFNA(VLOOKUP(H16,'MCIA Corrective Actions'!$A$2:$R$1092,6,FALSE)," ")</f>
        <v xml:space="preserve"> </v>
      </c>
      <c r="P16" s="1"/>
    </row>
    <row r="17" spans="1:16" x14ac:dyDescent="0.25">
      <c r="A17" s="1">
        <v>58</v>
      </c>
      <c r="B17" s="108" t="str">
        <f>VLOOKUP($A17,Table1[['#]:[Vessel]],4,FALSE)</f>
        <v>Ellis Island</v>
      </c>
      <c r="C17" s="107">
        <f>VLOOKUP($A17,Table1[['#]:[Date]],3,FALSE)</f>
        <v>43163</v>
      </c>
      <c r="D17" s="3">
        <f>VLOOKUP($A17,Table1[['#]:[Hours]],7,FALSE)</f>
        <v>43.89</v>
      </c>
      <c r="E17" s="3" t="str">
        <f>VLOOKUP($A17,Table1[['#]:[System]],8,FALSE)&amp;" / "&amp;VLOOKUP($A17,Table1[['#]:[Subsystem]],9,FALSE)</f>
        <v>Other / Electrical</v>
      </c>
      <c r="F17" s="108" t="str">
        <f>VLOOKUP($A17,Table1[['#]:[Work Order '#]],10,FALSE)</f>
        <v>N/A</v>
      </c>
      <c r="G17" s="110" t="str">
        <f>VLOOKUP($A17,Table1[['#]:[Delay Log Notes]],11,FALSE)</f>
        <v>Multidrive malfunction</v>
      </c>
      <c r="H17" s="1" t="str">
        <f>_xlfn.IFNA(VLOOKUP(A17,'EDL Data'!$A$2:$M$1245,6,FALSE)," ")</f>
        <v>None</v>
      </c>
      <c r="I17" s="1" t="str">
        <f>_xlfn.IFNA(VLOOKUP(H17,'MCIA Cases'!$A$2:$R$1091,2,FALSE)," ")</f>
        <v xml:space="preserve"> </v>
      </c>
      <c r="J17" s="1" t="str">
        <f>_xlfn.IFNA(VLOOKUP(H17,'MCIA Cases'!$A$2:$R$1091,9,FALSE)," ")</f>
        <v xml:space="preserve"> </v>
      </c>
      <c r="K17" s="1" t="str">
        <f>_xlfn.IFNA(VLOOKUP(H17,'MCIA Cases'!$A$2:$R$1091,10,FALSE)," ")</f>
        <v xml:space="preserve"> </v>
      </c>
      <c r="L17" s="1" t="str">
        <f>_xlfn.IFNA(VLOOKUP(H17,'MCIA Cases'!$A$2:$R$1091,3,FALSE)," ")</f>
        <v xml:space="preserve"> </v>
      </c>
      <c r="M17" s="1" t="str">
        <f>IF(COUNTIF('MCIA Corrective Actions'!$A:$A,H17)=0," ",COUNTIF('MCIA Corrective Actions'!$A:$A,H17))</f>
        <v xml:space="preserve"> </v>
      </c>
      <c r="N17" s="1" t="str">
        <f>IF(COUNTIF('MCIA Corrective Actions'!$A:$A,H17)=0," ",COUNTIFS('MCIA Corrective Actions'!$A:$A,H17,'MCIA Corrective Actions'!N:N,"Yes"))</f>
        <v xml:space="preserve"> </v>
      </c>
      <c r="O17" s="1" t="str">
        <f>_xlfn.IFNA(VLOOKUP(H17,'MCIA Corrective Actions'!$A$2:$R$1092,6,FALSE)," ")</f>
        <v xml:space="preserve"> </v>
      </c>
      <c r="P17" s="1"/>
    </row>
    <row r="18" spans="1:16" x14ac:dyDescent="0.25">
      <c r="A18" s="1">
        <v>59</v>
      </c>
      <c r="B18" s="108" t="str">
        <f>VLOOKUP($A18,Table1[['#]:[Vessel]],4,FALSE)</f>
        <v>Illinois</v>
      </c>
      <c r="C18" s="107">
        <f>VLOOKUP($A18,Table1[['#]:[Date]],3,FALSE)</f>
        <v>43164</v>
      </c>
      <c r="D18" s="3">
        <f>VLOOKUP($A18,Table1[['#]:[Hours]],7,FALSE)</f>
        <v>24.01</v>
      </c>
      <c r="E18" s="3" t="str">
        <f>VLOOKUP($A18,Table1[['#]:[System]],8,FALSE)&amp;" / "&amp;VLOOKUP($A18,Table1[['#]:[Subsystem]],9,FALSE)</f>
        <v>Spuds / Xmas Tree / Wires</v>
      </c>
      <c r="F18" s="108" t="str">
        <f>VLOOKUP($A18,Table1[['#]:[Work Order '#]],10,FALSE)</f>
        <v>N/A</v>
      </c>
      <c r="G18" s="110" t="str">
        <f>VLOOKUP($A18,Table1[['#]:[Delay Log Notes]],11,FALSE)</f>
        <v xml:space="preserve">Stern  </v>
      </c>
      <c r="H18" s="1" t="str">
        <f>_xlfn.IFNA(VLOOKUP(A18,'EDL Data'!$A$2:$M$1245,6,FALSE)," ")</f>
        <v>None</v>
      </c>
      <c r="I18" s="1" t="str">
        <f>_xlfn.IFNA(VLOOKUP(H18,'MCIA Cases'!$A$2:$R$1091,2,FALSE)," ")</f>
        <v xml:space="preserve"> </v>
      </c>
      <c r="J18" s="1" t="str">
        <f>_xlfn.IFNA(VLOOKUP(H18,'MCIA Cases'!$A$2:$R$1091,9,FALSE)," ")</f>
        <v xml:space="preserve"> </v>
      </c>
      <c r="K18" s="1" t="str">
        <f>_xlfn.IFNA(VLOOKUP(H18,'MCIA Cases'!$A$2:$R$1091,10,FALSE)," ")</f>
        <v xml:space="preserve"> </v>
      </c>
      <c r="L18" s="1" t="str">
        <f>_xlfn.IFNA(VLOOKUP(H18,'MCIA Cases'!$A$2:$R$1091,3,FALSE)," ")</f>
        <v xml:space="preserve"> </v>
      </c>
      <c r="M18" s="1" t="str">
        <f>IF(COUNTIF('MCIA Corrective Actions'!$A:$A,H18)=0," ",COUNTIF('MCIA Corrective Actions'!$A:$A,H18))</f>
        <v xml:space="preserve"> </v>
      </c>
      <c r="N18" s="1" t="str">
        <f>IF(COUNTIF('MCIA Corrective Actions'!$A:$A,H18)=0," ",COUNTIFS('MCIA Corrective Actions'!$A:$A,H18,'MCIA Corrective Actions'!N:N,"Yes"))</f>
        <v xml:space="preserve"> </v>
      </c>
      <c r="O18" s="1" t="str">
        <f>_xlfn.IFNA(VLOOKUP(H18,'MCIA Corrective Actions'!$A$2:$R$1092,6,FALSE)," ")</f>
        <v xml:space="preserve"> </v>
      </c>
      <c r="P18" s="1"/>
    </row>
    <row r="19" spans="1:16" x14ac:dyDescent="0.25">
      <c r="A19" s="1">
        <v>60</v>
      </c>
      <c r="B19" s="108" t="str">
        <f>VLOOKUP($A19,Table1[['#]:[Vessel]],4,FALSE)</f>
        <v>Alaska</v>
      </c>
      <c r="C19" s="107">
        <f>VLOOKUP($A19,Table1[['#]:[Date]],3,FALSE)</f>
        <v>43182</v>
      </c>
      <c r="D19" s="3">
        <f>VLOOKUP($A19,Table1[['#]:[Hours]],7,FALSE)</f>
        <v>25.63</v>
      </c>
      <c r="E19" s="3" t="str">
        <f>VLOOKUP($A19,Table1[['#]:[System]],8,FALSE)&amp;" / "&amp;VLOOKUP($A19,Table1[['#]:[Subsystem]],9,FALSE)</f>
        <v>Main Pump / Pump rebuild</v>
      </c>
      <c r="F19" s="108">
        <f>VLOOKUP($A19,Table1[['#]:[Work Order '#]],10,FALSE)</f>
        <v>1728032</v>
      </c>
      <c r="G19" s="110" t="str">
        <f>VLOOKUP($A19,Table1[['#]:[Delay Log Notes]],11,FALSE)</f>
        <v>None</v>
      </c>
      <c r="H19" s="1" t="str">
        <f>_xlfn.IFNA(VLOOKUP(A19,'EDL Data'!$A$2:$M$1245,6,FALSE)," ")</f>
        <v>None</v>
      </c>
      <c r="I19" s="1" t="str">
        <f>_xlfn.IFNA(VLOOKUP(H19,'MCIA Cases'!$A$2:$R$1091,2,FALSE)," ")</f>
        <v xml:space="preserve"> </v>
      </c>
      <c r="J19" s="1" t="str">
        <f>_xlfn.IFNA(VLOOKUP(H19,'MCIA Cases'!$A$2:$R$1091,9,FALSE)," ")</f>
        <v xml:space="preserve"> </v>
      </c>
      <c r="K19" s="1" t="str">
        <f>_xlfn.IFNA(VLOOKUP(H19,'MCIA Cases'!$A$2:$R$1091,10,FALSE)," ")</f>
        <v xml:space="preserve"> </v>
      </c>
      <c r="L19" s="1" t="str">
        <f>_xlfn.IFNA(VLOOKUP(H19,'MCIA Cases'!$A$2:$R$1091,3,FALSE)," ")</f>
        <v xml:space="preserve"> </v>
      </c>
      <c r="M19" s="1" t="str">
        <f>IF(COUNTIF('MCIA Corrective Actions'!$A:$A,H19)=0," ",COUNTIF('MCIA Corrective Actions'!$A:$A,H19))</f>
        <v xml:space="preserve"> </v>
      </c>
      <c r="N19" s="1" t="str">
        <f>IF(COUNTIF('MCIA Corrective Actions'!$A:$A,H19)=0," ",COUNTIFS('MCIA Corrective Actions'!$A:$A,H19,'MCIA Corrective Actions'!N:N,"Yes"))</f>
        <v xml:space="preserve"> </v>
      </c>
      <c r="O19" s="1" t="str">
        <f>_xlfn.IFNA(VLOOKUP(H19,'MCIA Corrective Actions'!$A$2:$R$1092,6,FALSE)," ")</f>
        <v xml:space="preserve"> </v>
      </c>
      <c r="P19" s="1"/>
    </row>
    <row r="20" spans="1:16" x14ac:dyDescent="0.25">
      <c r="A20" s="1">
        <v>61</v>
      </c>
      <c r="B20" s="108" t="str">
        <f>VLOOKUP($A20,Table1[['#]:[Vessel]],4,FALSE)</f>
        <v>Ellis Island</v>
      </c>
      <c r="C20" s="107">
        <f>VLOOKUP($A20,Table1[['#]:[Date]],3,FALSE)</f>
        <v>43184</v>
      </c>
      <c r="D20" s="3">
        <f>VLOOKUP($A20,Table1[['#]:[Hours]],7,FALSE)</f>
        <v>123.37</v>
      </c>
      <c r="E20" s="3" t="str">
        <f>VLOOKUP($A20,Table1[['#]:[System]],8,FALSE)&amp;" / "&amp;VLOOKUP($A20,Table1[['#]:[Subsystem]],9,FALSE)</f>
        <v>Bow Thruster Engine / Other</v>
      </c>
      <c r="F20" s="108" t="str">
        <f>VLOOKUP($A20,Table1[['#]:[Work Order '#]],10,FALSE)</f>
        <v>N/A</v>
      </c>
      <c r="G20" s="110" t="str">
        <f>VLOOKUP($A20,Table1[['#]:[Delay Log Notes]],11,FALSE)</f>
        <v>bow thruster 1 down</v>
      </c>
      <c r="H20" s="1" t="str">
        <f>_xlfn.IFNA(VLOOKUP(A20,'EDL Data'!$A$2:$M$1245,6,FALSE)," ")</f>
        <v>None</v>
      </c>
      <c r="I20" s="1" t="str">
        <f>_xlfn.IFNA(VLOOKUP(H20,'MCIA Cases'!$A$2:$R$1091,2,FALSE)," ")</f>
        <v xml:space="preserve"> </v>
      </c>
      <c r="J20" s="1" t="str">
        <f>_xlfn.IFNA(VLOOKUP(H20,'MCIA Cases'!$A$2:$R$1091,9,FALSE)," ")</f>
        <v xml:space="preserve"> </v>
      </c>
      <c r="K20" s="1" t="str">
        <f>_xlfn.IFNA(VLOOKUP(H20,'MCIA Cases'!$A$2:$R$1091,10,FALSE)," ")</f>
        <v xml:space="preserve"> </v>
      </c>
      <c r="L20" s="1" t="str">
        <f>_xlfn.IFNA(VLOOKUP(H20,'MCIA Cases'!$A$2:$R$1091,3,FALSE)," ")</f>
        <v xml:space="preserve"> </v>
      </c>
      <c r="M20" s="1" t="str">
        <f>IF(COUNTIF('MCIA Corrective Actions'!$A:$A,H20)=0," ",COUNTIF('MCIA Corrective Actions'!$A:$A,H20))</f>
        <v xml:space="preserve"> </v>
      </c>
      <c r="N20" s="1" t="str">
        <f>IF(COUNTIF('MCIA Corrective Actions'!$A:$A,H20)=0," ",COUNTIFS('MCIA Corrective Actions'!$A:$A,H20,'MCIA Corrective Actions'!N:N,"Yes"))</f>
        <v xml:space="preserve"> </v>
      </c>
      <c r="O20" s="1" t="str">
        <f>_xlfn.IFNA(VLOOKUP(H20,'MCIA Corrective Actions'!$A$2:$R$1092,6,FALSE)," ")</f>
        <v xml:space="preserve"> </v>
      </c>
      <c r="P20" s="1"/>
    </row>
    <row r="21" spans="1:16" x14ac:dyDescent="0.25">
      <c r="A21" s="1">
        <v>62</v>
      </c>
      <c r="B21" s="108" t="str">
        <f>VLOOKUP($A21,Table1[['#]:[Vessel]],4,FALSE)</f>
        <v>Carolina</v>
      </c>
      <c r="C21" s="107">
        <f>VLOOKUP($A21,Table1[['#]:[Date]],3,FALSE)</f>
        <v>43192</v>
      </c>
      <c r="D21" s="3">
        <f>VLOOKUP($A21,Table1[['#]:[Hours]],7,FALSE)</f>
        <v>91.61</v>
      </c>
      <c r="E21" s="3" t="str">
        <f>VLOOKUP($A21,Table1[['#]:[System]],8,FALSE)&amp;" / "&amp;VLOOKUP($A21,Table1[['#]:[Subsystem]],9,FALSE)</f>
        <v>Main Pump / Bearings/Shafts</v>
      </c>
      <c r="F21" s="108">
        <f>VLOOKUP($A21,Table1[['#]:[Work Order '#]],10,FALSE)</f>
        <v>4206218</v>
      </c>
      <c r="G21" s="110" t="str">
        <f>VLOOKUP($A21,Table1[['#]:[Delay Log Notes]],11,FALSE)</f>
        <v>None</v>
      </c>
      <c r="H21" s="1" t="str">
        <f>_xlfn.IFNA(VLOOKUP(A21,'EDL Data'!$A$2:$M$1245,6,FALSE)," ")</f>
        <v>None</v>
      </c>
      <c r="I21" s="1" t="str">
        <f>_xlfn.IFNA(VLOOKUP(H21,'MCIA Cases'!$A$2:$R$1091,2,FALSE)," ")</f>
        <v xml:space="preserve"> </v>
      </c>
      <c r="J21" s="1" t="str">
        <f>_xlfn.IFNA(VLOOKUP(H21,'MCIA Cases'!$A$2:$R$1091,9,FALSE)," ")</f>
        <v xml:space="preserve"> </v>
      </c>
      <c r="K21" s="1" t="str">
        <f>_xlfn.IFNA(VLOOKUP(H21,'MCIA Cases'!$A$2:$R$1091,10,FALSE)," ")</f>
        <v xml:space="preserve"> </v>
      </c>
      <c r="L21" s="1" t="str">
        <f>_xlfn.IFNA(VLOOKUP(H21,'MCIA Cases'!$A$2:$R$1091,3,FALSE)," ")</f>
        <v xml:space="preserve"> </v>
      </c>
      <c r="M21" s="1" t="str">
        <f>IF(COUNTIF('MCIA Corrective Actions'!$A:$A,H21)=0," ",COUNTIF('MCIA Corrective Actions'!$A:$A,H21))</f>
        <v xml:space="preserve"> </v>
      </c>
      <c r="N21" s="1" t="str">
        <f>IF(COUNTIF('MCIA Corrective Actions'!$A:$A,H21)=0," ",COUNTIFS('MCIA Corrective Actions'!$A:$A,H21,'MCIA Corrective Actions'!N:N,"Yes"))</f>
        <v xml:space="preserve"> </v>
      </c>
      <c r="O21" s="1" t="str">
        <f>_xlfn.IFNA(VLOOKUP(H21,'MCIA Corrective Actions'!$A$2:$R$1092,6,FALSE)," ")</f>
        <v xml:space="preserve"> </v>
      </c>
      <c r="P21" s="1"/>
    </row>
    <row r="22" spans="1:16" x14ac:dyDescent="0.25">
      <c r="A22" s="1">
        <v>63</v>
      </c>
      <c r="B22" s="108">
        <f>VLOOKUP($A22,Table1[['#]:[Vessel]],4,FALSE)</f>
        <v>53</v>
      </c>
      <c r="C22" s="107">
        <f>VLOOKUP($A22,Table1[['#]:[Date]],3,FALSE)</f>
        <v>43193</v>
      </c>
      <c r="D22" s="3">
        <f>VLOOKUP($A22,Table1[['#]:[Hours]],7,FALSE)</f>
        <v>29.52</v>
      </c>
      <c r="E22" s="3" t="str">
        <f>VLOOKUP($A22,Table1[['#]:[System]],8,FALSE)&amp;" / "&amp;VLOOKUP($A22,Table1[['#]:[Subsystem]],9,FALSE)</f>
        <v>Main / Aux. Generators / Main Generator</v>
      </c>
      <c r="F22" s="108">
        <f>VLOOKUP($A22,Table1[['#]:[Work Order '#]],10,FALSE)</f>
        <v>4206415</v>
      </c>
      <c r="G22" s="110" t="str">
        <f>VLOOKUP($A22,Table1[['#]:[Delay Log Notes]],11,FALSE)</f>
        <v>None</v>
      </c>
      <c r="H22" s="1">
        <f>_xlfn.IFNA(VLOOKUP(A22,'EDL Data'!$A$2:$M$1245,6,FALSE)," ")</f>
        <v>246</v>
      </c>
      <c r="I22" s="1" t="str">
        <f>_xlfn.IFNA(VLOOKUP(H22,'MCIA Cases'!$A$2:$R$1091,2,FALSE)," ")</f>
        <v>Dredge 53 Boom Hoist Gear Box Failure</v>
      </c>
      <c r="J22" s="1">
        <f>_xlfn.IFNA(VLOOKUP(H22,'MCIA Cases'!$A$2:$R$1091,9,FALSE)," ")</f>
        <v>0</v>
      </c>
      <c r="K22" s="1">
        <f>_xlfn.IFNA(VLOOKUP(H22,'MCIA Cases'!$A$2:$R$1091,10,FALSE)," ")</f>
        <v>0</v>
      </c>
      <c r="L22" s="1" t="str">
        <f>_xlfn.IFNA(VLOOKUP(H22,'MCIA Cases'!$A$2:$R$1091,3,FALSE)," ")</f>
        <v>Michael Jimenez</v>
      </c>
      <c r="M22" s="1">
        <f>IF(COUNTIF('MCIA Corrective Actions'!$A:$A,H22)=0," ",COUNTIF('MCIA Corrective Actions'!$A:$A,H22))</f>
        <v>4</v>
      </c>
      <c r="N22" s="1">
        <f>IF(COUNTIF('MCIA Corrective Actions'!$A:$A,H22)=0," ",COUNTIFS('MCIA Corrective Actions'!$A:$A,H22,'MCIA Corrective Actions'!N:N,"Yes"))</f>
        <v>4</v>
      </c>
      <c r="O22" s="1" t="str">
        <f>_xlfn.IFNA(VLOOKUP(H22,'MCIA Corrective Actions'!$A$2:$R$1092,6,FALSE)," ")</f>
        <v>Andrew Larkin</v>
      </c>
      <c r="P22" s="1"/>
    </row>
    <row r="23" spans="1:16" x14ac:dyDescent="0.25">
      <c r="A23" s="1">
        <v>64</v>
      </c>
      <c r="B23" s="108" t="str">
        <f>VLOOKUP($A23,Table1[['#]:[Vessel]],4,FALSE)</f>
        <v>Ellis Island</v>
      </c>
      <c r="C23" s="107">
        <f>VLOOKUP($A23,Table1[['#]:[Date]],3,FALSE)</f>
        <v>43201</v>
      </c>
      <c r="D23" s="3">
        <f>VLOOKUP($A23,Table1[['#]:[Hours]],7,FALSE)</f>
        <v>35.4</v>
      </c>
      <c r="E23" s="3" t="str">
        <f>VLOOKUP($A23,Table1[['#]:[System]],8,FALSE)&amp;" / "&amp;VLOOKUP($A23,Table1[['#]:[Subsystem]],9,FALSE)</f>
        <v>Dredge Pump / Clutch</v>
      </c>
      <c r="F23" s="108" t="str">
        <f>VLOOKUP($A23,Table1[['#]:[Work Order '#]],10,FALSE)</f>
        <v>N/A</v>
      </c>
      <c r="G23" s="110" t="str">
        <f>VLOOKUP($A23,Table1[['#]:[Delay Log Notes]],11,FALSE)</f>
        <v>None</v>
      </c>
      <c r="H23" s="1" t="str">
        <f>_xlfn.IFNA(VLOOKUP(A23,'EDL Data'!$A$2:$M$1245,6,FALSE)," ")</f>
        <v>None</v>
      </c>
      <c r="I23" s="1" t="str">
        <f>_xlfn.IFNA(VLOOKUP(H23,'MCIA Cases'!$A$2:$R$1091,2,FALSE)," ")</f>
        <v xml:space="preserve"> </v>
      </c>
      <c r="J23" s="1" t="str">
        <f>_xlfn.IFNA(VLOOKUP(H23,'MCIA Cases'!$A$2:$R$1091,9,FALSE)," ")</f>
        <v xml:space="preserve"> </v>
      </c>
      <c r="K23" s="1" t="str">
        <f>_xlfn.IFNA(VLOOKUP(H23,'MCIA Cases'!$A$2:$R$1091,10,FALSE)," ")</f>
        <v xml:space="preserve"> </v>
      </c>
      <c r="L23" s="1" t="str">
        <f>_xlfn.IFNA(VLOOKUP(H23,'MCIA Cases'!$A$2:$R$1091,3,FALSE)," ")</f>
        <v xml:space="preserve"> </v>
      </c>
      <c r="M23" s="1" t="str">
        <f>IF(COUNTIF('MCIA Corrective Actions'!$A:$A,H23)=0," ",COUNTIF('MCIA Corrective Actions'!$A:$A,H23))</f>
        <v xml:space="preserve"> </v>
      </c>
      <c r="N23" s="1" t="str">
        <f>IF(COUNTIF('MCIA Corrective Actions'!$A:$A,H23)=0," ",COUNTIFS('MCIA Corrective Actions'!$A:$A,H23,'MCIA Corrective Actions'!N:N,"Yes"))</f>
        <v xml:space="preserve"> </v>
      </c>
      <c r="O23" s="1" t="str">
        <f>_xlfn.IFNA(VLOOKUP(H23,'MCIA Corrective Actions'!$A$2:$R$1092,6,FALSE)," ")</f>
        <v xml:space="preserve"> </v>
      </c>
      <c r="P23" s="1"/>
    </row>
    <row r="24" spans="1:16" x14ac:dyDescent="0.25">
      <c r="A24" s="1">
        <v>65</v>
      </c>
      <c r="B24" s="108" t="str">
        <f>VLOOKUP($A24,Table1[['#]:[Vessel]],4,FALSE)</f>
        <v>Alaska</v>
      </c>
      <c r="C24" s="107">
        <f>VLOOKUP($A24,Table1[['#]:[Date]],3,FALSE)</f>
        <v>43207</v>
      </c>
      <c r="D24" s="3">
        <f>VLOOKUP($A24,Table1[['#]:[Hours]],7,FALSE)</f>
        <v>46.52</v>
      </c>
      <c r="E24" s="3" t="str">
        <f>VLOOKUP($A24,Table1[['#]:[System]],8,FALSE)&amp;" / "&amp;VLOOKUP($A24,Table1[['#]:[Subsystem]],9,FALSE)</f>
        <v>Suction / Discharge Pipe / Dredge Pipeline</v>
      </c>
      <c r="F24" s="108">
        <f>VLOOKUP($A24,Table1[['#]:[Work Order '#]],10,FALSE)</f>
        <v>1706604</v>
      </c>
      <c r="G24" s="110" t="str">
        <f>VLOOKUP($A24,Table1[['#]:[Delay Log Notes]],11,FALSE)</f>
        <v>broken spool piece on Vosta</v>
      </c>
      <c r="H24" s="1" t="str">
        <f>_xlfn.IFNA(VLOOKUP(A24,'EDL Data'!$A$2:$M$1245,6,FALSE)," ")</f>
        <v>None</v>
      </c>
      <c r="I24" s="1" t="str">
        <f>_xlfn.IFNA(VLOOKUP(H24,'MCIA Cases'!$A$2:$R$1091,2,FALSE)," ")</f>
        <v xml:space="preserve"> </v>
      </c>
      <c r="J24" s="1" t="str">
        <f>_xlfn.IFNA(VLOOKUP(H24,'MCIA Cases'!$A$2:$R$1091,9,FALSE)," ")</f>
        <v xml:space="preserve"> </v>
      </c>
      <c r="K24" s="1" t="str">
        <f>_xlfn.IFNA(VLOOKUP(H24,'MCIA Cases'!$A$2:$R$1091,10,FALSE)," ")</f>
        <v xml:space="preserve"> </v>
      </c>
      <c r="L24" s="1" t="str">
        <f>_xlfn.IFNA(VLOOKUP(H24,'MCIA Cases'!$A$2:$R$1091,3,FALSE)," ")</f>
        <v xml:space="preserve"> </v>
      </c>
      <c r="M24" s="1" t="str">
        <f>IF(COUNTIF('MCIA Corrective Actions'!$A:$A,H24)=0," ",COUNTIF('MCIA Corrective Actions'!$A:$A,H24))</f>
        <v xml:space="preserve"> </v>
      </c>
      <c r="N24" s="1" t="str">
        <f>IF(COUNTIF('MCIA Corrective Actions'!$A:$A,H24)=0," ",COUNTIFS('MCIA Corrective Actions'!$A:$A,H24,'MCIA Corrective Actions'!N:N,"Yes"))</f>
        <v xml:space="preserve"> </v>
      </c>
      <c r="O24" s="1" t="str">
        <f>_xlfn.IFNA(VLOOKUP(H24,'MCIA Corrective Actions'!$A$2:$R$1092,6,FALSE)," ")</f>
        <v xml:space="preserve"> </v>
      </c>
      <c r="P24" s="1"/>
    </row>
    <row r="25" spans="1:16" x14ac:dyDescent="0.25">
      <c r="A25" s="1">
        <v>66</v>
      </c>
      <c r="B25" s="108">
        <f>VLOOKUP($A25,Table1[['#]:[Vessel]],4,FALSE)</f>
        <v>53</v>
      </c>
      <c r="C25" s="107">
        <f>VLOOKUP($A25,Table1[['#]:[Date]],3,FALSE)</f>
        <v>43211</v>
      </c>
      <c r="D25" s="3">
        <f>VLOOKUP($A25,Table1[['#]:[Hours]],7,FALSE)</f>
        <v>59.1</v>
      </c>
      <c r="E25" s="3" t="str">
        <f>VLOOKUP($A25,Table1[['#]:[System]],8,FALSE)&amp;" / "&amp;VLOOKUP($A25,Table1[['#]:[Subsystem]],9,FALSE)</f>
        <v>Electrical/Electronics / PLC</v>
      </c>
      <c r="F25" s="108">
        <f>VLOOKUP($A25,Table1[['#]:[Work Order '#]],10,FALSE)</f>
        <v>4206760</v>
      </c>
      <c r="G25" s="110" t="str">
        <f>VLOOKUP($A25,Table1[['#]:[Delay Log Notes]],11,FALSE)</f>
        <v>Holding brake wont release</v>
      </c>
      <c r="H25" s="1">
        <f>_xlfn.IFNA(VLOOKUP(A25,'EDL Data'!$A$2:$M$1245,6,FALSE)," ")</f>
        <v>240</v>
      </c>
      <c r="I25" s="1" t="str">
        <f>_xlfn.IFNA(VLOOKUP(H25,'MCIA Cases'!$A$2:$R$1091,2,FALSE)," ")</f>
        <v>DR 53 - Reactor Failure</v>
      </c>
      <c r="J25" s="1">
        <f>_xlfn.IFNA(VLOOKUP(H25,'MCIA Cases'!$A$2:$R$1091,9,FALSE)," ")</f>
        <v>0</v>
      </c>
      <c r="K25" s="1">
        <f>_xlfn.IFNA(VLOOKUP(H25,'MCIA Cases'!$A$2:$R$1091,10,FALSE)," ")</f>
        <v>0</v>
      </c>
      <c r="L25" s="1" t="str">
        <f>_xlfn.IFNA(VLOOKUP(H25,'MCIA Cases'!$A$2:$R$1091,3,FALSE)," ")</f>
        <v>Andrew Larkin</v>
      </c>
      <c r="M25" s="1">
        <f>IF(COUNTIF('MCIA Corrective Actions'!$A:$A,H25)=0," ",COUNTIF('MCIA Corrective Actions'!$A:$A,H25))</f>
        <v>2</v>
      </c>
      <c r="N25" s="1">
        <f>IF(COUNTIF('MCIA Corrective Actions'!$A:$A,H25)=0," ",COUNTIFS('MCIA Corrective Actions'!$A:$A,H25,'MCIA Corrective Actions'!N:N,"Yes"))</f>
        <v>2</v>
      </c>
      <c r="O25" s="1" t="str">
        <f>_xlfn.IFNA(VLOOKUP(H25,'MCIA Corrective Actions'!$A$2:$R$1092,6,FALSE)," ")</f>
        <v>Andrew Larkin</v>
      </c>
      <c r="P25" s="1"/>
    </row>
    <row r="26" spans="1:16" x14ac:dyDescent="0.25">
      <c r="A26" s="1">
        <v>67</v>
      </c>
      <c r="B26" s="108" t="str">
        <f>VLOOKUP($A26,Table1[['#]:[Vessel]],4,FALSE)</f>
        <v>Padre Island</v>
      </c>
      <c r="C26" s="107">
        <f>VLOOKUP($A26,Table1[['#]:[Date]],3,FALSE)</f>
        <v>43220</v>
      </c>
      <c r="D26" s="3">
        <f>VLOOKUP($A26,Table1[['#]:[Hours]],7,FALSE)</f>
        <v>83.43</v>
      </c>
      <c r="E26" s="3" t="str">
        <f>VLOOKUP($A26,Table1[['#]:[System]],8,FALSE)&amp;" / "&amp;VLOOKUP($A26,Table1[['#]:[Subsystem]],9,FALSE)</f>
        <v>Dredge Pump / Pump Bearing Assembly</v>
      </c>
      <c r="F26" s="108">
        <f>VLOOKUP($A26,Table1[['#]:[Work Order '#]],10,FALSE)</f>
        <v>1988925</v>
      </c>
      <c r="G26" s="110" t="str">
        <f>VLOOKUP($A26,Table1[['#]:[Delay Log Notes]],11,FALSE)</f>
        <v>line shaft bearing coupling</v>
      </c>
      <c r="H26" s="1">
        <f>_xlfn.IFNA(VLOOKUP(A26,'EDL Data'!$A$2:$M$1245,6,FALSE)," ")</f>
        <v>242</v>
      </c>
      <c r="I26" s="1" t="str">
        <f>_xlfn.IFNA(VLOOKUP(H26,'MCIA Cases'!$A$2:$R$1091,2,FALSE)," ")</f>
        <v>Padre Island Dredge Pump Coupling Failure</v>
      </c>
      <c r="J26" s="1">
        <f>_xlfn.IFNA(VLOOKUP(H26,'MCIA Cases'!$A$2:$R$1091,9,FALSE)," ")</f>
        <v>0</v>
      </c>
      <c r="K26" s="1">
        <f>_xlfn.IFNA(VLOOKUP(H26,'MCIA Cases'!$A$2:$R$1091,10,FALSE)," ")</f>
        <v>0</v>
      </c>
      <c r="L26" s="1" t="str">
        <f>_xlfn.IFNA(VLOOKUP(H26,'MCIA Cases'!$A$2:$R$1091,3,FALSE)," ")</f>
        <v>James M Walker</v>
      </c>
      <c r="M26" s="1">
        <f>IF(COUNTIF('MCIA Corrective Actions'!$A:$A,H26)=0," ",COUNTIF('MCIA Corrective Actions'!$A:$A,H26))</f>
        <v>1</v>
      </c>
      <c r="N26" s="1">
        <f>IF(COUNTIF('MCIA Corrective Actions'!$A:$A,H26)=0," ",COUNTIFS('MCIA Corrective Actions'!$A:$A,H26,'MCIA Corrective Actions'!N:N,"Yes"))</f>
        <v>0</v>
      </c>
      <c r="O26" s="1" t="str">
        <f>_xlfn.IFNA(VLOOKUP(H26,'MCIA Corrective Actions'!$A$2:$R$1092,6,FALSE)," ")</f>
        <v>Mike Kraljevic</v>
      </c>
      <c r="P26" s="1"/>
    </row>
    <row r="27" spans="1:16" x14ac:dyDescent="0.25">
      <c r="A27" s="1">
        <v>68</v>
      </c>
      <c r="B27" s="108" t="str">
        <f>VLOOKUP($A27,Table1[['#]:[Vessel]],4,FALSE)</f>
        <v>Ellis Island</v>
      </c>
      <c r="C27" s="107">
        <f>VLOOKUP($A27,Table1[['#]:[Date]],3,FALSE)</f>
        <v>43221</v>
      </c>
      <c r="D27" s="3">
        <f>VLOOKUP($A27,Table1[['#]:[Hours]],7,FALSE)</f>
        <v>75.89</v>
      </c>
      <c r="E27" s="3" t="str">
        <f>VLOOKUP($A27,Table1[['#]:[System]],8,FALSE)&amp;" / "&amp;VLOOKUP($A27,Table1[['#]:[Subsystem]],9,FALSE)</f>
        <v>Generator Engine / Other</v>
      </c>
      <c r="F27" s="108" t="str">
        <f>VLOOKUP($A27,Table1[['#]:[Work Order '#]],10,FALSE)</f>
        <v>N/A</v>
      </c>
      <c r="G27" s="110" t="str">
        <f>VLOOKUP($A27,Table1[['#]:[Delay Log Notes]],11,FALSE)</f>
        <v>None</v>
      </c>
      <c r="H27" s="1" t="str">
        <f>_xlfn.IFNA(VLOOKUP(A27,'EDL Data'!$A$2:$M$1245,6,FALSE)," ")</f>
        <v>None</v>
      </c>
      <c r="I27" s="1" t="str">
        <f>_xlfn.IFNA(VLOOKUP(H27,'MCIA Cases'!$A$2:$R$1091,2,FALSE)," ")</f>
        <v xml:space="preserve"> </v>
      </c>
      <c r="J27" s="1" t="str">
        <f>_xlfn.IFNA(VLOOKUP(H27,'MCIA Cases'!$A$2:$R$1091,9,FALSE)," ")</f>
        <v xml:space="preserve"> </v>
      </c>
      <c r="K27" s="1" t="str">
        <f>_xlfn.IFNA(VLOOKUP(H27,'MCIA Cases'!$A$2:$R$1091,10,FALSE)," ")</f>
        <v xml:space="preserve"> </v>
      </c>
      <c r="L27" s="1" t="str">
        <f>_xlfn.IFNA(VLOOKUP(H27,'MCIA Cases'!$A$2:$R$1091,3,FALSE)," ")</f>
        <v xml:space="preserve"> </v>
      </c>
      <c r="M27" s="1" t="str">
        <f>IF(COUNTIF('MCIA Corrective Actions'!$A:$A,H27)=0," ",COUNTIF('MCIA Corrective Actions'!$A:$A,H27))</f>
        <v xml:space="preserve"> </v>
      </c>
      <c r="N27" s="1" t="str">
        <f>IF(COUNTIF('MCIA Corrective Actions'!$A:$A,H27)=0," ",COUNTIFS('MCIA Corrective Actions'!$A:$A,H27,'MCIA Corrective Actions'!N:N,"Yes"))</f>
        <v xml:space="preserve"> </v>
      </c>
      <c r="O27" s="1" t="str">
        <f>_xlfn.IFNA(VLOOKUP(H27,'MCIA Corrective Actions'!$A$2:$R$1092,6,FALSE)," ")</f>
        <v xml:space="preserve"> </v>
      </c>
      <c r="P27" s="1"/>
    </row>
    <row r="28" spans="1:16" x14ac:dyDescent="0.25">
      <c r="A28" s="1">
        <v>69</v>
      </c>
      <c r="B28" s="108" t="str">
        <f>VLOOKUP($A28,Table1[['#]:[Vessel]],4,FALSE)</f>
        <v>Carolina</v>
      </c>
      <c r="C28" s="107">
        <f>VLOOKUP($A28,Table1[['#]:[Date]],3,FALSE)</f>
        <v>43222</v>
      </c>
      <c r="D28" s="3">
        <f>VLOOKUP($A28,Table1[['#]:[Hours]],7,FALSE)</f>
        <v>514.20000000000005</v>
      </c>
      <c r="E28" s="3" t="str">
        <f>VLOOKUP($A28,Table1[['#]:[System]],8,FALSE)&amp;" / "&amp;VLOOKUP($A28,Table1[['#]:[Subsystem]],9,FALSE)</f>
        <v>Cutter / Gear Box (Cutter Shaft)</v>
      </c>
      <c r="F28" s="108">
        <f>VLOOKUP($A28,Table1[['#]:[Work Order '#]],10,FALSE)</f>
        <v>4038139</v>
      </c>
      <c r="G28" s="110" t="str">
        <f>VLOOKUP($A28,Table1[['#]:[Delay Log Notes]],11,FALSE)</f>
        <v>None</v>
      </c>
      <c r="H28" s="1">
        <f>_xlfn.IFNA(VLOOKUP(A28,'EDL Data'!$A$2:$M$1245,6,FALSE)," ")</f>
        <v>243</v>
      </c>
      <c r="I28" s="1" t="str">
        <f>_xlfn.IFNA(VLOOKUP(H28,'MCIA Cases'!$A$2:$R$1091,2,FALSE)," ")</f>
        <v>Dredge Carolina cutter gearbox failure May 2018</v>
      </c>
      <c r="J28" s="1">
        <f>_xlfn.IFNA(VLOOKUP(H28,'MCIA Cases'!$A$2:$R$1091,9,FALSE)," ")</f>
        <v>0</v>
      </c>
      <c r="K28" s="1">
        <f>_xlfn.IFNA(VLOOKUP(H28,'MCIA Cases'!$A$2:$R$1091,10,FALSE)," ")</f>
        <v>0</v>
      </c>
      <c r="L28" s="1" t="str">
        <f>_xlfn.IFNA(VLOOKUP(H28,'MCIA Cases'!$A$2:$R$1091,3,FALSE)," ")</f>
        <v>Bill Baumann</v>
      </c>
      <c r="M28" s="1">
        <f>IF(COUNTIF('MCIA Corrective Actions'!$A:$A,H28)=0," ",COUNTIF('MCIA Corrective Actions'!$A:$A,H28))</f>
        <v>4</v>
      </c>
      <c r="N28" s="1">
        <f>IF(COUNTIF('MCIA Corrective Actions'!$A:$A,H28)=0," ",COUNTIFS('MCIA Corrective Actions'!$A:$A,H28,'MCIA Corrective Actions'!N:N,"Yes"))</f>
        <v>4</v>
      </c>
      <c r="O28" s="1" t="str">
        <f>_xlfn.IFNA(VLOOKUP(H28,'MCIA Corrective Actions'!$A$2:$R$1092,6,FALSE)," ")</f>
        <v>James C Gillespie</v>
      </c>
      <c r="P28" s="1"/>
    </row>
    <row r="29" spans="1:16" x14ac:dyDescent="0.25">
      <c r="A29" s="1">
        <v>70</v>
      </c>
      <c r="B29" s="108">
        <f>VLOOKUP($A29,Table1[['#]:[Vessel]],4,FALSE)</f>
        <v>53</v>
      </c>
      <c r="C29" s="107">
        <f>VLOOKUP($A29,Table1[['#]:[Date]],3,FALSE)</f>
        <v>43237</v>
      </c>
      <c r="D29" s="3">
        <f>VLOOKUP($A29,Table1[['#]:[Hours]],7,FALSE)</f>
        <v>401.61</v>
      </c>
      <c r="E29" s="3" t="str">
        <f>VLOOKUP($A29,Table1[['#]:[System]],8,FALSE)&amp;" / "&amp;VLOOKUP($A29,Table1[['#]:[Subsystem]],9,FALSE)</f>
        <v>Crane Boom / Boom / Gantry Structure</v>
      </c>
      <c r="F29" s="108">
        <f>VLOOKUP($A29,Table1[['#]:[Work Order '#]],10,FALSE)</f>
        <v>4207327</v>
      </c>
      <c r="G29" s="110" t="str">
        <f>VLOOKUP($A29,Table1[['#]:[Delay Log Notes]],11,FALSE)</f>
        <v>Boom Collapse</v>
      </c>
      <c r="H29" s="1" t="str">
        <f>_xlfn.IFNA(VLOOKUP(A29,'EDL Data'!$A$2:$M$1245,6,FALSE)," ")</f>
        <v>None</v>
      </c>
      <c r="I29" s="1" t="str">
        <f>_xlfn.IFNA(VLOOKUP(H29,'MCIA Cases'!$A$2:$R$1091,2,FALSE)," ")</f>
        <v xml:space="preserve"> </v>
      </c>
      <c r="J29" s="1" t="str">
        <f>_xlfn.IFNA(VLOOKUP(H29,'MCIA Cases'!$A$2:$R$1091,9,FALSE)," ")</f>
        <v xml:space="preserve"> </v>
      </c>
      <c r="K29" s="1" t="str">
        <f>_xlfn.IFNA(VLOOKUP(H29,'MCIA Cases'!$A$2:$R$1091,10,FALSE)," ")</f>
        <v xml:space="preserve"> </v>
      </c>
      <c r="L29" s="1" t="str">
        <f>_xlfn.IFNA(VLOOKUP(H29,'MCIA Cases'!$A$2:$R$1091,3,FALSE)," ")</f>
        <v xml:space="preserve"> </v>
      </c>
      <c r="M29" s="1" t="str">
        <f>IF(COUNTIF('MCIA Corrective Actions'!$A:$A,H29)=0," ",COUNTIF('MCIA Corrective Actions'!$A:$A,H29))</f>
        <v xml:space="preserve"> </v>
      </c>
      <c r="N29" s="1" t="str">
        <f>IF(COUNTIF('MCIA Corrective Actions'!$A:$A,H29)=0," ",COUNTIFS('MCIA Corrective Actions'!$A:$A,H29,'MCIA Corrective Actions'!N:N,"Yes"))</f>
        <v xml:space="preserve"> </v>
      </c>
      <c r="O29" s="1" t="str">
        <f>_xlfn.IFNA(VLOOKUP(H29,'MCIA Corrective Actions'!$A$2:$R$1092,6,FALSE)," ")</f>
        <v xml:space="preserve"> </v>
      </c>
      <c r="P29" s="1"/>
    </row>
    <row r="30" spans="1:16" x14ac:dyDescent="0.25">
      <c r="A30" s="1">
        <v>71</v>
      </c>
      <c r="B30" s="108" t="str">
        <f>VLOOKUP($A30,Table1[['#]:[Vessel]],4,FALSE)</f>
        <v>Padre Island</v>
      </c>
      <c r="C30" s="107">
        <f>VLOOKUP($A30,Table1[['#]:[Date]],3,FALSE)</f>
        <v>43241</v>
      </c>
      <c r="D30" s="3">
        <f>VLOOKUP($A30,Table1[['#]:[Hours]],7,FALSE)</f>
        <v>34.46</v>
      </c>
      <c r="E30" s="3" t="str">
        <f>VLOOKUP($A30,Table1[['#]:[System]],8,FALSE)&amp;" / "&amp;VLOOKUP($A30,Table1[['#]:[Subsystem]],9,FALSE)</f>
        <v>Dredge Pump / Pump Bearing Assembly</v>
      </c>
      <c r="F30" s="108">
        <f>VLOOKUP($A30,Table1[['#]:[Work Order '#]],10,FALSE)</f>
        <v>1989070</v>
      </c>
      <c r="G30" s="110" t="str">
        <f>VLOOKUP($A30,Table1[['#]:[Delay Log Notes]],11,FALSE)</f>
        <v>None</v>
      </c>
      <c r="H30" s="1" t="str">
        <f>_xlfn.IFNA(VLOOKUP(A30,'EDL Data'!$A$2:$M$1245,6,FALSE)," ")</f>
        <v>None</v>
      </c>
      <c r="I30" s="1" t="str">
        <f>_xlfn.IFNA(VLOOKUP(H30,'MCIA Cases'!$A$2:$R$1091,2,FALSE)," ")</f>
        <v xml:space="preserve"> </v>
      </c>
      <c r="J30" s="1" t="str">
        <f>_xlfn.IFNA(VLOOKUP(H30,'MCIA Cases'!$A$2:$R$1091,9,FALSE)," ")</f>
        <v xml:space="preserve"> </v>
      </c>
      <c r="K30" s="1" t="str">
        <f>_xlfn.IFNA(VLOOKUP(H30,'MCIA Cases'!$A$2:$R$1091,10,FALSE)," ")</f>
        <v xml:space="preserve"> </v>
      </c>
      <c r="L30" s="1" t="str">
        <f>_xlfn.IFNA(VLOOKUP(H30,'MCIA Cases'!$A$2:$R$1091,3,FALSE)," ")</f>
        <v xml:space="preserve"> </v>
      </c>
      <c r="M30" s="1" t="str">
        <f>IF(COUNTIF('MCIA Corrective Actions'!$A:$A,H30)=0," ",COUNTIF('MCIA Corrective Actions'!$A:$A,H30))</f>
        <v xml:space="preserve"> </v>
      </c>
      <c r="N30" s="1" t="str">
        <f>IF(COUNTIF('MCIA Corrective Actions'!$A:$A,H30)=0," ",COUNTIFS('MCIA Corrective Actions'!$A:$A,H30,'MCIA Corrective Actions'!N:N,"Yes"))</f>
        <v xml:space="preserve"> </v>
      </c>
      <c r="O30" s="1" t="str">
        <f>_xlfn.IFNA(VLOOKUP(H30,'MCIA Corrective Actions'!$A$2:$R$1092,6,FALSE)," ")</f>
        <v xml:space="preserve"> </v>
      </c>
      <c r="P30" s="1"/>
    </row>
    <row r="31" spans="1:16" x14ac:dyDescent="0.25">
      <c r="A31" s="1">
        <v>72</v>
      </c>
      <c r="B31" s="108" t="str">
        <f>VLOOKUP($A31,Table1[['#]:[Vessel]],4,FALSE)</f>
        <v>Liberty Island</v>
      </c>
      <c r="C31" s="107">
        <f>VLOOKUP($A31,Table1[['#]:[Date]],3,FALSE)</f>
        <v>43242</v>
      </c>
      <c r="D31" s="3">
        <f>VLOOKUP($A31,Table1[['#]:[Hours]],7,FALSE)</f>
        <v>532.27</v>
      </c>
      <c r="E31" s="3" t="str">
        <f>VLOOKUP($A31,Table1[['#]:[System]],8,FALSE)&amp;" / "&amp;VLOOKUP($A31,Table1[['#]:[Subsystem]],9,FALSE)</f>
        <v>Main Engine / Propulsion / Propeller</v>
      </c>
      <c r="F31" s="108" t="str">
        <f>VLOOKUP($A31,Table1[['#]:[Work Order '#]],10,FALSE)</f>
        <v>None</v>
      </c>
      <c r="G31" s="110" t="str">
        <f>VLOOKUP($A31,Table1[['#]:[Delay Log Notes]],11,FALSE)</f>
        <v>None</v>
      </c>
      <c r="H31" s="1" t="str">
        <f>_xlfn.IFNA(VLOOKUP(A31,'EDL Data'!$A$2:$M$1245,6,FALSE)," ")</f>
        <v>None</v>
      </c>
      <c r="I31" s="1" t="str">
        <f>_xlfn.IFNA(VLOOKUP(H31,'MCIA Cases'!$A$2:$R$1091,2,FALSE)," ")</f>
        <v xml:space="preserve"> </v>
      </c>
      <c r="J31" s="1" t="str">
        <f>_xlfn.IFNA(VLOOKUP(H31,'MCIA Cases'!$A$2:$R$1091,9,FALSE)," ")</f>
        <v xml:space="preserve"> </v>
      </c>
      <c r="K31" s="1" t="str">
        <f>_xlfn.IFNA(VLOOKUP(H31,'MCIA Cases'!$A$2:$R$1091,10,FALSE)," ")</f>
        <v xml:space="preserve"> </v>
      </c>
      <c r="L31" s="1" t="str">
        <f>_xlfn.IFNA(VLOOKUP(H31,'MCIA Cases'!$A$2:$R$1091,3,FALSE)," ")</f>
        <v xml:space="preserve"> </v>
      </c>
      <c r="M31" s="1" t="str">
        <f>IF(COUNTIF('MCIA Corrective Actions'!$A:$A,H31)=0," ",COUNTIF('MCIA Corrective Actions'!$A:$A,H31))</f>
        <v xml:space="preserve"> </v>
      </c>
      <c r="N31" s="1" t="str">
        <f>IF(COUNTIF('MCIA Corrective Actions'!$A:$A,H31)=0," ",COUNTIFS('MCIA Corrective Actions'!$A:$A,H31,'MCIA Corrective Actions'!N:N,"Yes"))</f>
        <v xml:space="preserve"> </v>
      </c>
      <c r="O31" s="1" t="str">
        <f>_xlfn.IFNA(VLOOKUP(H31,'MCIA Corrective Actions'!$A$2:$R$1092,6,FALSE)," ")</f>
        <v xml:space="preserve"> </v>
      </c>
      <c r="P31" s="1"/>
    </row>
    <row r="32" spans="1:16" x14ac:dyDescent="0.25">
      <c r="A32" s="1">
        <v>73</v>
      </c>
      <c r="B32" s="108" t="str">
        <f>VLOOKUP($A32,Table1[['#]:[Vessel]],4,FALSE)</f>
        <v>Terrapin Island</v>
      </c>
      <c r="C32" s="107">
        <f>VLOOKUP($A32,Table1[['#]:[Date]],3,FALSE)</f>
        <v>43251</v>
      </c>
      <c r="D32" s="3">
        <f>VLOOKUP($A32,Table1[['#]:[Hours]],7,FALSE)</f>
        <v>163.66999999999999</v>
      </c>
      <c r="E32" s="3" t="str">
        <f>VLOOKUP($A32,Table1[['#]:[System]],8,FALSE)&amp;" / "&amp;VLOOKUP($A32,Table1[['#]:[Subsystem]],9,FALSE)</f>
        <v>Other / Other Mechanical</v>
      </c>
      <c r="F32" s="108">
        <f>VLOOKUP($A32,Table1[['#]:[Work Order '#]],10,FALSE)</f>
        <v>1708024</v>
      </c>
      <c r="G32" s="110" t="str">
        <f>VLOOKUP($A32,Table1[['#]:[Delay Log Notes]],11,FALSE)</f>
        <v>inbound for trunnion repairs at Lyons Shipyard</v>
      </c>
      <c r="H32" s="1" t="str">
        <f>_xlfn.IFNA(VLOOKUP(A32,'EDL Data'!$A$2:$M$1245,6,FALSE)," ")</f>
        <v>None</v>
      </c>
      <c r="I32" s="1" t="str">
        <f>_xlfn.IFNA(VLOOKUP(H32,'MCIA Cases'!$A$2:$R$1091,2,FALSE)," ")</f>
        <v xml:space="preserve"> </v>
      </c>
      <c r="J32" s="1" t="str">
        <f>_xlfn.IFNA(VLOOKUP(H32,'MCIA Cases'!$A$2:$R$1091,9,FALSE)," ")</f>
        <v xml:space="preserve"> </v>
      </c>
      <c r="K32" s="1" t="str">
        <f>_xlfn.IFNA(VLOOKUP(H32,'MCIA Cases'!$A$2:$R$1091,10,FALSE)," ")</f>
        <v xml:space="preserve"> </v>
      </c>
      <c r="L32" s="1" t="str">
        <f>_xlfn.IFNA(VLOOKUP(H32,'MCIA Cases'!$A$2:$R$1091,3,FALSE)," ")</f>
        <v xml:space="preserve"> </v>
      </c>
      <c r="M32" s="1" t="str">
        <f>IF(COUNTIF('MCIA Corrective Actions'!$A:$A,H32)=0," ",COUNTIF('MCIA Corrective Actions'!$A:$A,H32))</f>
        <v xml:space="preserve"> </v>
      </c>
      <c r="N32" s="1" t="str">
        <f>IF(COUNTIF('MCIA Corrective Actions'!$A:$A,H32)=0," ",COUNTIFS('MCIA Corrective Actions'!$A:$A,H32,'MCIA Corrective Actions'!N:N,"Yes"))</f>
        <v xml:space="preserve"> </v>
      </c>
      <c r="O32" s="1" t="str">
        <f>_xlfn.IFNA(VLOOKUP(H32,'MCIA Corrective Actions'!$A$2:$R$1092,6,FALSE)," ")</f>
        <v xml:space="preserve"> </v>
      </c>
      <c r="P32" s="1"/>
    </row>
    <row r="33" spans="1:16" x14ac:dyDescent="0.25">
      <c r="A33" s="1">
        <v>74</v>
      </c>
      <c r="B33" s="108">
        <f>VLOOKUP($A33,Table1[['#]:[Vessel]],4,FALSE)</f>
        <v>55</v>
      </c>
      <c r="C33" s="107">
        <f>VLOOKUP($A33,Table1[['#]:[Date]],3,FALSE)</f>
        <v>43252</v>
      </c>
      <c r="D33" s="3">
        <f>VLOOKUP($A33,Table1[['#]:[Hours]],7,FALSE)</f>
        <v>54.42</v>
      </c>
      <c r="E33" s="3" t="str">
        <f>VLOOKUP($A33,Table1[['#]:[System]],8,FALSE)&amp;" / "&amp;VLOOKUP($A33,Table1[['#]:[Subsystem]],9,FALSE)</f>
        <v>Electrical/Electronics / PLC</v>
      </c>
      <c r="F33" s="108">
        <f>VLOOKUP($A33,Table1[['#]:[Work Order '#]],10,FALSE)</f>
        <v>1708167</v>
      </c>
      <c r="G33" s="110" t="str">
        <f>VLOOKUP($A33,Table1[['#]:[Delay Log Notes]],11,FALSE)</f>
        <v>electrical problem</v>
      </c>
      <c r="H33" s="1">
        <f>_xlfn.IFNA(VLOOKUP(A33,'EDL Data'!$A$2:$M$1245,6,FALSE)," ")</f>
        <v>248</v>
      </c>
      <c r="I33" s="1" t="str">
        <f>_xlfn.IFNA(VLOOKUP(H33,'MCIA Cases'!$A$2:$R$1091,2,FALSE)," ")</f>
        <v>DR 55 - Hoist Generator #2 Breakdown</v>
      </c>
      <c r="J33" s="1">
        <f>_xlfn.IFNA(VLOOKUP(H33,'MCIA Cases'!$A$2:$R$1091,9,FALSE)," ")</f>
        <v>0</v>
      </c>
      <c r="K33" s="1">
        <f>_xlfn.IFNA(VLOOKUP(H33,'MCIA Cases'!$A$2:$R$1091,10,FALSE)," ")</f>
        <v>0</v>
      </c>
      <c r="L33" s="1" t="str">
        <f>_xlfn.IFNA(VLOOKUP(H33,'MCIA Cases'!$A$2:$R$1091,3,FALSE)," ")</f>
        <v>Andrew Larkin</v>
      </c>
      <c r="M33" s="1">
        <f>IF(COUNTIF('MCIA Corrective Actions'!$A:$A,H33)=0," ",COUNTIF('MCIA Corrective Actions'!$A:$A,H33))</f>
        <v>1</v>
      </c>
      <c r="N33" s="1">
        <f>IF(COUNTIF('MCIA Corrective Actions'!$A:$A,H33)=0," ",COUNTIFS('MCIA Corrective Actions'!$A:$A,H33,'MCIA Corrective Actions'!N:N,"Yes"))</f>
        <v>1</v>
      </c>
      <c r="O33" s="1" t="str">
        <f>_xlfn.IFNA(VLOOKUP(H33,'MCIA Corrective Actions'!$A$2:$R$1092,6,FALSE)," ")</f>
        <v>Andrew Larkin</v>
      </c>
      <c r="P33" s="1"/>
    </row>
    <row r="34" spans="1:16" x14ac:dyDescent="0.25">
      <c r="A34" s="1">
        <v>75</v>
      </c>
      <c r="B34" s="108" t="str">
        <f>VLOOKUP($A34,Table1[['#]:[Vessel]],4,FALSE)</f>
        <v>Texas</v>
      </c>
      <c r="C34" s="107">
        <f>VLOOKUP($A34,Table1[['#]:[Date]],3,FALSE)</f>
        <v>43252</v>
      </c>
      <c r="D34" s="3">
        <f>VLOOKUP($A34,Table1[['#]:[Hours]],7,FALSE)</f>
        <v>77.31</v>
      </c>
      <c r="E34" s="3" t="str">
        <f>VLOOKUP($A34,Table1[['#]:[System]],8,FALSE)&amp;" / "&amp;VLOOKUP($A34,Table1[['#]:[Subsystem]],9,FALSE)</f>
        <v>Idler / Spud Barge / 177</v>
      </c>
      <c r="F34" s="108" t="str">
        <f>VLOOKUP($A34,Table1[['#]:[Work Order '#]],10,FALSE)</f>
        <v>None</v>
      </c>
      <c r="G34" s="110" t="str">
        <f>VLOOKUP($A34,Table1[['#]:[Delay Log Notes]],11,FALSE)</f>
        <v>None</v>
      </c>
      <c r="H34" s="1" t="str">
        <f>_xlfn.IFNA(VLOOKUP(A34,'EDL Data'!$A$2:$M$1245,6,FALSE)," ")</f>
        <v>None</v>
      </c>
      <c r="I34" s="1" t="str">
        <f>_xlfn.IFNA(VLOOKUP(H34,'MCIA Cases'!$A$2:$R$1091,2,FALSE)," ")</f>
        <v xml:space="preserve"> </v>
      </c>
      <c r="J34" s="1" t="str">
        <f>_xlfn.IFNA(VLOOKUP(H34,'MCIA Cases'!$A$2:$R$1091,9,FALSE)," ")</f>
        <v xml:space="preserve"> </v>
      </c>
      <c r="K34" s="1" t="str">
        <f>_xlfn.IFNA(VLOOKUP(H34,'MCIA Cases'!$A$2:$R$1091,10,FALSE)," ")</f>
        <v xml:space="preserve"> </v>
      </c>
      <c r="L34" s="1" t="str">
        <f>_xlfn.IFNA(VLOOKUP(H34,'MCIA Cases'!$A$2:$R$1091,3,FALSE)," ")</f>
        <v xml:space="preserve"> </v>
      </c>
      <c r="M34" s="1" t="str">
        <f>IF(COUNTIF('MCIA Corrective Actions'!$A:$A,H34)=0," ",COUNTIF('MCIA Corrective Actions'!$A:$A,H34))</f>
        <v xml:space="preserve"> </v>
      </c>
      <c r="N34" s="1" t="str">
        <f>IF(COUNTIF('MCIA Corrective Actions'!$A:$A,H34)=0," ",COUNTIFS('MCIA Corrective Actions'!$A:$A,H34,'MCIA Corrective Actions'!N:N,"Yes"))</f>
        <v xml:space="preserve"> </v>
      </c>
      <c r="O34" s="1" t="str">
        <f>_xlfn.IFNA(VLOOKUP(H34,'MCIA Corrective Actions'!$A$2:$R$1092,6,FALSE)," ")</f>
        <v xml:space="preserve"> </v>
      </c>
      <c r="P34" s="1"/>
    </row>
    <row r="35" spans="1:16" x14ac:dyDescent="0.25">
      <c r="A35" s="1">
        <v>76</v>
      </c>
      <c r="B35" s="108" t="str">
        <f>VLOOKUP($A35,Table1[['#]:[Vessel]],4,FALSE)</f>
        <v>Terrapin Island</v>
      </c>
      <c r="C35" s="107">
        <f>VLOOKUP($A35,Table1[['#]:[Date]],3,FALSE)</f>
        <v>43262</v>
      </c>
      <c r="D35" s="3">
        <f>VLOOKUP($A35,Table1[['#]:[Hours]],7,FALSE)</f>
        <v>94.77</v>
      </c>
      <c r="E35" s="3" t="str">
        <f>VLOOKUP($A35,Table1[['#]:[System]],8,FALSE)&amp;" / "&amp;VLOOKUP($A35,Table1[['#]:[Subsystem]],9,FALSE)</f>
        <v>Trunnion Hoist / Other</v>
      </c>
      <c r="F35" s="108">
        <f>VLOOKUP($A35,Table1[['#]:[Work Order '#]],10,FALSE)</f>
        <v>1708024</v>
      </c>
      <c r="G35" s="110" t="str">
        <f>VLOOKUP($A35,Table1[['#]:[Delay Log Notes]],11,FALSE)</f>
        <v>inbound for repairs</v>
      </c>
      <c r="H35" s="1" t="str">
        <f>_xlfn.IFNA(VLOOKUP(A35,'EDL Data'!$A$2:$M$1245,6,FALSE)," ")</f>
        <v>None</v>
      </c>
      <c r="I35" s="1" t="str">
        <f>_xlfn.IFNA(VLOOKUP(H35,'MCIA Cases'!$A$2:$R$1091,2,FALSE)," ")</f>
        <v xml:space="preserve"> </v>
      </c>
      <c r="J35" s="1" t="str">
        <f>_xlfn.IFNA(VLOOKUP(H35,'MCIA Cases'!$A$2:$R$1091,9,FALSE)," ")</f>
        <v xml:space="preserve"> </v>
      </c>
      <c r="K35" s="1" t="str">
        <f>_xlfn.IFNA(VLOOKUP(H35,'MCIA Cases'!$A$2:$R$1091,10,FALSE)," ")</f>
        <v xml:space="preserve"> </v>
      </c>
      <c r="L35" s="1" t="str">
        <f>_xlfn.IFNA(VLOOKUP(H35,'MCIA Cases'!$A$2:$R$1091,3,FALSE)," ")</f>
        <v xml:space="preserve"> </v>
      </c>
      <c r="M35" s="1" t="str">
        <f>IF(COUNTIF('MCIA Corrective Actions'!$A:$A,H35)=0," ",COUNTIF('MCIA Corrective Actions'!$A:$A,H35))</f>
        <v xml:space="preserve"> </v>
      </c>
      <c r="N35" s="1" t="str">
        <f>IF(COUNTIF('MCIA Corrective Actions'!$A:$A,H35)=0," ",COUNTIFS('MCIA Corrective Actions'!$A:$A,H35,'MCIA Corrective Actions'!N:N,"Yes"))</f>
        <v xml:space="preserve"> </v>
      </c>
      <c r="O35" s="1" t="str">
        <f>_xlfn.IFNA(VLOOKUP(H35,'MCIA Corrective Actions'!$A$2:$R$1092,6,FALSE)," ")</f>
        <v xml:space="preserve"> </v>
      </c>
      <c r="P35" s="1"/>
    </row>
    <row r="36" spans="1:16" x14ac:dyDescent="0.25">
      <c r="A36" s="1">
        <v>77</v>
      </c>
      <c r="B36" s="108" t="str">
        <f>VLOOKUP($A36,Table1[['#]:[Vessel]],4,FALSE)</f>
        <v>Padre Island</v>
      </c>
      <c r="C36" s="107">
        <f>VLOOKUP($A36,Table1[['#]:[Date]],3,FALSE)</f>
        <v>43272</v>
      </c>
      <c r="D36" s="3">
        <f>VLOOKUP($A36,Table1[['#]:[Hours]],7,FALSE)</f>
        <v>46.07</v>
      </c>
      <c r="E36" s="3" t="str">
        <f>VLOOKUP($A36,Table1[['#]:[System]],8,FALSE)&amp;" / "&amp;VLOOKUP($A36,Table1[['#]:[Subsystem]],9,FALSE)</f>
        <v>Dredge Pump / Other</v>
      </c>
      <c r="F36" s="108">
        <f>VLOOKUP($A36,Table1[['#]:[Work Order '#]],10,FALSE)</f>
        <v>1989237</v>
      </c>
      <c r="G36" s="110" t="str">
        <f>VLOOKUP($A36,Table1[['#]:[Delay Log Notes]],11,FALSE)</f>
        <v>coupling</v>
      </c>
      <c r="H36" s="1" t="str">
        <f>_xlfn.IFNA(VLOOKUP(A36,'EDL Data'!$A$2:$M$1245,6,FALSE)," ")</f>
        <v>None</v>
      </c>
      <c r="I36" s="1" t="str">
        <f>_xlfn.IFNA(VLOOKUP(H36,'MCIA Cases'!$A$2:$R$1091,2,FALSE)," ")</f>
        <v xml:space="preserve"> </v>
      </c>
      <c r="J36" s="1" t="str">
        <f>_xlfn.IFNA(VLOOKUP(H36,'MCIA Cases'!$A$2:$R$1091,9,FALSE)," ")</f>
        <v xml:space="preserve"> </v>
      </c>
      <c r="K36" s="1" t="str">
        <f>_xlfn.IFNA(VLOOKUP(H36,'MCIA Cases'!$A$2:$R$1091,10,FALSE)," ")</f>
        <v xml:space="preserve"> </v>
      </c>
      <c r="L36" s="1" t="str">
        <f>_xlfn.IFNA(VLOOKUP(H36,'MCIA Cases'!$A$2:$R$1091,3,FALSE)," ")</f>
        <v xml:space="preserve"> </v>
      </c>
      <c r="M36" s="1" t="str">
        <f>IF(COUNTIF('MCIA Corrective Actions'!$A:$A,H36)=0," ",COUNTIF('MCIA Corrective Actions'!$A:$A,H36))</f>
        <v xml:space="preserve"> </v>
      </c>
      <c r="N36" s="1" t="str">
        <f>IF(COUNTIF('MCIA Corrective Actions'!$A:$A,H36)=0," ",COUNTIFS('MCIA Corrective Actions'!$A:$A,H36,'MCIA Corrective Actions'!N:N,"Yes"))</f>
        <v xml:space="preserve"> </v>
      </c>
      <c r="O36" s="1" t="str">
        <f>_xlfn.IFNA(VLOOKUP(H36,'MCIA Corrective Actions'!$A$2:$R$1092,6,FALSE)," ")</f>
        <v xml:space="preserve"> </v>
      </c>
      <c r="P36" s="1"/>
    </row>
    <row r="37" spans="1:16" x14ac:dyDescent="0.25">
      <c r="A37" s="1">
        <v>78</v>
      </c>
      <c r="B37" s="108" t="str">
        <f>VLOOKUP($A37,Table1[['#]:[Vessel]],4,FALSE)</f>
        <v>Liberty Island</v>
      </c>
      <c r="C37" s="107">
        <f>VLOOKUP($A37,Table1[['#]:[Date]],3,FALSE)</f>
        <v>43283</v>
      </c>
      <c r="D37" s="3">
        <f>VLOOKUP($A37,Table1[['#]:[Hours]],7,FALSE)</f>
        <v>99.47</v>
      </c>
      <c r="E37" s="3" t="str">
        <f>VLOOKUP($A37,Table1[['#]:[System]],8,FALSE)&amp;" / "&amp;VLOOKUP($A37,Table1[['#]:[Subsystem]],9,FALSE)</f>
        <v>Main Engine / Propulsion / Other</v>
      </c>
      <c r="F37" s="108" t="str">
        <f>VLOOKUP($A37,Table1[['#]:[Work Order '#]],10,FALSE)</f>
        <v>N/A</v>
      </c>
      <c r="G37" s="110" t="str">
        <f>VLOOKUP($A37,Table1[['#]:[Delay Log Notes]],11,FALSE)</f>
        <v>engine shutdown on code red, turbo</v>
      </c>
      <c r="H37" s="1">
        <f>_xlfn.IFNA(VLOOKUP(A37,'EDL Data'!$A$2:$M$1245,6,FALSE)," ")</f>
        <v>254</v>
      </c>
      <c r="I37" s="1" t="str">
        <f>_xlfn.IFNA(VLOOKUP(H37,'MCIA Cases'!$A$2:$R$1091,2,FALSE)," ")</f>
        <v>20180702 LI PME Turbo Catastrophic Failure</v>
      </c>
      <c r="J37" s="1">
        <f>_xlfn.IFNA(VLOOKUP(H37,'MCIA Cases'!$A$2:$R$1091,9,FALSE)," ")</f>
        <v>0</v>
      </c>
      <c r="K37" s="1">
        <f>_xlfn.IFNA(VLOOKUP(H37,'MCIA Cases'!$A$2:$R$1091,10,FALSE)," ")</f>
        <v>0</v>
      </c>
      <c r="L37" s="1" t="str">
        <f>_xlfn.IFNA(VLOOKUP(H37,'MCIA Cases'!$A$2:$R$1091,3,FALSE)," ")</f>
        <v>Jeremy Remme</v>
      </c>
      <c r="M37" s="1">
        <f>IF(COUNTIF('MCIA Corrective Actions'!$A:$A,H37)=0," ",COUNTIF('MCIA Corrective Actions'!$A:$A,H37))</f>
        <v>1</v>
      </c>
      <c r="N37" s="1">
        <f>IF(COUNTIF('MCIA Corrective Actions'!$A:$A,H37)=0," ",COUNTIFS('MCIA Corrective Actions'!$A:$A,H37,'MCIA Corrective Actions'!N:N,"Yes"))</f>
        <v>1</v>
      </c>
      <c r="O37" s="1" t="str">
        <f>_xlfn.IFNA(VLOOKUP(H37,'MCIA Corrective Actions'!$A$2:$R$1092,6,FALSE)," ")</f>
        <v>Jeremy Remme</v>
      </c>
      <c r="P37" s="1"/>
    </row>
    <row r="38" spans="1:16" x14ac:dyDescent="0.25">
      <c r="A38" s="1">
        <v>79</v>
      </c>
      <c r="B38" s="108" t="str">
        <f>VLOOKUP($A38,Table1[['#]:[Vessel]],4,FALSE)</f>
        <v>Carolina</v>
      </c>
      <c r="C38" s="107">
        <f>VLOOKUP($A38,Table1[['#]:[Date]],3,FALSE)</f>
        <v>43284</v>
      </c>
      <c r="D38" s="3">
        <f>VLOOKUP($A38,Table1[['#]:[Hours]],7,FALSE)</f>
        <v>116.52</v>
      </c>
      <c r="E38" s="3" t="str">
        <f>VLOOKUP($A38,Table1[['#]:[System]],8,FALSE)&amp;" / "&amp;VLOOKUP($A38,Table1[['#]:[Subsystem]],9,FALSE)</f>
        <v>Idler / Spud Barge / GL-10</v>
      </c>
      <c r="F38" s="108" t="str">
        <f>VLOOKUP($A38,Table1[['#]:[Work Order '#]],10,FALSE)</f>
        <v>None</v>
      </c>
      <c r="G38" s="110" t="str">
        <f>VLOOKUP($A38,Table1[['#]:[Delay Log Notes]],11,FALSE)</f>
        <v>port connection pin</v>
      </c>
      <c r="H38" s="1">
        <f>_xlfn.IFNA(VLOOKUP(A38,'EDL Data'!$A$2:$M$1245,6,FALSE)," ")</f>
        <v>253</v>
      </c>
      <c r="I38" s="1" t="str">
        <f>_xlfn.IFNA(VLOOKUP(H38,'MCIA Cases'!$A$2:$R$1091,2,FALSE)," ")</f>
        <v>GL-10 Port Side Pin Connection Failure</v>
      </c>
      <c r="J38" s="1">
        <f>_xlfn.IFNA(VLOOKUP(H38,'MCIA Cases'!$A$2:$R$1091,9,FALSE)," ")</f>
        <v>0</v>
      </c>
      <c r="K38" s="1">
        <f>_xlfn.IFNA(VLOOKUP(H38,'MCIA Cases'!$A$2:$R$1091,10,FALSE)," ")</f>
        <v>0</v>
      </c>
      <c r="L38" s="1" t="str">
        <f>_xlfn.IFNA(VLOOKUP(H38,'MCIA Cases'!$A$2:$R$1091,3,FALSE)," ")</f>
        <v>Mike Hungerford</v>
      </c>
      <c r="M38" s="1">
        <f>IF(COUNTIF('MCIA Corrective Actions'!$A:$A,H38)=0," ",COUNTIF('MCIA Corrective Actions'!$A:$A,H38))</f>
        <v>3</v>
      </c>
      <c r="N38" s="1">
        <f>IF(COUNTIF('MCIA Corrective Actions'!$A:$A,H38)=0," ",COUNTIFS('MCIA Corrective Actions'!$A:$A,H38,'MCIA Corrective Actions'!N:N,"Yes"))</f>
        <v>3</v>
      </c>
      <c r="O38" s="1" t="str">
        <f>_xlfn.IFNA(VLOOKUP(H38,'MCIA Corrective Actions'!$A$2:$R$1092,6,FALSE)," ")</f>
        <v>Bill Baumann</v>
      </c>
      <c r="P38" s="1"/>
    </row>
    <row r="39" spans="1:16" x14ac:dyDescent="0.25">
      <c r="A39" s="1">
        <v>80</v>
      </c>
      <c r="B39" s="108" t="str">
        <f>VLOOKUP($A39,Table1[['#]:[Vessel]],4,FALSE)</f>
        <v>Texas</v>
      </c>
      <c r="C39" s="107">
        <f>VLOOKUP($A39,Table1[['#]:[Date]],3,FALSE)</f>
        <v>43286</v>
      </c>
      <c r="D39" s="3">
        <f>VLOOKUP($A39,Table1[['#]:[Hours]],7,FALSE)</f>
        <v>42.2</v>
      </c>
      <c r="E39" s="3" t="str">
        <f>VLOOKUP($A39,Table1[['#]:[System]],8,FALSE)&amp;" / "&amp;VLOOKUP($A39,Table1[['#]:[Subsystem]],9,FALSE)</f>
        <v>Spuds / Xmas Tree / Winch / Hoist System</v>
      </c>
      <c r="F39" s="108" t="str">
        <f>VLOOKUP($A39,Table1[['#]:[Work Order '#]],10,FALSE)</f>
        <v>0791116</v>
      </c>
      <c r="G39" s="110" t="str">
        <f>VLOOKUP($A39,Table1[['#]:[Delay Log Notes]],11,FALSE)</f>
        <v>spud winches won't start</v>
      </c>
      <c r="H39" s="1" t="str">
        <f>_xlfn.IFNA(VLOOKUP(A39,'EDL Data'!$A$2:$M$1245,6,FALSE)," ")</f>
        <v>None</v>
      </c>
      <c r="I39" s="1" t="str">
        <f>_xlfn.IFNA(VLOOKUP(H39,'MCIA Cases'!$A$2:$R$1091,2,FALSE)," ")</f>
        <v xml:space="preserve"> </v>
      </c>
      <c r="J39" s="1" t="str">
        <f>_xlfn.IFNA(VLOOKUP(H39,'MCIA Cases'!$A$2:$R$1091,9,FALSE)," ")</f>
        <v xml:space="preserve"> </v>
      </c>
      <c r="K39" s="1" t="str">
        <f>_xlfn.IFNA(VLOOKUP(H39,'MCIA Cases'!$A$2:$R$1091,10,FALSE)," ")</f>
        <v xml:space="preserve"> </v>
      </c>
      <c r="L39" s="1" t="str">
        <f>_xlfn.IFNA(VLOOKUP(H39,'MCIA Cases'!$A$2:$R$1091,3,FALSE)," ")</f>
        <v xml:space="preserve"> </v>
      </c>
      <c r="M39" s="1" t="str">
        <f>IF(COUNTIF('MCIA Corrective Actions'!$A:$A,H39)=0," ",COUNTIF('MCIA Corrective Actions'!$A:$A,H39))</f>
        <v xml:space="preserve"> </v>
      </c>
      <c r="N39" s="1" t="str">
        <f>IF(COUNTIF('MCIA Corrective Actions'!$A:$A,H39)=0," ",COUNTIFS('MCIA Corrective Actions'!$A:$A,H39,'MCIA Corrective Actions'!N:N,"Yes"))</f>
        <v xml:space="preserve"> </v>
      </c>
      <c r="O39" s="1" t="str">
        <f>_xlfn.IFNA(VLOOKUP(H39,'MCIA Corrective Actions'!$A$2:$R$1092,6,FALSE)," ")</f>
        <v xml:space="preserve"> </v>
      </c>
      <c r="P39" s="1"/>
    </row>
    <row r="40" spans="1:16" x14ac:dyDescent="0.25">
      <c r="A40" s="1">
        <v>81</v>
      </c>
      <c r="B40" s="108" t="str">
        <f>VLOOKUP($A40,Table1[['#]:[Vessel]],4,FALSE)</f>
        <v>Ellis Island</v>
      </c>
      <c r="C40" s="107">
        <f>VLOOKUP($A40,Table1[['#]:[Date]],3,FALSE)</f>
        <v>43289</v>
      </c>
      <c r="D40" s="3">
        <f>VLOOKUP($A40,Table1[['#]:[Hours]],7,FALSE)</f>
        <v>135.94999999999999</v>
      </c>
      <c r="E40" s="3" t="str">
        <f>VLOOKUP($A40,Table1[['#]:[System]],8,FALSE)&amp;" / "&amp;VLOOKUP($A40,Table1[['#]:[Subsystem]],9,FALSE)</f>
        <v>Other / Electrical</v>
      </c>
      <c r="F40" s="108" t="str">
        <f>VLOOKUP($A40,Table1[['#]:[Work Order '#]],10,FALSE)</f>
        <v>N/A</v>
      </c>
      <c r="G40" s="110" t="str">
        <f>VLOOKUP($A40,Table1[['#]:[Delay Log Notes]],11,FALSE)</f>
        <v>to anchor to assess INGETEAM system failure</v>
      </c>
      <c r="H40" s="1" t="str">
        <f>_xlfn.IFNA(VLOOKUP(A40,'EDL Data'!$A$2:$M$1245,6,FALSE)," ")</f>
        <v>None</v>
      </c>
      <c r="I40" s="1" t="str">
        <f>_xlfn.IFNA(VLOOKUP(H40,'MCIA Cases'!$A$2:$R$1091,2,FALSE)," ")</f>
        <v xml:space="preserve"> </v>
      </c>
      <c r="J40" s="1" t="str">
        <f>_xlfn.IFNA(VLOOKUP(H40,'MCIA Cases'!$A$2:$R$1091,9,FALSE)," ")</f>
        <v xml:space="preserve"> </v>
      </c>
      <c r="K40" s="1" t="str">
        <f>_xlfn.IFNA(VLOOKUP(H40,'MCIA Cases'!$A$2:$R$1091,10,FALSE)," ")</f>
        <v xml:space="preserve"> </v>
      </c>
      <c r="L40" s="1" t="str">
        <f>_xlfn.IFNA(VLOOKUP(H40,'MCIA Cases'!$A$2:$R$1091,3,FALSE)," ")</f>
        <v xml:space="preserve"> </v>
      </c>
      <c r="M40" s="1" t="str">
        <f>IF(COUNTIF('MCIA Corrective Actions'!$A:$A,H40)=0," ",COUNTIF('MCIA Corrective Actions'!$A:$A,H40))</f>
        <v xml:space="preserve"> </v>
      </c>
      <c r="N40" s="1" t="str">
        <f>IF(COUNTIF('MCIA Corrective Actions'!$A:$A,H40)=0," ",COUNTIFS('MCIA Corrective Actions'!$A:$A,H40,'MCIA Corrective Actions'!N:N,"Yes"))</f>
        <v xml:space="preserve"> </v>
      </c>
      <c r="O40" s="1" t="str">
        <f>_xlfn.IFNA(VLOOKUP(H40,'MCIA Corrective Actions'!$A$2:$R$1092,6,FALSE)," ")</f>
        <v xml:space="preserve"> </v>
      </c>
      <c r="P40" s="1"/>
    </row>
    <row r="41" spans="1:16" ht="30" x14ac:dyDescent="0.25">
      <c r="A41" s="1">
        <v>82</v>
      </c>
      <c r="B41" s="108" t="str">
        <f>VLOOKUP($A41,Table1[['#]:[Vessel]],4,FALSE)</f>
        <v>Liberty Island</v>
      </c>
      <c r="C41" s="107">
        <f>VLOOKUP($A41,Table1[['#]:[Date]],3,FALSE)</f>
        <v>43291</v>
      </c>
      <c r="D41" s="3">
        <f>VLOOKUP($A41,Table1[['#]:[Hours]],7,FALSE)</f>
        <v>47.98</v>
      </c>
      <c r="E41" s="3" t="str">
        <f>VLOOKUP($A41,Table1[['#]:[System]],8,FALSE)&amp;" / "&amp;VLOOKUP($A41,Table1[['#]:[Subsystem]],9,FALSE)</f>
        <v>Main Engine / Propulsion / Other</v>
      </c>
      <c r="F41" s="108" t="str">
        <f>VLOOKUP($A41,Table1[['#]:[Work Order '#]],10,FALSE)</f>
        <v>0848100</v>
      </c>
      <c r="G41" s="110" t="str">
        <f>VLOOKUP($A41,Table1[['#]:[Delay Log Notes]],11,FALSE)</f>
        <v>pump out at reduced RPM and reduced density; port M/E turbo overheating</v>
      </c>
      <c r="H41" s="1" t="str">
        <f>_xlfn.IFNA(VLOOKUP(A41,'EDL Data'!$A$2:$M$1245,6,FALSE)," ")</f>
        <v>None</v>
      </c>
      <c r="I41" s="1" t="str">
        <f>_xlfn.IFNA(VLOOKUP(H41,'MCIA Cases'!$A$2:$R$1091,2,FALSE)," ")</f>
        <v xml:space="preserve"> </v>
      </c>
      <c r="J41" s="1" t="str">
        <f>_xlfn.IFNA(VLOOKUP(H41,'MCIA Cases'!$A$2:$R$1091,9,FALSE)," ")</f>
        <v xml:space="preserve"> </v>
      </c>
      <c r="K41" s="1" t="str">
        <f>_xlfn.IFNA(VLOOKUP(H41,'MCIA Cases'!$A$2:$R$1091,10,FALSE)," ")</f>
        <v xml:space="preserve"> </v>
      </c>
      <c r="L41" s="1" t="str">
        <f>_xlfn.IFNA(VLOOKUP(H41,'MCIA Cases'!$A$2:$R$1091,3,FALSE)," ")</f>
        <v xml:space="preserve"> </v>
      </c>
      <c r="M41" s="1" t="str">
        <f>IF(COUNTIF('MCIA Corrective Actions'!$A:$A,H41)=0," ",COUNTIF('MCIA Corrective Actions'!$A:$A,H41))</f>
        <v xml:space="preserve"> </v>
      </c>
      <c r="N41" s="1" t="str">
        <f>IF(COUNTIF('MCIA Corrective Actions'!$A:$A,H41)=0," ",COUNTIFS('MCIA Corrective Actions'!$A:$A,H41,'MCIA Corrective Actions'!N:N,"Yes"))</f>
        <v xml:space="preserve"> </v>
      </c>
      <c r="O41" s="1" t="str">
        <f>_xlfn.IFNA(VLOOKUP(H41,'MCIA Corrective Actions'!$A$2:$R$1092,6,FALSE)," ")</f>
        <v xml:space="preserve"> </v>
      </c>
      <c r="P41" s="1"/>
    </row>
    <row r="42" spans="1:16" x14ac:dyDescent="0.25">
      <c r="A42" s="1">
        <v>83</v>
      </c>
      <c r="B42" s="108" t="str">
        <f>VLOOKUP($A42,Table1[['#]:[Vessel]],4,FALSE)</f>
        <v>Carolina</v>
      </c>
      <c r="C42" s="107">
        <f>VLOOKUP($A42,Table1[['#]:[Date]],3,FALSE)</f>
        <v>43292</v>
      </c>
      <c r="D42" s="3">
        <f>VLOOKUP($A42,Table1[['#]:[Hours]],7,FALSE)</f>
        <v>101.51</v>
      </c>
      <c r="E42" s="3" t="str">
        <f>VLOOKUP($A42,Table1[['#]:[System]],8,FALSE)&amp;" / "&amp;VLOOKUP($A42,Table1[['#]:[Subsystem]],9,FALSE)</f>
        <v>Ladder Pump / Gearbox (Ladder Pump)</v>
      </c>
      <c r="F42" s="108">
        <f>VLOOKUP($A42,Table1[['#]:[Work Order '#]],10,FALSE)</f>
        <v>4038173</v>
      </c>
      <c r="G42" s="110" t="str">
        <f>VLOOKUP($A42,Table1[['#]:[Delay Log Notes]],11,FALSE)</f>
        <v>Gear box cooling system not working</v>
      </c>
      <c r="H42" s="1" t="str">
        <f>_xlfn.IFNA(VLOOKUP(A42,'EDL Data'!$A$2:$M$1245,6,FALSE)," ")</f>
        <v>None</v>
      </c>
      <c r="I42" s="1" t="str">
        <f>_xlfn.IFNA(VLOOKUP(H42,'MCIA Cases'!$A$2:$R$1091,2,FALSE)," ")</f>
        <v xml:space="preserve"> </v>
      </c>
      <c r="J42" s="1" t="str">
        <f>_xlfn.IFNA(VLOOKUP(H42,'MCIA Cases'!$A$2:$R$1091,9,FALSE)," ")</f>
        <v xml:space="preserve"> </v>
      </c>
      <c r="K42" s="1" t="str">
        <f>_xlfn.IFNA(VLOOKUP(H42,'MCIA Cases'!$A$2:$R$1091,10,FALSE)," ")</f>
        <v xml:space="preserve"> </v>
      </c>
      <c r="L42" s="1" t="str">
        <f>_xlfn.IFNA(VLOOKUP(H42,'MCIA Cases'!$A$2:$R$1091,3,FALSE)," ")</f>
        <v xml:space="preserve"> </v>
      </c>
      <c r="M42" s="1" t="str">
        <f>IF(COUNTIF('MCIA Corrective Actions'!$A:$A,H42)=0," ",COUNTIF('MCIA Corrective Actions'!$A:$A,H42))</f>
        <v xml:space="preserve"> </v>
      </c>
      <c r="N42" s="1" t="str">
        <f>IF(COUNTIF('MCIA Corrective Actions'!$A:$A,H42)=0," ",COUNTIFS('MCIA Corrective Actions'!$A:$A,H42,'MCIA Corrective Actions'!N:N,"Yes"))</f>
        <v xml:space="preserve"> </v>
      </c>
      <c r="O42" s="1" t="str">
        <f>_xlfn.IFNA(VLOOKUP(H42,'MCIA Corrective Actions'!$A$2:$R$1092,6,FALSE)," ")</f>
        <v xml:space="preserve"> </v>
      </c>
      <c r="P42" s="1"/>
    </row>
    <row r="43" spans="1:16" ht="30" x14ac:dyDescent="0.25">
      <c r="A43" s="1">
        <v>84</v>
      </c>
      <c r="B43" s="108" t="str">
        <f>VLOOKUP($A43,Table1[['#]:[Vessel]],4,FALSE)</f>
        <v>Ellis Island</v>
      </c>
      <c r="C43" s="107">
        <f>VLOOKUP($A43,Table1[['#]:[Date]],3,FALSE)</f>
        <v>43309</v>
      </c>
      <c r="D43" s="3">
        <f>VLOOKUP($A43,Table1[['#]:[Hours]],7,FALSE)</f>
        <v>379.92</v>
      </c>
      <c r="E43" s="3" t="str">
        <f>VLOOKUP($A43,Table1[['#]:[System]],8,FALSE)&amp;" / "&amp;VLOOKUP($A43,Table1[['#]:[Subsystem]],9,FALSE)</f>
        <v>Other / Other Mechanical</v>
      </c>
      <c r="F43" s="108" t="str">
        <f>VLOOKUP($A43,Table1[['#]:[Work Order '#]],10,FALSE)</f>
        <v>N/A</v>
      </c>
      <c r="G43" s="110" t="str">
        <f>VLOOKUP($A43,Table1[['#]:[Delay Log Notes]],11,FALSE)</f>
        <v>Secure from dredge operations in preparation for yard period</v>
      </c>
      <c r="H43" s="1" t="str">
        <f>_xlfn.IFNA(VLOOKUP(A43,'EDL Data'!$A$2:$M$1245,6,FALSE)," ")</f>
        <v>None</v>
      </c>
      <c r="I43" s="1" t="str">
        <f>_xlfn.IFNA(VLOOKUP(H43,'MCIA Cases'!$A$2:$R$1091,2,FALSE)," ")</f>
        <v xml:space="preserve"> </v>
      </c>
      <c r="J43" s="1" t="str">
        <f>_xlfn.IFNA(VLOOKUP(H43,'MCIA Cases'!$A$2:$R$1091,9,FALSE)," ")</f>
        <v xml:space="preserve"> </v>
      </c>
      <c r="K43" s="1" t="str">
        <f>_xlfn.IFNA(VLOOKUP(H43,'MCIA Cases'!$A$2:$R$1091,10,FALSE)," ")</f>
        <v xml:space="preserve"> </v>
      </c>
      <c r="L43" s="1" t="str">
        <f>_xlfn.IFNA(VLOOKUP(H43,'MCIA Cases'!$A$2:$R$1091,3,FALSE)," ")</f>
        <v xml:space="preserve"> </v>
      </c>
      <c r="M43" s="1" t="str">
        <f>IF(COUNTIF('MCIA Corrective Actions'!$A:$A,H43)=0," ",COUNTIF('MCIA Corrective Actions'!$A:$A,H43))</f>
        <v xml:space="preserve"> </v>
      </c>
      <c r="N43" s="1" t="str">
        <f>IF(COUNTIF('MCIA Corrective Actions'!$A:$A,H43)=0," ",COUNTIFS('MCIA Corrective Actions'!$A:$A,H43,'MCIA Corrective Actions'!N:N,"Yes"))</f>
        <v xml:space="preserve"> </v>
      </c>
      <c r="O43" s="1" t="str">
        <f>_xlfn.IFNA(VLOOKUP(H43,'MCIA Corrective Actions'!$A$2:$R$1092,6,FALSE)," ")</f>
        <v xml:space="preserve"> </v>
      </c>
      <c r="P43" s="1"/>
    </row>
    <row r="44" spans="1:16" ht="30" x14ac:dyDescent="0.25">
      <c r="A44" s="1">
        <v>85</v>
      </c>
      <c r="B44" s="108" t="str">
        <f>VLOOKUP($A44,Table1[['#]:[Vessel]],4,FALSE)</f>
        <v>Illinois</v>
      </c>
      <c r="C44" s="107">
        <f>VLOOKUP($A44,Table1[['#]:[Date]],3,FALSE)</f>
        <v>43310</v>
      </c>
      <c r="D44" s="3">
        <f>VLOOKUP($A44,Table1[['#]:[Hours]],7,FALSE)</f>
        <v>114.9</v>
      </c>
      <c r="E44" s="3" t="str">
        <f>VLOOKUP($A44,Table1[['#]:[System]],8,FALSE)&amp;" / "&amp;VLOOKUP($A44,Table1[['#]:[Subsystem]],9,FALSE)</f>
        <v>Ladder Pump / Motor / Engine</v>
      </c>
      <c r="F44" s="108" t="str">
        <f>VLOOKUP($A44,Table1[['#]:[Work Order '#]],10,FALSE)</f>
        <v>0309370</v>
      </c>
      <c r="G44" s="110" t="str">
        <f>VLOOKUP($A44,Table1[['#]:[Delay Log Notes]],11,FALSE)</f>
        <v>trip off; oil seal blew out; underway to rockaway 1413; arr 1645</v>
      </c>
      <c r="H44" s="1" t="str">
        <f>_xlfn.IFNA(VLOOKUP(A44,'EDL Data'!$A$2:$M$1245,6,FALSE)," ")</f>
        <v>None</v>
      </c>
      <c r="I44" s="1" t="str">
        <f>_xlfn.IFNA(VLOOKUP(H44,'MCIA Cases'!$A$2:$R$1091,2,FALSE)," ")</f>
        <v xml:space="preserve"> </v>
      </c>
      <c r="J44" s="1" t="str">
        <f>_xlfn.IFNA(VLOOKUP(H44,'MCIA Cases'!$A$2:$R$1091,9,FALSE)," ")</f>
        <v xml:space="preserve"> </v>
      </c>
      <c r="K44" s="1" t="str">
        <f>_xlfn.IFNA(VLOOKUP(H44,'MCIA Cases'!$A$2:$R$1091,10,FALSE)," ")</f>
        <v xml:space="preserve"> </v>
      </c>
      <c r="L44" s="1" t="str">
        <f>_xlfn.IFNA(VLOOKUP(H44,'MCIA Cases'!$A$2:$R$1091,3,FALSE)," ")</f>
        <v xml:space="preserve"> </v>
      </c>
      <c r="M44" s="1" t="str">
        <f>IF(COUNTIF('MCIA Corrective Actions'!$A:$A,H44)=0," ",COUNTIF('MCIA Corrective Actions'!$A:$A,H44))</f>
        <v xml:space="preserve"> </v>
      </c>
      <c r="N44" s="1" t="str">
        <f>IF(COUNTIF('MCIA Corrective Actions'!$A:$A,H44)=0," ",COUNTIFS('MCIA Corrective Actions'!$A:$A,H44,'MCIA Corrective Actions'!N:N,"Yes"))</f>
        <v xml:space="preserve"> </v>
      </c>
      <c r="O44" s="1" t="str">
        <f>_xlfn.IFNA(VLOOKUP(H44,'MCIA Corrective Actions'!$A$2:$R$1092,6,FALSE)," ")</f>
        <v xml:space="preserve"> </v>
      </c>
      <c r="P44" s="1"/>
    </row>
    <row r="45" spans="1:16" x14ac:dyDescent="0.25">
      <c r="A45" s="1">
        <v>86</v>
      </c>
      <c r="B45" s="108" t="str">
        <f>VLOOKUP($A45,Table1[['#]:[Vessel]],4,FALSE)</f>
        <v>Liberty Island</v>
      </c>
      <c r="C45" s="107">
        <f>VLOOKUP($A45,Table1[['#]:[Date]],3,FALSE)</f>
        <v>43319</v>
      </c>
      <c r="D45" s="3">
        <f>VLOOKUP($A45,Table1[['#]:[Hours]],7,FALSE)</f>
        <v>70.89</v>
      </c>
      <c r="E45" s="3" t="str">
        <f>VLOOKUP($A45,Table1[['#]:[System]],8,FALSE)&amp;" / "&amp;VLOOKUP($A45,Table1[['#]:[Subsystem]],9,FALSE)</f>
        <v>Main Engine / Propulsion / Other</v>
      </c>
      <c r="F45" s="108" t="str">
        <f>VLOOKUP($A45,Table1[['#]:[Work Order '#]],10,FALSE)</f>
        <v>0848286</v>
      </c>
      <c r="G45" s="110" t="str">
        <f>VLOOKUP($A45,Table1[['#]:[Delay Log Notes]],11,FALSE)</f>
        <v>Oil in cooling water</v>
      </c>
      <c r="H45" s="1" t="str">
        <f>_xlfn.IFNA(VLOOKUP(A45,'EDL Data'!$A$2:$M$1245,6,FALSE)," ")</f>
        <v>None</v>
      </c>
      <c r="I45" s="1" t="str">
        <f>_xlfn.IFNA(VLOOKUP(H45,'MCIA Cases'!$A$2:$R$1091,2,FALSE)," ")</f>
        <v xml:space="preserve"> </v>
      </c>
      <c r="J45" s="1" t="str">
        <f>_xlfn.IFNA(VLOOKUP(H45,'MCIA Cases'!$A$2:$R$1091,9,FALSE)," ")</f>
        <v xml:space="preserve"> </v>
      </c>
      <c r="K45" s="1" t="str">
        <f>_xlfn.IFNA(VLOOKUP(H45,'MCIA Cases'!$A$2:$R$1091,10,FALSE)," ")</f>
        <v xml:space="preserve"> </v>
      </c>
      <c r="L45" s="1" t="str">
        <f>_xlfn.IFNA(VLOOKUP(H45,'MCIA Cases'!$A$2:$R$1091,3,FALSE)," ")</f>
        <v xml:space="preserve"> </v>
      </c>
      <c r="M45" s="1" t="str">
        <f>IF(COUNTIF('MCIA Corrective Actions'!$A:$A,H45)=0," ",COUNTIF('MCIA Corrective Actions'!$A:$A,H45))</f>
        <v xml:space="preserve"> </v>
      </c>
      <c r="N45" s="1" t="str">
        <f>IF(COUNTIF('MCIA Corrective Actions'!$A:$A,H45)=0," ",COUNTIFS('MCIA Corrective Actions'!$A:$A,H45,'MCIA Corrective Actions'!N:N,"Yes"))</f>
        <v xml:space="preserve"> </v>
      </c>
      <c r="O45" s="1" t="str">
        <f>_xlfn.IFNA(VLOOKUP(H45,'MCIA Corrective Actions'!$A$2:$R$1092,6,FALSE)," ")</f>
        <v xml:space="preserve"> </v>
      </c>
      <c r="P45" s="1"/>
    </row>
    <row r="46" spans="1:16" x14ac:dyDescent="0.25">
      <c r="A46" s="1">
        <v>87</v>
      </c>
      <c r="B46" s="108" t="str">
        <f>VLOOKUP($A46,Table1[['#]:[Vessel]],4,FALSE)</f>
        <v>Carolina</v>
      </c>
      <c r="C46" s="107">
        <f>VLOOKUP($A46,Table1[['#]:[Date]],3,FALSE)</f>
        <v>43320</v>
      </c>
      <c r="D46" s="3">
        <f>VLOOKUP($A46,Table1[['#]:[Hours]],7,FALSE)</f>
        <v>55.68</v>
      </c>
      <c r="E46" s="3" t="str">
        <f>VLOOKUP($A46,Table1[['#]:[System]],8,FALSE)&amp;" / "&amp;VLOOKUP($A46,Table1[['#]:[Subsystem]],9,FALSE)</f>
        <v>Cutter / Motor (Cutter Shaft)</v>
      </c>
      <c r="F46" s="108">
        <f>VLOOKUP($A46,Table1[['#]:[Work Order '#]],10,FALSE)</f>
        <v>4038240</v>
      </c>
      <c r="G46" s="110" t="str">
        <f>VLOOKUP($A46,Table1[['#]:[Delay Log Notes]],11,FALSE)</f>
        <v>change out port blower</v>
      </c>
      <c r="H46" s="1" t="str">
        <f>_xlfn.IFNA(VLOOKUP(A46,'EDL Data'!$A$2:$M$1245,6,FALSE)," ")</f>
        <v>None</v>
      </c>
      <c r="I46" s="1" t="str">
        <f>_xlfn.IFNA(VLOOKUP(H46,'MCIA Cases'!$A$2:$R$1091,2,FALSE)," ")</f>
        <v xml:space="preserve"> </v>
      </c>
      <c r="J46" s="1" t="str">
        <f>_xlfn.IFNA(VLOOKUP(H46,'MCIA Cases'!$A$2:$R$1091,9,FALSE)," ")</f>
        <v xml:space="preserve"> </v>
      </c>
      <c r="K46" s="1" t="str">
        <f>_xlfn.IFNA(VLOOKUP(H46,'MCIA Cases'!$A$2:$R$1091,10,FALSE)," ")</f>
        <v xml:space="preserve"> </v>
      </c>
      <c r="L46" s="1" t="str">
        <f>_xlfn.IFNA(VLOOKUP(H46,'MCIA Cases'!$A$2:$R$1091,3,FALSE)," ")</f>
        <v xml:space="preserve"> </v>
      </c>
      <c r="M46" s="1" t="str">
        <f>IF(COUNTIF('MCIA Corrective Actions'!$A:$A,H46)=0," ",COUNTIF('MCIA Corrective Actions'!$A:$A,H46))</f>
        <v xml:space="preserve"> </v>
      </c>
      <c r="N46" s="1" t="str">
        <f>IF(COUNTIF('MCIA Corrective Actions'!$A:$A,H46)=0," ",COUNTIFS('MCIA Corrective Actions'!$A:$A,H46,'MCIA Corrective Actions'!N:N,"Yes"))</f>
        <v xml:space="preserve"> </v>
      </c>
      <c r="O46" s="1" t="str">
        <f>_xlfn.IFNA(VLOOKUP(H46,'MCIA Corrective Actions'!$A$2:$R$1092,6,FALSE)," ")</f>
        <v xml:space="preserve"> </v>
      </c>
      <c r="P46" s="1"/>
    </row>
    <row r="47" spans="1:16" x14ac:dyDescent="0.25">
      <c r="A47" s="1">
        <v>88</v>
      </c>
      <c r="B47" s="108" t="str">
        <f>VLOOKUP($A47,Table1[['#]:[Vessel]],4,FALSE)</f>
        <v>Texas</v>
      </c>
      <c r="C47" s="107">
        <f>VLOOKUP($A47,Table1[['#]:[Date]],3,FALSE)</f>
        <v>43323</v>
      </c>
      <c r="D47" s="3">
        <f>VLOOKUP($A47,Table1[['#]:[Hours]],7,FALSE)</f>
        <v>137.87</v>
      </c>
      <c r="E47" s="3" t="str">
        <f>VLOOKUP($A47,Table1[['#]:[System]],8,FALSE)&amp;" / "&amp;VLOOKUP($A47,Table1[['#]:[Subsystem]],9,FALSE)</f>
        <v>Spuds / Xmas Tree / Winch / Hoist System</v>
      </c>
      <c r="F47" s="108" t="str">
        <f>VLOOKUP($A47,Table1[['#]:[Work Order '#]],10,FALSE)</f>
        <v>0791277</v>
      </c>
      <c r="G47" s="110" t="str">
        <f>VLOOKUP($A47,Table1[['#]:[Delay Log Notes]],11,FALSE)</f>
        <v>busted port breast winch</v>
      </c>
      <c r="H47" s="1">
        <f>_xlfn.IFNA(VLOOKUP(A47,'EDL Data'!$A$2:$M$1245,6,FALSE)," ")</f>
        <v>258</v>
      </c>
      <c r="I47" s="1" t="str">
        <f>_xlfn.IFNA(VLOOKUP(H47,'MCIA Cases'!$A$2:$R$1091,2,FALSE)," ")</f>
        <v>Texas Broken Port Spud Winch</v>
      </c>
      <c r="J47" s="1">
        <f>_xlfn.IFNA(VLOOKUP(H47,'MCIA Cases'!$A$2:$R$1091,9,FALSE)," ")</f>
        <v>0</v>
      </c>
      <c r="K47" s="1">
        <f>_xlfn.IFNA(VLOOKUP(H47,'MCIA Cases'!$A$2:$R$1091,10,FALSE)," ")</f>
        <v>0</v>
      </c>
      <c r="L47" s="1" t="str">
        <f>_xlfn.IFNA(VLOOKUP(H47,'MCIA Cases'!$A$2:$R$1091,3,FALSE)," ")</f>
        <v>James C Towner</v>
      </c>
      <c r="M47" s="1">
        <f>IF(COUNTIF('MCIA Corrective Actions'!$A:$A,H47)=0," ",COUNTIF('MCIA Corrective Actions'!$A:$A,H47))</f>
        <v>1</v>
      </c>
      <c r="N47" s="1">
        <f>IF(COUNTIF('MCIA Corrective Actions'!$A:$A,H47)=0," ",COUNTIFS('MCIA Corrective Actions'!$A:$A,H47,'MCIA Corrective Actions'!N:N,"Yes"))</f>
        <v>1</v>
      </c>
      <c r="O47" s="1" t="str">
        <f>_xlfn.IFNA(VLOOKUP(H47,'MCIA Corrective Actions'!$A$2:$R$1092,6,FALSE)," ")</f>
        <v>James C Towner</v>
      </c>
      <c r="P47" s="1"/>
    </row>
    <row r="48" spans="1:16" x14ac:dyDescent="0.25">
      <c r="A48" s="1">
        <v>89</v>
      </c>
      <c r="B48" s="108" t="str">
        <f>VLOOKUP($A48,Table1[['#]:[Vessel]],4,FALSE)</f>
        <v>Carolina</v>
      </c>
      <c r="C48" s="107">
        <f>VLOOKUP($A48,Table1[['#]:[Date]],3,FALSE)</f>
        <v>43324</v>
      </c>
      <c r="D48" s="3">
        <f>VLOOKUP($A48,Table1[['#]:[Hours]],7,FALSE)</f>
        <v>63.5</v>
      </c>
      <c r="E48" s="3" t="str">
        <f>VLOOKUP($A48,Table1[['#]:[System]],8,FALSE)&amp;" / "&amp;VLOOKUP($A48,Table1[['#]:[Subsystem]],9,FALSE)</f>
        <v>Cutter / Motor (Cutter Shaft)</v>
      </c>
      <c r="F48" s="108">
        <f>VLOOKUP($A48,Table1[['#]:[Work Order '#]],10,FALSE)</f>
        <v>4038342</v>
      </c>
      <c r="G48" s="110" t="str">
        <f>VLOOKUP($A48,Table1[['#]:[Delay Log Notes]],11,FALSE)</f>
        <v>replace cutter motor</v>
      </c>
      <c r="H48" s="1" t="str">
        <f>_xlfn.IFNA(VLOOKUP(A48,'EDL Data'!$A$2:$M$1245,6,FALSE)," ")</f>
        <v>None</v>
      </c>
      <c r="I48" s="1" t="str">
        <f>_xlfn.IFNA(VLOOKUP(H48,'MCIA Cases'!$A$2:$R$1091,2,FALSE)," ")</f>
        <v xml:space="preserve"> </v>
      </c>
      <c r="J48" s="1" t="str">
        <f>_xlfn.IFNA(VLOOKUP(H48,'MCIA Cases'!$A$2:$R$1091,9,FALSE)," ")</f>
        <v xml:space="preserve"> </v>
      </c>
      <c r="K48" s="1" t="str">
        <f>_xlfn.IFNA(VLOOKUP(H48,'MCIA Cases'!$A$2:$R$1091,10,FALSE)," ")</f>
        <v xml:space="preserve"> </v>
      </c>
      <c r="L48" s="1" t="str">
        <f>_xlfn.IFNA(VLOOKUP(H48,'MCIA Cases'!$A$2:$R$1091,3,FALSE)," ")</f>
        <v xml:space="preserve"> </v>
      </c>
      <c r="M48" s="1" t="str">
        <f>IF(COUNTIF('MCIA Corrective Actions'!$A:$A,H48)=0," ",COUNTIF('MCIA Corrective Actions'!$A:$A,H48))</f>
        <v xml:space="preserve"> </v>
      </c>
      <c r="N48" s="1" t="str">
        <f>IF(COUNTIF('MCIA Corrective Actions'!$A:$A,H48)=0," ",COUNTIFS('MCIA Corrective Actions'!$A:$A,H48,'MCIA Corrective Actions'!N:N,"Yes"))</f>
        <v xml:space="preserve"> </v>
      </c>
      <c r="O48" s="1" t="str">
        <f>_xlfn.IFNA(VLOOKUP(H48,'MCIA Corrective Actions'!$A$2:$R$1092,6,FALSE)," ")</f>
        <v xml:space="preserve"> </v>
      </c>
      <c r="P48" s="1"/>
    </row>
    <row r="49" spans="1:16" x14ac:dyDescent="0.25">
      <c r="A49" s="1">
        <v>90</v>
      </c>
      <c r="B49" s="108" t="str">
        <f>VLOOKUP($A49,Table1[['#]:[Vessel]],4,FALSE)</f>
        <v>Carolina</v>
      </c>
      <c r="C49" s="107">
        <f>VLOOKUP($A49,Table1[['#]:[Date]],3,FALSE)</f>
        <v>43329</v>
      </c>
      <c r="D49" s="3">
        <f>VLOOKUP($A49,Table1[['#]:[Hours]],7,FALSE)</f>
        <v>38.5</v>
      </c>
      <c r="E49" s="3" t="str">
        <f>VLOOKUP($A49,Table1[['#]:[System]],8,FALSE)&amp;" / "&amp;VLOOKUP($A49,Table1[['#]:[Subsystem]],9,FALSE)</f>
        <v>Spuds / Xmas Tree / Walking Spud</v>
      </c>
      <c r="F49" s="108">
        <f>VLOOKUP($A49,Table1[['#]:[Work Order '#]],10,FALSE)</f>
        <v>4209697</v>
      </c>
      <c r="G49" s="110" t="str">
        <f>VLOOKUP($A49,Table1[['#]:[Delay Log Notes]],11,FALSE)</f>
        <v>weld crack in GL-10 spud</v>
      </c>
      <c r="H49" s="1" t="str">
        <f>_xlfn.IFNA(VLOOKUP(A49,'EDL Data'!$A$2:$M$1245,6,FALSE)," ")</f>
        <v>None</v>
      </c>
      <c r="I49" s="1" t="str">
        <f>_xlfn.IFNA(VLOOKUP(H49,'MCIA Cases'!$A$2:$R$1091,2,FALSE)," ")</f>
        <v xml:space="preserve"> </v>
      </c>
      <c r="J49" s="1" t="str">
        <f>_xlfn.IFNA(VLOOKUP(H49,'MCIA Cases'!$A$2:$R$1091,9,FALSE)," ")</f>
        <v xml:space="preserve"> </v>
      </c>
      <c r="K49" s="1" t="str">
        <f>_xlfn.IFNA(VLOOKUP(H49,'MCIA Cases'!$A$2:$R$1091,10,FALSE)," ")</f>
        <v xml:space="preserve"> </v>
      </c>
      <c r="L49" s="1" t="str">
        <f>_xlfn.IFNA(VLOOKUP(H49,'MCIA Cases'!$A$2:$R$1091,3,FALSE)," ")</f>
        <v xml:space="preserve"> </v>
      </c>
      <c r="M49" s="1" t="str">
        <f>IF(COUNTIF('MCIA Corrective Actions'!$A:$A,H49)=0," ",COUNTIF('MCIA Corrective Actions'!$A:$A,H49))</f>
        <v xml:space="preserve"> </v>
      </c>
      <c r="N49" s="1" t="str">
        <f>IF(COUNTIF('MCIA Corrective Actions'!$A:$A,H49)=0," ",COUNTIFS('MCIA Corrective Actions'!$A:$A,H49,'MCIA Corrective Actions'!N:N,"Yes"))</f>
        <v xml:space="preserve"> </v>
      </c>
      <c r="O49" s="1" t="str">
        <f>_xlfn.IFNA(VLOOKUP(H49,'MCIA Corrective Actions'!$A$2:$R$1092,6,FALSE)," ")</f>
        <v xml:space="preserve"> </v>
      </c>
      <c r="P49" s="1"/>
    </row>
    <row r="50" spans="1:16" x14ac:dyDescent="0.25">
      <c r="A50" s="1">
        <v>91</v>
      </c>
      <c r="B50" s="108" t="str">
        <f>VLOOKUP($A50,Table1[['#]:[Vessel]],4,FALSE)</f>
        <v>Padre Island</v>
      </c>
      <c r="C50" s="107">
        <f>VLOOKUP($A50,Table1[['#]:[Date]],3,FALSE)</f>
        <v>43329</v>
      </c>
      <c r="D50" s="3">
        <f>VLOOKUP($A50,Table1[['#]:[Hours]],7,FALSE)</f>
        <v>31</v>
      </c>
      <c r="E50" s="3" t="str">
        <f>VLOOKUP($A50,Table1[['#]:[System]],8,FALSE)&amp;" / "&amp;VLOOKUP($A50,Table1[['#]:[Subsystem]],9,FALSE)</f>
        <v>Generator Engine / Other</v>
      </c>
      <c r="F50" s="108">
        <f>VLOOKUP($A50,Table1[['#]:[Work Order '#]],10,FALSE)</f>
        <v>1989653</v>
      </c>
      <c r="G50" s="110" t="str">
        <f>VLOOKUP($A50,Table1[['#]:[Delay Log Notes]],11,FALSE)</f>
        <v>Generator Timing issue</v>
      </c>
      <c r="H50" s="1" t="str">
        <f>_xlfn.IFNA(VLOOKUP(A50,'EDL Data'!$A$2:$M$1245,6,FALSE)," ")</f>
        <v>None</v>
      </c>
      <c r="I50" s="1" t="str">
        <f>_xlfn.IFNA(VLOOKUP(H50,'MCIA Cases'!$A$2:$R$1091,2,FALSE)," ")</f>
        <v xml:space="preserve"> </v>
      </c>
      <c r="J50" s="1" t="str">
        <f>_xlfn.IFNA(VLOOKUP(H50,'MCIA Cases'!$A$2:$R$1091,9,FALSE)," ")</f>
        <v xml:space="preserve"> </v>
      </c>
      <c r="K50" s="1" t="str">
        <f>_xlfn.IFNA(VLOOKUP(H50,'MCIA Cases'!$A$2:$R$1091,10,FALSE)," ")</f>
        <v xml:space="preserve"> </v>
      </c>
      <c r="L50" s="1" t="str">
        <f>_xlfn.IFNA(VLOOKUP(H50,'MCIA Cases'!$A$2:$R$1091,3,FALSE)," ")</f>
        <v xml:space="preserve"> </v>
      </c>
      <c r="M50" s="1" t="str">
        <f>IF(COUNTIF('MCIA Corrective Actions'!$A:$A,H50)=0," ",COUNTIF('MCIA Corrective Actions'!$A:$A,H50))</f>
        <v xml:space="preserve"> </v>
      </c>
      <c r="N50" s="1" t="str">
        <f>IF(COUNTIF('MCIA Corrective Actions'!$A:$A,H50)=0," ",COUNTIFS('MCIA Corrective Actions'!$A:$A,H50,'MCIA Corrective Actions'!N:N,"Yes"))</f>
        <v xml:space="preserve"> </v>
      </c>
      <c r="O50" s="1" t="str">
        <f>_xlfn.IFNA(VLOOKUP(H50,'MCIA Corrective Actions'!$A$2:$R$1092,6,FALSE)," ")</f>
        <v xml:space="preserve"> </v>
      </c>
      <c r="P50" s="1"/>
    </row>
    <row r="51" spans="1:16" x14ac:dyDescent="0.25">
      <c r="A51" s="1">
        <v>92</v>
      </c>
      <c r="B51" s="108" t="str">
        <f>VLOOKUP($A51,Table1[['#]:[Vessel]],4,FALSE)</f>
        <v>Illinois</v>
      </c>
      <c r="C51" s="107">
        <f>VLOOKUP($A51,Table1[['#]:[Date]],3,FALSE)</f>
        <v>43331</v>
      </c>
      <c r="D51" s="3">
        <f>VLOOKUP($A51,Table1[['#]:[Hours]],7,FALSE)</f>
        <v>94.92</v>
      </c>
      <c r="E51" s="3" t="str">
        <f>VLOOKUP($A51,Table1[['#]:[System]],8,FALSE)&amp;" / "&amp;VLOOKUP($A51,Table1[['#]:[Subsystem]],9,FALSE)</f>
        <v>Cutter / Gear Box (Cutter Shaft)</v>
      </c>
      <c r="F51" s="108">
        <f>VLOOKUP($A51,Table1[['#]:[Work Order '#]],10,FALSE)</f>
        <v>4209827</v>
      </c>
      <c r="G51" s="110" t="str">
        <f>VLOOKUP($A51,Table1[['#]:[Delay Log Notes]],11,FALSE)</f>
        <v>underway 1622; anchor 2011</v>
      </c>
      <c r="H51" s="1" t="str">
        <f>_xlfn.IFNA(VLOOKUP(A51,'EDL Data'!$A$2:$M$1245,6,FALSE)," ")</f>
        <v>None</v>
      </c>
      <c r="I51" s="1" t="str">
        <f>_xlfn.IFNA(VLOOKUP(H51,'MCIA Cases'!$A$2:$R$1091,2,FALSE)," ")</f>
        <v xml:space="preserve"> </v>
      </c>
      <c r="J51" s="1" t="str">
        <f>_xlfn.IFNA(VLOOKUP(H51,'MCIA Cases'!$A$2:$R$1091,9,FALSE)," ")</f>
        <v xml:space="preserve"> </v>
      </c>
      <c r="K51" s="1" t="str">
        <f>_xlfn.IFNA(VLOOKUP(H51,'MCIA Cases'!$A$2:$R$1091,10,FALSE)," ")</f>
        <v xml:space="preserve"> </v>
      </c>
      <c r="L51" s="1" t="str">
        <f>_xlfn.IFNA(VLOOKUP(H51,'MCIA Cases'!$A$2:$R$1091,3,FALSE)," ")</f>
        <v xml:space="preserve"> </v>
      </c>
      <c r="M51" s="1" t="str">
        <f>IF(COUNTIF('MCIA Corrective Actions'!$A:$A,H51)=0," ",COUNTIF('MCIA Corrective Actions'!$A:$A,H51))</f>
        <v xml:space="preserve"> </v>
      </c>
      <c r="N51" s="1" t="str">
        <f>IF(COUNTIF('MCIA Corrective Actions'!$A:$A,H51)=0," ",COUNTIFS('MCIA Corrective Actions'!$A:$A,H51,'MCIA Corrective Actions'!N:N,"Yes"))</f>
        <v xml:space="preserve"> </v>
      </c>
      <c r="O51" s="1" t="str">
        <f>_xlfn.IFNA(VLOOKUP(H51,'MCIA Corrective Actions'!$A$2:$R$1092,6,FALSE)," ")</f>
        <v xml:space="preserve"> </v>
      </c>
      <c r="P51" s="1"/>
    </row>
    <row r="52" spans="1:16" x14ac:dyDescent="0.25">
      <c r="A52" s="1">
        <v>93</v>
      </c>
      <c r="B52" s="108" t="str">
        <f>VLOOKUP($A52,Table1[['#]:[Vessel]],4,FALSE)</f>
        <v>Carolina</v>
      </c>
      <c r="C52" s="107">
        <f>VLOOKUP($A52,Table1[['#]:[Date]],3,FALSE)</f>
        <v>43336</v>
      </c>
      <c r="D52" s="3">
        <f>VLOOKUP($A52,Table1[['#]:[Hours]],7,FALSE)</f>
        <v>48.2</v>
      </c>
      <c r="E52" s="3" t="str">
        <f>VLOOKUP($A52,Table1[['#]:[System]],8,FALSE)&amp;" / "&amp;VLOOKUP($A52,Table1[['#]:[Subsystem]],9,FALSE)</f>
        <v>Idler / Spud Barge / GL-10</v>
      </c>
      <c r="F52" s="108">
        <f>VLOOKUP($A52,Table1[['#]:[Work Order '#]],10,FALSE)</f>
        <v>4038551</v>
      </c>
      <c r="G52" s="110" t="str">
        <f>VLOOKUP($A52,Table1[['#]:[Delay Log Notes]],11,FALSE)</f>
        <v>Spud roller</v>
      </c>
      <c r="H52" s="1" t="str">
        <f>_xlfn.IFNA(VLOOKUP(A52,'EDL Data'!$A$2:$M$1245,6,FALSE)," ")</f>
        <v>None</v>
      </c>
      <c r="I52" s="1" t="str">
        <f>_xlfn.IFNA(VLOOKUP(H52,'MCIA Cases'!$A$2:$R$1091,2,FALSE)," ")</f>
        <v xml:space="preserve"> </v>
      </c>
      <c r="J52" s="1" t="str">
        <f>_xlfn.IFNA(VLOOKUP(H52,'MCIA Cases'!$A$2:$R$1091,9,FALSE)," ")</f>
        <v xml:space="preserve"> </v>
      </c>
      <c r="K52" s="1" t="str">
        <f>_xlfn.IFNA(VLOOKUP(H52,'MCIA Cases'!$A$2:$R$1091,10,FALSE)," ")</f>
        <v xml:space="preserve"> </v>
      </c>
      <c r="L52" s="1" t="str">
        <f>_xlfn.IFNA(VLOOKUP(H52,'MCIA Cases'!$A$2:$R$1091,3,FALSE)," ")</f>
        <v xml:space="preserve"> </v>
      </c>
      <c r="M52" s="1" t="str">
        <f>IF(COUNTIF('MCIA Corrective Actions'!$A:$A,H52)=0," ",COUNTIF('MCIA Corrective Actions'!$A:$A,H52))</f>
        <v xml:space="preserve"> </v>
      </c>
      <c r="N52" s="1" t="str">
        <f>IF(COUNTIF('MCIA Corrective Actions'!$A:$A,H52)=0," ",COUNTIFS('MCIA Corrective Actions'!$A:$A,H52,'MCIA Corrective Actions'!N:N,"Yes"))</f>
        <v xml:space="preserve"> </v>
      </c>
      <c r="O52" s="1" t="str">
        <f>_xlfn.IFNA(VLOOKUP(H52,'MCIA Corrective Actions'!$A$2:$R$1092,6,FALSE)," ")</f>
        <v xml:space="preserve"> </v>
      </c>
      <c r="P52" s="1"/>
    </row>
    <row r="53" spans="1:16" x14ac:dyDescent="0.25">
      <c r="A53" s="1">
        <v>94</v>
      </c>
      <c r="B53" s="108" t="str">
        <f>VLOOKUP($A53,Table1[['#]:[Vessel]],4,FALSE)</f>
        <v>Illinois</v>
      </c>
      <c r="C53" s="107">
        <f>VLOOKUP($A53,Table1[['#]:[Date]],3,FALSE)</f>
        <v>43342</v>
      </c>
      <c r="D53" s="3">
        <f>VLOOKUP($A53,Table1[['#]:[Hours]],7,FALSE)</f>
        <v>420.29</v>
      </c>
      <c r="E53" s="3" t="str">
        <f>VLOOKUP($A53,Table1[['#]:[System]],8,FALSE)&amp;" / "&amp;VLOOKUP($A53,Table1[['#]:[Subsystem]],9,FALSE)</f>
        <v>Main Pump / Engine/Motor</v>
      </c>
      <c r="F53" s="108" t="str">
        <f>VLOOKUP($A53,Table1[['#]:[Work Order '#]],10,FALSE)</f>
        <v>4210011  /  0309395</v>
      </c>
      <c r="G53" s="110" t="str">
        <f>VLOOKUP($A53,Table1[['#]:[Delay Log Notes]],11,FALSE)</f>
        <v>None</v>
      </c>
      <c r="H53" s="1" t="str">
        <f>_xlfn.IFNA(VLOOKUP(A53,'EDL Data'!$A$2:$M$1245,6,FALSE)," ")</f>
        <v>None</v>
      </c>
      <c r="I53" s="1" t="str">
        <f>_xlfn.IFNA(VLOOKUP(H53,'MCIA Cases'!$A$2:$R$1091,2,FALSE)," ")</f>
        <v xml:space="preserve"> </v>
      </c>
      <c r="J53" s="1" t="str">
        <f>_xlfn.IFNA(VLOOKUP(H53,'MCIA Cases'!$A$2:$R$1091,9,FALSE)," ")</f>
        <v xml:space="preserve"> </v>
      </c>
      <c r="K53" s="1" t="str">
        <f>_xlfn.IFNA(VLOOKUP(H53,'MCIA Cases'!$A$2:$R$1091,10,FALSE)," ")</f>
        <v xml:space="preserve"> </v>
      </c>
      <c r="L53" s="1" t="str">
        <f>_xlfn.IFNA(VLOOKUP(H53,'MCIA Cases'!$A$2:$R$1091,3,FALSE)," ")</f>
        <v xml:space="preserve"> </v>
      </c>
      <c r="M53" s="1" t="str">
        <f>IF(COUNTIF('MCIA Corrective Actions'!$A:$A,H53)=0," ",COUNTIF('MCIA Corrective Actions'!$A:$A,H53))</f>
        <v xml:space="preserve"> </v>
      </c>
      <c r="N53" s="1" t="str">
        <f>IF(COUNTIF('MCIA Corrective Actions'!$A:$A,H53)=0," ",COUNTIFS('MCIA Corrective Actions'!$A:$A,H53,'MCIA Corrective Actions'!N:N,"Yes"))</f>
        <v xml:space="preserve"> </v>
      </c>
      <c r="O53" s="1" t="str">
        <f>_xlfn.IFNA(VLOOKUP(H53,'MCIA Corrective Actions'!$A$2:$R$1092,6,FALSE)," ")</f>
        <v xml:space="preserve"> </v>
      </c>
      <c r="P53" s="1"/>
    </row>
    <row r="54" spans="1:16" x14ac:dyDescent="0.25">
      <c r="A54" s="1">
        <v>95</v>
      </c>
      <c r="B54" s="108" t="str">
        <f>VLOOKUP($A54,Table1[['#]:[Vessel]],4,FALSE)</f>
        <v>Padre Island</v>
      </c>
      <c r="C54" s="107">
        <f>VLOOKUP($A54,Table1[['#]:[Date]],3,FALSE)</f>
        <v>43349</v>
      </c>
      <c r="D54" s="3">
        <f>VLOOKUP($A54,Table1[['#]:[Hours]],7,FALSE)</f>
        <v>24.91</v>
      </c>
      <c r="E54" s="3" t="str">
        <f>VLOOKUP($A54,Table1[['#]:[System]],8,FALSE)&amp;" / "&amp;VLOOKUP($A54,Table1[['#]:[Subsystem]],9,FALSE)</f>
        <v>Piping / Hoses / Lower Drag Arm</v>
      </c>
      <c r="F54" s="108">
        <f>VLOOKUP($A54,Table1[['#]:[Work Order '#]],10,FALSE)</f>
        <v>1989760</v>
      </c>
      <c r="G54" s="110" t="str">
        <f>VLOOKUP($A54,Table1[['#]:[Delay Log Notes]],11,FALSE)</f>
        <v>None</v>
      </c>
      <c r="H54" s="1" t="str">
        <f>_xlfn.IFNA(VLOOKUP(A54,'EDL Data'!$A$2:$M$1245,6,FALSE)," ")</f>
        <v>None</v>
      </c>
      <c r="I54" s="1" t="str">
        <f>_xlfn.IFNA(VLOOKUP(H54,'MCIA Cases'!$A$2:$R$1091,2,FALSE)," ")</f>
        <v xml:space="preserve"> </v>
      </c>
      <c r="J54" s="1" t="str">
        <f>_xlfn.IFNA(VLOOKUP(H54,'MCIA Cases'!$A$2:$R$1091,9,FALSE)," ")</f>
        <v xml:space="preserve"> </v>
      </c>
      <c r="K54" s="1" t="str">
        <f>_xlfn.IFNA(VLOOKUP(H54,'MCIA Cases'!$A$2:$R$1091,10,FALSE)," ")</f>
        <v xml:space="preserve"> </v>
      </c>
      <c r="L54" s="1" t="str">
        <f>_xlfn.IFNA(VLOOKUP(H54,'MCIA Cases'!$A$2:$R$1091,3,FALSE)," ")</f>
        <v xml:space="preserve"> </v>
      </c>
      <c r="M54" s="1" t="str">
        <f>IF(COUNTIF('MCIA Corrective Actions'!$A:$A,H54)=0," ",COUNTIF('MCIA Corrective Actions'!$A:$A,H54))</f>
        <v xml:space="preserve"> </v>
      </c>
      <c r="N54" s="1" t="str">
        <f>IF(COUNTIF('MCIA Corrective Actions'!$A:$A,H54)=0," ",COUNTIFS('MCIA Corrective Actions'!$A:$A,H54,'MCIA Corrective Actions'!N:N,"Yes"))</f>
        <v xml:space="preserve"> </v>
      </c>
      <c r="O54" s="1" t="str">
        <f>_xlfn.IFNA(VLOOKUP(H54,'MCIA Corrective Actions'!$A$2:$R$1092,6,FALSE)," ")</f>
        <v xml:space="preserve"> </v>
      </c>
      <c r="P54" s="1"/>
    </row>
    <row r="55" spans="1:16" x14ac:dyDescent="0.25">
      <c r="A55" s="1">
        <v>96</v>
      </c>
      <c r="B55" s="108">
        <f>VLOOKUP($A55,Table1[['#]:[Vessel]],4,FALSE)</f>
        <v>54</v>
      </c>
      <c r="C55" s="107">
        <f>VLOOKUP($A55,Table1[['#]:[Date]],3,FALSE)</f>
        <v>43358</v>
      </c>
      <c r="D55" s="3">
        <f>VLOOKUP($A55,Table1[['#]:[Hours]],7,FALSE)</f>
        <v>123.72</v>
      </c>
      <c r="E55" s="3" t="str">
        <f>VLOOKUP($A55,Table1[['#]:[System]],8,FALSE)&amp;" / "&amp;VLOOKUP($A55,Table1[['#]:[Subsystem]],9,FALSE)</f>
        <v>Spud System / Spud Structure</v>
      </c>
      <c r="F55" s="108">
        <f>VLOOKUP($A55,Table1[['#]:[Work Order '#]],10,FALSE)</f>
        <v>4210372</v>
      </c>
      <c r="G55" s="110" t="str">
        <f>VLOOKUP($A55,Table1[['#]:[Delay Log Notes]],11,FALSE)</f>
        <v>broken gear box</v>
      </c>
      <c r="H55" s="1">
        <f>_xlfn.IFNA(VLOOKUP(A55,'EDL Data'!$A$2:$M$1245,6,FALSE)," ")</f>
        <v>263</v>
      </c>
      <c r="I55" s="1" t="str">
        <f>_xlfn.IFNA(VLOOKUP(H55,'MCIA Cases'!$A$2:$R$1091,2,FALSE)," ")</f>
        <v>DR 54 - Stbd Spud Gear Box Shaft Failure</v>
      </c>
      <c r="J55" s="1">
        <f>_xlfn.IFNA(VLOOKUP(H55,'MCIA Cases'!$A$2:$R$1091,9,FALSE)," ")</f>
        <v>0</v>
      </c>
      <c r="K55" s="1">
        <f>_xlfn.IFNA(VLOOKUP(H55,'MCIA Cases'!$A$2:$R$1091,10,FALSE)," ")</f>
        <v>0</v>
      </c>
      <c r="L55" s="1" t="str">
        <f>_xlfn.IFNA(VLOOKUP(H55,'MCIA Cases'!$A$2:$R$1091,3,FALSE)," ")</f>
        <v>Andrew Larkin</v>
      </c>
      <c r="M55" s="1">
        <f>IF(COUNTIF('MCIA Corrective Actions'!$A:$A,H55)=0," ",COUNTIF('MCIA Corrective Actions'!$A:$A,H55))</f>
        <v>3</v>
      </c>
      <c r="N55" s="1">
        <f>IF(COUNTIF('MCIA Corrective Actions'!$A:$A,H55)=0," ",COUNTIFS('MCIA Corrective Actions'!$A:$A,H55,'MCIA Corrective Actions'!N:N,"Yes"))</f>
        <v>3</v>
      </c>
      <c r="O55" s="1" t="str">
        <f>_xlfn.IFNA(VLOOKUP(H55,'MCIA Corrective Actions'!$A$2:$R$1092,6,FALSE)," ")</f>
        <v>Brian Goetchius</v>
      </c>
      <c r="P55" s="1"/>
    </row>
    <row r="56" spans="1:16" x14ac:dyDescent="0.25">
      <c r="A56" s="1">
        <v>97</v>
      </c>
      <c r="B56" s="108" t="str">
        <f>VLOOKUP($A56,Table1[['#]:[Vessel]],4,FALSE)</f>
        <v>Illinois</v>
      </c>
      <c r="C56" s="107">
        <f>VLOOKUP($A56,Table1[['#]:[Date]],3,FALSE)</f>
        <v>43365</v>
      </c>
      <c r="D56" s="3">
        <f>VLOOKUP($A56,Table1[['#]:[Hours]],7,FALSE)</f>
        <v>84.87</v>
      </c>
      <c r="E56" s="3" t="str">
        <f>VLOOKUP($A56,Table1[['#]:[System]],8,FALSE)&amp;" / "&amp;VLOOKUP($A56,Table1[['#]:[Subsystem]],9,FALSE)</f>
        <v>Swing System / Winch System</v>
      </c>
      <c r="F56" s="108" t="str">
        <f>VLOOKUP($A56,Table1[['#]:[Work Order '#]],10,FALSE)</f>
        <v>0309411</v>
      </c>
      <c r="G56" s="110" t="str">
        <f>VLOOKUP($A56,Table1[['#]:[Delay Log Notes]],11,FALSE)</f>
        <v>None</v>
      </c>
      <c r="H56" s="1" t="str">
        <f>_xlfn.IFNA(VLOOKUP(A56,'EDL Data'!$A$2:$M$1245,6,FALSE)," ")</f>
        <v>None</v>
      </c>
      <c r="I56" s="1" t="str">
        <f>_xlfn.IFNA(VLOOKUP(H56,'MCIA Cases'!$A$2:$R$1091,2,FALSE)," ")</f>
        <v xml:space="preserve"> </v>
      </c>
      <c r="J56" s="1" t="str">
        <f>_xlfn.IFNA(VLOOKUP(H56,'MCIA Cases'!$A$2:$R$1091,9,FALSE)," ")</f>
        <v xml:space="preserve"> </v>
      </c>
      <c r="K56" s="1" t="str">
        <f>_xlfn.IFNA(VLOOKUP(H56,'MCIA Cases'!$A$2:$R$1091,10,FALSE)," ")</f>
        <v xml:space="preserve"> </v>
      </c>
      <c r="L56" s="1" t="str">
        <f>_xlfn.IFNA(VLOOKUP(H56,'MCIA Cases'!$A$2:$R$1091,3,FALSE)," ")</f>
        <v xml:space="preserve"> </v>
      </c>
      <c r="M56" s="1" t="str">
        <f>IF(COUNTIF('MCIA Corrective Actions'!$A:$A,H56)=0," ",COUNTIF('MCIA Corrective Actions'!$A:$A,H56))</f>
        <v xml:space="preserve"> </v>
      </c>
      <c r="N56" s="1" t="str">
        <f>IF(COUNTIF('MCIA Corrective Actions'!$A:$A,H56)=0," ",COUNTIFS('MCIA Corrective Actions'!$A:$A,H56,'MCIA Corrective Actions'!N:N,"Yes"))</f>
        <v xml:space="preserve"> </v>
      </c>
      <c r="O56" s="1" t="str">
        <f>_xlfn.IFNA(VLOOKUP(H56,'MCIA Corrective Actions'!$A$2:$R$1092,6,FALSE)," ")</f>
        <v xml:space="preserve"> </v>
      </c>
      <c r="P56" s="1"/>
    </row>
    <row r="57" spans="1:16" x14ac:dyDescent="0.25">
      <c r="A57" s="1">
        <v>98</v>
      </c>
      <c r="B57" s="108" t="str">
        <f>VLOOKUP($A57,Table1[['#]:[Vessel]],4,FALSE)</f>
        <v>Texas</v>
      </c>
      <c r="C57" s="107">
        <f>VLOOKUP($A57,Table1[['#]:[Date]],3,FALSE)</f>
        <v>43369</v>
      </c>
      <c r="D57" s="3">
        <f>VLOOKUP($A57,Table1[['#]:[Hours]],7,FALSE)</f>
        <v>53.9</v>
      </c>
      <c r="E57" s="3" t="str">
        <f>VLOOKUP($A57,Table1[['#]:[System]],8,FALSE)&amp;" / "&amp;VLOOKUP($A57,Table1[['#]:[Subsystem]],9,FALSE)</f>
        <v>Ladder Pump / Pump Leak</v>
      </c>
      <c r="F57" s="108" t="str">
        <f>VLOOKUP($A57,Table1[['#]:[Work Order '#]],10,FALSE)</f>
        <v>0791412</v>
      </c>
      <c r="G57" s="110" t="str">
        <f>VLOOKUP($A57,Table1[['#]:[Delay Log Notes]],11,FALSE)</f>
        <v>Replace rubber hose behind UWP</v>
      </c>
      <c r="H57" s="1" t="str">
        <f>_xlfn.IFNA(VLOOKUP(A57,'EDL Data'!$A$2:$M$1245,6,FALSE)," ")</f>
        <v>None</v>
      </c>
      <c r="I57" s="1" t="str">
        <f>_xlfn.IFNA(VLOOKUP(H57,'MCIA Cases'!$A$2:$R$1091,2,FALSE)," ")</f>
        <v xml:space="preserve"> </v>
      </c>
      <c r="J57" s="1" t="str">
        <f>_xlfn.IFNA(VLOOKUP(H57,'MCIA Cases'!$A$2:$R$1091,9,FALSE)," ")</f>
        <v xml:space="preserve"> </v>
      </c>
      <c r="K57" s="1" t="str">
        <f>_xlfn.IFNA(VLOOKUP(H57,'MCIA Cases'!$A$2:$R$1091,10,FALSE)," ")</f>
        <v xml:space="preserve"> </v>
      </c>
      <c r="L57" s="1" t="str">
        <f>_xlfn.IFNA(VLOOKUP(H57,'MCIA Cases'!$A$2:$R$1091,3,FALSE)," ")</f>
        <v xml:space="preserve"> </v>
      </c>
      <c r="M57" s="1" t="str">
        <f>IF(COUNTIF('MCIA Corrective Actions'!$A:$A,H57)=0," ",COUNTIF('MCIA Corrective Actions'!$A:$A,H57))</f>
        <v xml:space="preserve"> </v>
      </c>
      <c r="N57" s="1" t="str">
        <f>IF(COUNTIF('MCIA Corrective Actions'!$A:$A,H57)=0," ",COUNTIFS('MCIA Corrective Actions'!$A:$A,H57,'MCIA Corrective Actions'!N:N,"Yes"))</f>
        <v xml:space="preserve"> </v>
      </c>
      <c r="O57" s="1" t="str">
        <f>_xlfn.IFNA(VLOOKUP(H57,'MCIA Corrective Actions'!$A$2:$R$1092,6,FALSE)," ")</f>
        <v xml:space="preserve"> </v>
      </c>
      <c r="P57" s="1"/>
    </row>
    <row r="58" spans="1:16" x14ac:dyDescent="0.25">
      <c r="A58" s="1">
        <v>99</v>
      </c>
      <c r="B58" s="108" t="str">
        <f>VLOOKUP($A58,Table1[['#]:[Vessel]],4,FALSE)</f>
        <v>Illinois</v>
      </c>
      <c r="C58" s="107">
        <f>VLOOKUP($A58,Table1[['#]:[Date]],3,FALSE)</f>
        <v>43389</v>
      </c>
      <c r="D58" s="3">
        <f>VLOOKUP($A58,Table1[['#]:[Hours]],7,FALSE)</f>
        <v>179.52</v>
      </c>
      <c r="E58" s="3" t="str">
        <f>VLOOKUP($A58,Table1[['#]:[System]],8,FALSE)&amp;" / "&amp;VLOOKUP($A58,Table1[['#]:[Subsystem]],9,FALSE)</f>
        <v>Suction / Discharge Pipe / Dredge Pipeline</v>
      </c>
      <c r="F58" s="108">
        <f>VLOOKUP($A58,Table1[['#]:[Work Order '#]],10,FALSE)</f>
        <v>4211146</v>
      </c>
      <c r="G58" s="110" t="str">
        <f>VLOOKUP($A58,Table1[['#]:[Delay Log Notes]],11,FALSE)</f>
        <v>None</v>
      </c>
      <c r="H58" s="1" t="str">
        <f>_xlfn.IFNA(VLOOKUP(A58,'EDL Data'!$A$2:$M$1245,6,FALSE)," ")</f>
        <v>None</v>
      </c>
      <c r="I58" s="1" t="str">
        <f>_xlfn.IFNA(VLOOKUP(H58,'MCIA Cases'!$A$2:$R$1091,2,FALSE)," ")</f>
        <v xml:space="preserve"> </v>
      </c>
      <c r="J58" s="1" t="str">
        <f>_xlfn.IFNA(VLOOKUP(H58,'MCIA Cases'!$A$2:$R$1091,9,FALSE)," ")</f>
        <v xml:space="preserve"> </v>
      </c>
      <c r="K58" s="1" t="str">
        <f>_xlfn.IFNA(VLOOKUP(H58,'MCIA Cases'!$A$2:$R$1091,10,FALSE)," ")</f>
        <v xml:space="preserve"> </v>
      </c>
      <c r="L58" s="1" t="str">
        <f>_xlfn.IFNA(VLOOKUP(H58,'MCIA Cases'!$A$2:$R$1091,3,FALSE)," ")</f>
        <v xml:space="preserve"> </v>
      </c>
      <c r="M58" s="1" t="str">
        <f>IF(COUNTIF('MCIA Corrective Actions'!$A:$A,H58)=0," ",COUNTIF('MCIA Corrective Actions'!$A:$A,H58))</f>
        <v xml:space="preserve"> </v>
      </c>
      <c r="N58" s="1" t="str">
        <f>IF(COUNTIF('MCIA Corrective Actions'!$A:$A,H58)=0," ",COUNTIFS('MCIA Corrective Actions'!$A:$A,H58,'MCIA Corrective Actions'!N:N,"Yes"))</f>
        <v xml:space="preserve"> </v>
      </c>
      <c r="O58" s="1" t="str">
        <f>_xlfn.IFNA(VLOOKUP(H58,'MCIA Corrective Actions'!$A$2:$R$1092,6,FALSE)," ")</f>
        <v xml:space="preserve"> </v>
      </c>
      <c r="P58" s="1"/>
    </row>
    <row r="59" spans="1:16" x14ac:dyDescent="0.25">
      <c r="A59" s="1">
        <v>100</v>
      </c>
      <c r="B59" s="108" t="str">
        <f>VLOOKUP($A59,Table1[['#]:[Vessel]],4,FALSE)</f>
        <v>Terrapin Island</v>
      </c>
      <c r="C59" s="107">
        <f>VLOOKUP($A59,Table1[['#]:[Date]],3,FALSE)</f>
        <v>43390</v>
      </c>
      <c r="D59" s="3">
        <f>VLOOKUP($A59,Table1[['#]:[Hours]],7,FALSE)</f>
        <v>224.43</v>
      </c>
      <c r="E59" s="3" t="str">
        <f>VLOOKUP($A59,Table1[['#]:[System]],8,FALSE)&amp;" / "&amp;VLOOKUP($A59,Table1[['#]:[Subsystem]],9,FALSE)</f>
        <v>Main Engine / Propulsion / Other</v>
      </c>
      <c r="F59" s="108">
        <f>VLOOKUP($A59,Table1[['#]:[Work Order '#]],10,FALSE)</f>
        <v>4180731</v>
      </c>
      <c r="G59" s="110" t="str">
        <f>VLOOKUP($A59,Table1[['#]:[Delay Log Notes]],11,FALSE)</f>
        <v>None</v>
      </c>
      <c r="H59" s="1" t="str">
        <f>_xlfn.IFNA(VLOOKUP(A59,'EDL Data'!$A$2:$M$1245,6,FALSE)," ")</f>
        <v>None</v>
      </c>
      <c r="I59" s="1" t="str">
        <f>_xlfn.IFNA(VLOOKUP(H59,'MCIA Cases'!$A$2:$R$1091,2,FALSE)," ")</f>
        <v xml:space="preserve"> </v>
      </c>
      <c r="J59" s="1" t="str">
        <f>_xlfn.IFNA(VLOOKUP(H59,'MCIA Cases'!$A$2:$R$1091,9,FALSE)," ")</f>
        <v xml:space="preserve"> </v>
      </c>
      <c r="K59" s="1" t="str">
        <f>_xlfn.IFNA(VLOOKUP(H59,'MCIA Cases'!$A$2:$R$1091,10,FALSE)," ")</f>
        <v xml:space="preserve"> </v>
      </c>
      <c r="L59" s="1" t="str">
        <f>_xlfn.IFNA(VLOOKUP(H59,'MCIA Cases'!$A$2:$R$1091,3,FALSE)," ")</f>
        <v xml:space="preserve"> </v>
      </c>
      <c r="M59" s="1" t="str">
        <f>IF(COUNTIF('MCIA Corrective Actions'!$A:$A,H59)=0," ",COUNTIF('MCIA Corrective Actions'!$A:$A,H59))</f>
        <v xml:space="preserve"> </v>
      </c>
      <c r="N59" s="1" t="str">
        <f>IF(COUNTIF('MCIA Corrective Actions'!$A:$A,H59)=0," ",COUNTIFS('MCIA Corrective Actions'!$A:$A,H59,'MCIA Corrective Actions'!N:N,"Yes"))</f>
        <v xml:space="preserve"> </v>
      </c>
      <c r="O59" s="1" t="str">
        <f>_xlfn.IFNA(VLOOKUP(H59,'MCIA Corrective Actions'!$A$2:$R$1092,6,FALSE)," ")</f>
        <v xml:space="preserve"> </v>
      </c>
      <c r="P59" s="1"/>
    </row>
    <row r="60" spans="1:16" x14ac:dyDescent="0.25">
      <c r="A60" s="1">
        <v>101</v>
      </c>
      <c r="B60" s="108" t="str">
        <f>VLOOKUP($A60,Table1[['#]:[Vessel]],4,FALSE)</f>
        <v>Ellis Island</v>
      </c>
      <c r="C60" s="107">
        <f>VLOOKUP($A60,Table1[['#]:[Date]],3,FALSE)</f>
        <v>43393</v>
      </c>
      <c r="D60" s="3">
        <f>VLOOKUP($A60,Table1[['#]:[Hours]],7,FALSE)</f>
        <v>45.89</v>
      </c>
      <c r="E60" s="3" t="str">
        <f>VLOOKUP($A60,Table1[['#]:[System]],8,FALSE)&amp;" / "&amp;VLOOKUP($A60,Table1[['#]:[Subsystem]],9,FALSE)</f>
        <v>Dredge Pump / Other</v>
      </c>
      <c r="F60" s="108" t="str">
        <f>VLOOKUP($A60,Table1[['#]:[Work Order '#]],10,FALSE)</f>
        <v>N/A</v>
      </c>
      <c r="G60" s="110" t="str">
        <f>VLOOKUP($A60,Table1[['#]:[Delay Log Notes]],11,FALSE)</f>
        <v>dredge pumps clutch out during pump out</v>
      </c>
      <c r="H60" s="1" t="str">
        <f>_xlfn.IFNA(VLOOKUP(A60,'EDL Data'!$A$2:$M$1245,6,FALSE)," ")</f>
        <v>None</v>
      </c>
      <c r="I60" s="1" t="str">
        <f>_xlfn.IFNA(VLOOKUP(H60,'MCIA Cases'!$A$2:$R$1091,2,FALSE)," ")</f>
        <v xml:space="preserve"> </v>
      </c>
      <c r="J60" s="1" t="str">
        <f>_xlfn.IFNA(VLOOKUP(H60,'MCIA Cases'!$A$2:$R$1091,9,FALSE)," ")</f>
        <v xml:space="preserve"> </v>
      </c>
      <c r="K60" s="1" t="str">
        <f>_xlfn.IFNA(VLOOKUP(H60,'MCIA Cases'!$A$2:$R$1091,10,FALSE)," ")</f>
        <v xml:space="preserve"> </v>
      </c>
      <c r="L60" s="1" t="str">
        <f>_xlfn.IFNA(VLOOKUP(H60,'MCIA Cases'!$A$2:$R$1091,3,FALSE)," ")</f>
        <v xml:space="preserve"> </v>
      </c>
      <c r="M60" s="1" t="str">
        <f>IF(COUNTIF('MCIA Corrective Actions'!$A:$A,H60)=0," ",COUNTIF('MCIA Corrective Actions'!$A:$A,H60))</f>
        <v xml:space="preserve"> </v>
      </c>
      <c r="N60" s="1" t="str">
        <f>IF(COUNTIF('MCIA Corrective Actions'!$A:$A,H60)=0," ",COUNTIFS('MCIA Corrective Actions'!$A:$A,H60,'MCIA Corrective Actions'!N:N,"Yes"))</f>
        <v xml:space="preserve"> </v>
      </c>
      <c r="O60" s="1" t="str">
        <f>_xlfn.IFNA(VLOOKUP(H60,'MCIA Corrective Actions'!$A$2:$R$1092,6,FALSE)," ")</f>
        <v xml:space="preserve"> </v>
      </c>
      <c r="P60" s="1"/>
    </row>
    <row r="61" spans="1:16" x14ac:dyDescent="0.25">
      <c r="A61" s="1">
        <v>102</v>
      </c>
      <c r="B61" s="108" t="str">
        <f>VLOOKUP($A61,Table1[['#]:[Vessel]],4,FALSE)</f>
        <v>Alaska</v>
      </c>
      <c r="C61" s="107">
        <f>VLOOKUP($A61,Table1[['#]:[Date]],3,FALSE)</f>
        <v>43395</v>
      </c>
      <c r="D61" s="3">
        <f>VLOOKUP($A61,Table1[['#]:[Hours]],7,FALSE)</f>
        <v>46.13</v>
      </c>
      <c r="E61" s="3" t="str">
        <f>VLOOKUP($A61,Table1[['#]:[System]],8,FALSE)&amp;" / "&amp;VLOOKUP($A61,Table1[['#]:[Subsystem]],9,FALSE)</f>
        <v>Generators / Main Generator</v>
      </c>
      <c r="F61" s="108">
        <f>VLOOKUP($A61,Table1[['#]:[Work Order '#]],10,FALSE)</f>
        <v>4211171</v>
      </c>
      <c r="G61" s="110" t="str">
        <f>VLOOKUP($A61,Table1[['#]:[Delay Log Notes]],11,FALSE)</f>
        <v>ECM Main Gen</v>
      </c>
      <c r="H61" s="1" t="str">
        <f>_xlfn.IFNA(VLOOKUP(A61,'EDL Data'!$A$2:$M$1245,6,FALSE)," ")</f>
        <v>None</v>
      </c>
      <c r="I61" s="1" t="str">
        <f>_xlfn.IFNA(VLOOKUP(H61,'MCIA Cases'!$A$2:$R$1091,2,FALSE)," ")</f>
        <v xml:space="preserve"> </v>
      </c>
      <c r="J61" s="1" t="str">
        <f>_xlfn.IFNA(VLOOKUP(H61,'MCIA Cases'!$A$2:$R$1091,9,FALSE)," ")</f>
        <v xml:space="preserve"> </v>
      </c>
      <c r="K61" s="1" t="str">
        <f>_xlfn.IFNA(VLOOKUP(H61,'MCIA Cases'!$A$2:$R$1091,10,FALSE)," ")</f>
        <v xml:space="preserve"> </v>
      </c>
      <c r="L61" s="1" t="str">
        <f>_xlfn.IFNA(VLOOKUP(H61,'MCIA Cases'!$A$2:$R$1091,3,FALSE)," ")</f>
        <v xml:space="preserve"> </v>
      </c>
      <c r="M61" s="1" t="str">
        <f>IF(COUNTIF('MCIA Corrective Actions'!$A:$A,H61)=0," ",COUNTIF('MCIA Corrective Actions'!$A:$A,H61))</f>
        <v xml:space="preserve"> </v>
      </c>
      <c r="N61" s="1" t="str">
        <f>IF(COUNTIF('MCIA Corrective Actions'!$A:$A,H61)=0," ",COUNTIFS('MCIA Corrective Actions'!$A:$A,H61,'MCIA Corrective Actions'!N:N,"Yes"))</f>
        <v xml:space="preserve"> </v>
      </c>
      <c r="O61" s="1" t="str">
        <f>_xlfn.IFNA(VLOOKUP(H61,'MCIA Corrective Actions'!$A$2:$R$1092,6,FALSE)," ")</f>
        <v xml:space="preserve"> </v>
      </c>
      <c r="P61" s="1"/>
    </row>
    <row r="62" spans="1:16" x14ac:dyDescent="0.25">
      <c r="A62" s="1">
        <v>103</v>
      </c>
      <c r="B62" s="108" t="str">
        <f>VLOOKUP($A62,Table1[['#]:[Vessel]],4,FALSE)</f>
        <v>Illinois</v>
      </c>
      <c r="C62" s="107">
        <f>VLOOKUP($A62,Table1[['#]:[Date]],3,FALSE)</f>
        <v>43397</v>
      </c>
      <c r="D62" s="3">
        <f>VLOOKUP($A62,Table1[['#]:[Hours]],7,FALSE)</f>
        <v>36.619999999999997</v>
      </c>
      <c r="E62" s="3" t="str">
        <f>VLOOKUP($A62,Table1[['#]:[System]],8,FALSE)&amp;" / "&amp;VLOOKUP($A62,Table1[['#]:[Subsystem]],9,FALSE)</f>
        <v>Ladder   / Ladder Winch</v>
      </c>
      <c r="F62" s="108" t="str">
        <f>VLOOKUP($A62,Table1[['#]:[Work Order '#]],10,FALSE)</f>
        <v>0309443</v>
      </c>
      <c r="G62" s="110" t="str">
        <f>VLOOKUP($A62,Table1[['#]:[Delay Log Notes]],11,FALSE)</f>
        <v>Ladder hoist computer</v>
      </c>
      <c r="H62" s="1" t="str">
        <f>_xlfn.IFNA(VLOOKUP(A62,'EDL Data'!$A$2:$M$1245,6,FALSE)," ")</f>
        <v>None</v>
      </c>
      <c r="I62" s="1" t="str">
        <f>_xlfn.IFNA(VLOOKUP(H62,'MCIA Cases'!$A$2:$R$1091,2,FALSE)," ")</f>
        <v xml:space="preserve"> </v>
      </c>
      <c r="J62" s="1" t="str">
        <f>_xlfn.IFNA(VLOOKUP(H62,'MCIA Cases'!$A$2:$R$1091,9,FALSE)," ")</f>
        <v xml:space="preserve"> </v>
      </c>
      <c r="K62" s="1" t="str">
        <f>_xlfn.IFNA(VLOOKUP(H62,'MCIA Cases'!$A$2:$R$1091,10,FALSE)," ")</f>
        <v xml:space="preserve"> </v>
      </c>
      <c r="L62" s="1" t="str">
        <f>_xlfn.IFNA(VLOOKUP(H62,'MCIA Cases'!$A$2:$R$1091,3,FALSE)," ")</f>
        <v xml:space="preserve"> </v>
      </c>
      <c r="M62" s="1" t="str">
        <f>IF(COUNTIF('MCIA Corrective Actions'!$A:$A,H62)=0," ",COUNTIF('MCIA Corrective Actions'!$A:$A,H62))</f>
        <v xml:space="preserve"> </v>
      </c>
      <c r="N62" s="1" t="str">
        <f>IF(COUNTIF('MCIA Corrective Actions'!$A:$A,H62)=0," ",COUNTIFS('MCIA Corrective Actions'!$A:$A,H62,'MCIA Corrective Actions'!N:N,"Yes"))</f>
        <v xml:space="preserve"> </v>
      </c>
      <c r="O62" s="1" t="str">
        <f>_xlfn.IFNA(VLOOKUP(H62,'MCIA Corrective Actions'!$A$2:$R$1092,6,FALSE)," ")</f>
        <v xml:space="preserve"> </v>
      </c>
      <c r="P62" s="1"/>
    </row>
    <row r="63" spans="1:16" x14ac:dyDescent="0.25">
      <c r="A63" s="1">
        <v>104</v>
      </c>
      <c r="B63" s="108" t="str">
        <f>VLOOKUP($A63,Table1[['#]:[Vessel]],4,FALSE)</f>
        <v>Alaska</v>
      </c>
      <c r="C63" s="107">
        <f>VLOOKUP($A63,Table1[['#]:[Date]],3,FALSE)</f>
        <v>43400</v>
      </c>
      <c r="D63" s="3">
        <f>VLOOKUP($A63,Table1[['#]:[Hours]],7,FALSE)</f>
        <v>122.54</v>
      </c>
      <c r="E63" s="3" t="str">
        <f>VLOOKUP($A63,Table1[['#]:[System]],8,FALSE)&amp;" / "&amp;VLOOKUP($A63,Table1[['#]:[Subsystem]],9,FALSE)</f>
        <v>Suction / Discharge Pipe / Dredge Pipeline</v>
      </c>
      <c r="F63" s="108">
        <f>VLOOKUP($A63,Table1[['#]:[Work Order '#]],10,FALSE)</f>
        <v>1728360</v>
      </c>
      <c r="G63" s="110" t="str">
        <f>VLOOKUP($A63,Table1[['#]:[Delay Log Notes]],11,FALSE)</f>
        <v>None</v>
      </c>
      <c r="H63" s="1">
        <f>_xlfn.IFNA(VLOOKUP(A63,'EDL Data'!$A$2:$M$1245,6,FALSE)," ")</f>
        <v>235</v>
      </c>
      <c r="I63" s="1" t="str">
        <f>_xlfn.IFNA(VLOOKUP(H63,'MCIA Cases'!$A$2:$R$1091,2,FALSE)," ")</f>
        <v>Broken Tail Shaft Coupling 2/1/2018</v>
      </c>
      <c r="J63" s="1">
        <f>_xlfn.IFNA(VLOOKUP(H63,'MCIA Cases'!$A$2:$R$1091,9,FALSE)," ")</f>
        <v>0</v>
      </c>
      <c r="K63" s="1">
        <f>_xlfn.IFNA(VLOOKUP(H63,'MCIA Cases'!$A$2:$R$1091,10,FALSE)," ")</f>
        <v>0</v>
      </c>
      <c r="L63" s="1" t="str">
        <f>_xlfn.IFNA(VLOOKUP(H63,'MCIA Cases'!$A$2:$R$1091,3,FALSE)," ")</f>
        <v>James C Towner</v>
      </c>
      <c r="M63" s="1">
        <f>IF(COUNTIF('MCIA Corrective Actions'!$A:$A,H63)=0," ",COUNTIF('MCIA Corrective Actions'!$A:$A,H63))</f>
        <v>3</v>
      </c>
      <c r="N63" s="1">
        <f>IF(COUNTIF('MCIA Corrective Actions'!$A:$A,H63)=0," ",COUNTIFS('MCIA Corrective Actions'!$A:$A,H63,'MCIA Corrective Actions'!N:N,"Yes"))</f>
        <v>3</v>
      </c>
      <c r="O63" s="1" t="str">
        <f>_xlfn.IFNA(VLOOKUP(H63,'MCIA Corrective Actions'!$A$2:$R$1092,6,FALSE)," ")</f>
        <v>Bill Baumann</v>
      </c>
      <c r="P63" s="1"/>
    </row>
    <row r="64" spans="1:16" x14ac:dyDescent="0.25">
      <c r="A64" s="1">
        <v>105</v>
      </c>
      <c r="B64" s="108" t="str">
        <f>VLOOKUP($A64,Table1[['#]:[Vessel]],4,FALSE)</f>
        <v>Dodge Island</v>
      </c>
      <c r="C64" s="107">
        <f>VLOOKUP($A64,Table1[['#]:[Date]],3,FALSE)</f>
        <v>43402</v>
      </c>
      <c r="D64" s="3">
        <f>VLOOKUP($A64,Table1[['#]:[Hours]],7,FALSE)</f>
        <v>116.77</v>
      </c>
      <c r="E64" s="3" t="str">
        <f>VLOOKUP($A64,Table1[['#]:[System]],8,FALSE)&amp;" / "&amp;VLOOKUP($A64,Table1[['#]:[Subsystem]],9,FALSE)</f>
        <v xml:space="preserve">Dredge Pump Engine / Gearbox  </v>
      </c>
      <c r="F64" s="108">
        <f>VLOOKUP($A64,Table1[['#]:[Work Order '#]],10,FALSE)</f>
        <v>4069836</v>
      </c>
      <c r="G64" s="110" t="str">
        <f>VLOOKUP($A64,Table1[['#]:[Delay Log Notes]],11,FALSE)</f>
        <v>None</v>
      </c>
      <c r="H64" s="1" t="str">
        <f>_xlfn.IFNA(VLOOKUP(A64,'EDL Data'!$A$2:$M$1245,6,FALSE)," ")</f>
        <v>None</v>
      </c>
      <c r="I64" s="1" t="str">
        <f>_xlfn.IFNA(VLOOKUP(H64,'MCIA Cases'!$A$2:$R$1091,2,FALSE)," ")</f>
        <v xml:space="preserve"> </v>
      </c>
      <c r="J64" s="1" t="str">
        <f>_xlfn.IFNA(VLOOKUP(H64,'MCIA Cases'!$A$2:$R$1091,9,FALSE)," ")</f>
        <v xml:space="preserve"> </v>
      </c>
      <c r="K64" s="1" t="str">
        <f>_xlfn.IFNA(VLOOKUP(H64,'MCIA Cases'!$A$2:$R$1091,10,FALSE)," ")</f>
        <v xml:space="preserve"> </v>
      </c>
      <c r="L64" s="1" t="str">
        <f>_xlfn.IFNA(VLOOKUP(H64,'MCIA Cases'!$A$2:$R$1091,3,FALSE)," ")</f>
        <v xml:space="preserve"> </v>
      </c>
      <c r="M64" s="1" t="str">
        <f>IF(COUNTIF('MCIA Corrective Actions'!$A:$A,H64)=0," ",COUNTIF('MCIA Corrective Actions'!$A:$A,H64))</f>
        <v xml:space="preserve"> </v>
      </c>
      <c r="N64" s="1" t="str">
        <f>IF(COUNTIF('MCIA Corrective Actions'!$A:$A,H64)=0," ",COUNTIFS('MCIA Corrective Actions'!$A:$A,H64,'MCIA Corrective Actions'!N:N,"Yes"))</f>
        <v xml:space="preserve"> </v>
      </c>
      <c r="O64" s="1" t="str">
        <f>_xlfn.IFNA(VLOOKUP(H64,'MCIA Corrective Actions'!$A$2:$R$1092,6,FALSE)," ")</f>
        <v xml:space="preserve"> </v>
      </c>
      <c r="P64" s="1"/>
    </row>
    <row r="65" spans="1:16" x14ac:dyDescent="0.25">
      <c r="A65" s="1">
        <v>106</v>
      </c>
      <c r="B65" s="108" t="str">
        <f>VLOOKUP($A65,Table1[['#]:[Vessel]],4,FALSE)</f>
        <v>Liberty Island</v>
      </c>
      <c r="C65" s="107">
        <f>VLOOKUP($A65,Table1[['#]:[Date]],3,FALSE)</f>
        <v>43409</v>
      </c>
      <c r="D65" s="3">
        <f>VLOOKUP($A65,Table1[['#]:[Hours]],7,FALSE)</f>
        <v>72.989999999999995</v>
      </c>
      <c r="E65" s="3" t="str">
        <f>VLOOKUP($A65,Table1[['#]:[System]],8,FALSE)&amp;" / "&amp;VLOOKUP($A65,Table1[['#]:[Subsystem]],9,FALSE)</f>
        <v>Other / Electrical</v>
      </c>
      <c r="F65" s="108" t="str">
        <f>VLOOKUP($A65,Table1[['#]:[Work Order '#]],10,FALSE)</f>
        <v>N/A</v>
      </c>
      <c r="G65" s="110" t="str">
        <f>VLOOKUP($A65,Table1[['#]:[Delay Log Notes]],11,FALSE)</f>
        <v>automation reset to correct skimmer issues</v>
      </c>
      <c r="H65" s="1" t="str">
        <f>_xlfn.IFNA(VLOOKUP(A65,'EDL Data'!$A$2:$M$1245,6,FALSE)," ")</f>
        <v>None</v>
      </c>
      <c r="I65" s="1" t="str">
        <f>_xlfn.IFNA(VLOOKUP(H65,'MCIA Cases'!$A$2:$R$1091,2,FALSE)," ")</f>
        <v xml:space="preserve"> </v>
      </c>
      <c r="J65" s="1" t="str">
        <f>_xlfn.IFNA(VLOOKUP(H65,'MCIA Cases'!$A$2:$R$1091,9,FALSE)," ")</f>
        <v xml:space="preserve"> </v>
      </c>
      <c r="K65" s="1" t="str">
        <f>_xlfn.IFNA(VLOOKUP(H65,'MCIA Cases'!$A$2:$R$1091,10,FALSE)," ")</f>
        <v xml:space="preserve"> </v>
      </c>
      <c r="L65" s="1" t="str">
        <f>_xlfn.IFNA(VLOOKUP(H65,'MCIA Cases'!$A$2:$R$1091,3,FALSE)," ")</f>
        <v xml:space="preserve"> </v>
      </c>
      <c r="M65" s="1" t="str">
        <f>IF(COUNTIF('MCIA Corrective Actions'!$A:$A,H65)=0," ",COUNTIF('MCIA Corrective Actions'!$A:$A,H65))</f>
        <v xml:space="preserve"> </v>
      </c>
      <c r="N65" s="1" t="str">
        <f>IF(COUNTIF('MCIA Corrective Actions'!$A:$A,H65)=0," ",COUNTIFS('MCIA Corrective Actions'!$A:$A,H65,'MCIA Corrective Actions'!N:N,"Yes"))</f>
        <v xml:space="preserve"> </v>
      </c>
      <c r="O65" s="1" t="str">
        <f>_xlfn.IFNA(VLOOKUP(H65,'MCIA Corrective Actions'!$A$2:$R$1092,6,FALSE)," ")</f>
        <v xml:space="preserve"> </v>
      </c>
      <c r="P65" s="1"/>
    </row>
    <row r="66" spans="1:16" x14ac:dyDescent="0.25">
      <c r="A66" s="1">
        <v>107</v>
      </c>
      <c r="B66" s="108" t="str">
        <f>VLOOKUP($A66,Table1[['#]:[Vessel]],4,FALSE)</f>
        <v>Ellis Island</v>
      </c>
      <c r="C66" s="107">
        <f>VLOOKUP($A66,Table1[['#]:[Date]],3,FALSE)</f>
        <v>43411</v>
      </c>
      <c r="D66" s="3">
        <f>VLOOKUP($A66,Table1[['#]:[Hours]],7,FALSE)</f>
        <v>73.540000000000006</v>
      </c>
      <c r="E66" s="3" t="str">
        <f>VLOOKUP($A66,Table1[['#]:[System]],8,FALSE)&amp;" / "&amp;VLOOKUP($A66,Table1[['#]:[Subsystem]],9,FALSE)</f>
        <v>Dredge Pump / Impeller</v>
      </c>
      <c r="F66" s="108" t="str">
        <f>VLOOKUP($A66,Table1[['#]:[Work Order '#]],10,FALSE)</f>
        <v>N/A</v>
      </c>
      <c r="G66" s="110" t="str">
        <f>VLOOKUP($A66,Table1[['#]:[Delay Log Notes]],11,FALSE)</f>
        <v>replace impeller with 80 inch trimmed impeller</v>
      </c>
      <c r="H66" s="1" t="str">
        <f>_xlfn.IFNA(VLOOKUP(A66,'EDL Data'!$A$2:$M$1245,6,FALSE)," ")</f>
        <v>None</v>
      </c>
      <c r="I66" s="1" t="str">
        <f>_xlfn.IFNA(VLOOKUP(H66,'MCIA Cases'!$A$2:$R$1091,2,FALSE)," ")</f>
        <v xml:space="preserve"> </v>
      </c>
      <c r="J66" s="1" t="str">
        <f>_xlfn.IFNA(VLOOKUP(H66,'MCIA Cases'!$A$2:$R$1091,9,FALSE)," ")</f>
        <v xml:space="preserve"> </v>
      </c>
      <c r="K66" s="1" t="str">
        <f>_xlfn.IFNA(VLOOKUP(H66,'MCIA Cases'!$A$2:$R$1091,10,FALSE)," ")</f>
        <v xml:space="preserve"> </v>
      </c>
      <c r="L66" s="1" t="str">
        <f>_xlfn.IFNA(VLOOKUP(H66,'MCIA Cases'!$A$2:$R$1091,3,FALSE)," ")</f>
        <v xml:space="preserve"> </v>
      </c>
      <c r="M66" s="1" t="str">
        <f>IF(COUNTIF('MCIA Corrective Actions'!$A:$A,H66)=0," ",COUNTIF('MCIA Corrective Actions'!$A:$A,H66))</f>
        <v xml:space="preserve"> </v>
      </c>
      <c r="N66" s="1" t="str">
        <f>IF(COUNTIF('MCIA Corrective Actions'!$A:$A,H66)=0," ",COUNTIFS('MCIA Corrective Actions'!$A:$A,H66,'MCIA Corrective Actions'!N:N,"Yes"))</f>
        <v xml:space="preserve"> </v>
      </c>
      <c r="O66" s="1" t="str">
        <f>_xlfn.IFNA(VLOOKUP(H66,'MCIA Corrective Actions'!$A$2:$R$1092,6,FALSE)," ")</f>
        <v xml:space="preserve"> </v>
      </c>
      <c r="P66" s="1"/>
    </row>
    <row r="67" spans="1:16" x14ac:dyDescent="0.25">
      <c r="A67" s="1">
        <v>108</v>
      </c>
      <c r="B67" s="108" t="str">
        <f>VLOOKUP($A67,Table1[['#]:[Vessel]],4,FALSE)</f>
        <v>Carolina</v>
      </c>
      <c r="C67" s="107">
        <f>VLOOKUP($A67,Table1[['#]:[Date]],3,FALSE)</f>
        <v>43446</v>
      </c>
      <c r="D67" s="3">
        <f>VLOOKUP($A67,Table1[['#]:[Hours]],7,FALSE)</f>
        <v>36.520000000000003</v>
      </c>
      <c r="E67" s="3" t="str">
        <f>VLOOKUP($A67,Table1[['#]:[System]],8,FALSE)&amp;" / "&amp;VLOOKUP($A67,Table1[['#]:[Subsystem]],9,FALSE)</f>
        <v>Ladder Pump / Bearings/Shafts</v>
      </c>
      <c r="F67" s="108">
        <f>VLOOKUP($A67,Table1[['#]:[Work Order '#]],10,FALSE)</f>
        <v>4038336</v>
      </c>
      <c r="G67" s="110" t="str">
        <f>VLOOKUP($A67,Table1[['#]:[Delay Log Notes]],11,FALSE)</f>
        <v>change 20 cutter teeth</v>
      </c>
      <c r="H67" s="1" t="str">
        <f>_xlfn.IFNA(VLOOKUP(A67,'EDL Data'!$A$2:$M$1245,6,FALSE)," ")</f>
        <v>None</v>
      </c>
      <c r="I67" s="1" t="str">
        <f>_xlfn.IFNA(VLOOKUP(H67,'MCIA Cases'!$A$2:$R$1091,2,FALSE)," ")</f>
        <v xml:space="preserve"> </v>
      </c>
      <c r="J67" s="1" t="str">
        <f>_xlfn.IFNA(VLOOKUP(H67,'MCIA Cases'!$A$2:$R$1091,9,FALSE)," ")</f>
        <v xml:space="preserve"> </v>
      </c>
      <c r="K67" s="1" t="str">
        <f>_xlfn.IFNA(VLOOKUP(H67,'MCIA Cases'!$A$2:$R$1091,10,FALSE)," ")</f>
        <v xml:space="preserve"> </v>
      </c>
      <c r="L67" s="1" t="str">
        <f>_xlfn.IFNA(VLOOKUP(H67,'MCIA Cases'!$A$2:$R$1091,3,FALSE)," ")</f>
        <v xml:space="preserve"> </v>
      </c>
      <c r="M67" s="1" t="str">
        <f>IF(COUNTIF('MCIA Corrective Actions'!$A:$A,H67)=0," ",COUNTIF('MCIA Corrective Actions'!$A:$A,H67))</f>
        <v xml:space="preserve"> </v>
      </c>
      <c r="N67" s="1" t="str">
        <f>IF(COUNTIF('MCIA Corrective Actions'!$A:$A,H67)=0," ",COUNTIFS('MCIA Corrective Actions'!$A:$A,H67,'MCIA Corrective Actions'!N:N,"Yes"))</f>
        <v xml:space="preserve"> </v>
      </c>
      <c r="O67" s="1" t="str">
        <f>_xlfn.IFNA(VLOOKUP(H67,'MCIA Corrective Actions'!$A$2:$R$1092,6,FALSE)," ")</f>
        <v xml:space="preserve"> </v>
      </c>
      <c r="P67" s="1"/>
    </row>
    <row r="68" spans="1:16" x14ac:dyDescent="0.25">
      <c r="A68" s="1">
        <v>109</v>
      </c>
      <c r="B68" s="108" t="str">
        <f>VLOOKUP($A68,Table1[['#]:[Vessel]],4,FALSE)</f>
        <v>Terrapin Island</v>
      </c>
      <c r="C68" s="107">
        <f>VLOOKUP($A68,Table1[['#]:[Date]],3,FALSE)</f>
        <v>43461</v>
      </c>
      <c r="D68" s="3">
        <f>VLOOKUP($A68,Table1[['#]:[Hours]],7,FALSE)</f>
        <v>29.84</v>
      </c>
      <c r="E68" s="3" t="str">
        <f>VLOOKUP($A68,Table1[['#]:[System]],8,FALSE)&amp;" / "&amp;VLOOKUP($A68,Table1[['#]:[Subsystem]],9,FALSE)</f>
        <v>Other / Hopper</v>
      </c>
      <c r="F68" s="108">
        <f>VLOOKUP($A68,Table1[['#]:[Work Order '#]],10,FALSE)</f>
        <v>4180999</v>
      </c>
      <c r="G68" s="110" t="str">
        <f>VLOOKUP($A68,Table1[['#]:[Delay Log Notes]],11,FALSE)</f>
        <v>No. 6 bottom door reach rod pulled away from cyl. rod</v>
      </c>
      <c r="H68" s="1" t="str">
        <f>_xlfn.IFNA(VLOOKUP(A68,'EDL Data'!$A$2:$M$1245,6,FALSE)," ")</f>
        <v>None</v>
      </c>
      <c r="I68" s="1" t="str">
        <f>_xlfn.IFNA(VLOOKUP(H68,'MCIA Cases'!$A$2:$R$1091,2,FALSE)," ")</f>
        <v xml:space="preserve"> </v>
      </c>
      <c r="J68" s="1" t="str">
        <f>_xlfn.IFNA(VLOOKUP(H68,'MCIA Cases'!$A$2:$R$1091,9,FALSE)," ")</f>
        <v xml:space="preserve"> </v>
      </c>
      <c r="K68" s="1" t="str">
        <f>_xlfn.IFNA(VLOOKUP(H68,'MCIA Cases'!$A$2:$R$1091,10,FALSE)," ")</f>
        <v xml:space="preserve"> </v>
      </c>
      <c r="L68" s="1" t="str">
        <f>_xlfn.IFNA(VLOOKUP(H68,'MCIA Cases'!$A$2:$R$1091,3,FALSE)," ")</f>
        <v xml:space="preserve"> </v>
      </c>
      <c r="M68" s="1" t="str">
        <f>IF(COUNTIF('MCIA Corrective Actions'!$A:$A,H68)=0," ",COUNTIF('MCIA Corrective Actions'!$A:$A,H68))</f>
        <v xml:space="preserve"> </v>
      </c>
      <c r="N68" s="1" t="str">
        <f>IF(COUNTIF('MCIA Corrective Actions'!$A:$A,H68)=0," ",COUNTIFS('MCIA Corrective Actions'!$A:$A,H68,'MCIA Corrective Actions'!N:N,"Yes"))</f>
        <v xml:space="preserve"> </v>
      </c>
      <c r="O68" s="1" t="str">
        <f>_xlfn.IFNA(VLOOKUP(H68,'MCIA Corrective Actions'!$A$2:$R$1092,6,FALSE)," ")</f>
        <v xml:space="preserve"> </v>
      </c>
      <c r="P68" s="1"/>
    </row>
    <row r="69" spans="1:16" x14ac:dyDescent="0.25">
      <c r="A69" s="1">
        <v>110</v>
      </c>
      <c r="B69" s="108" t="str">
        <f>VLOOKUP($A69,Table1[['#]:[Vessel]],4,FALSE)</f>
        <v>Liberty Island</v>
      </c>
      <c r="C69" s="107">
        <f>VLOOKUP($A69,Table1[['#]:[Date]],3,FALSE)</f>
        <v>43462</v>
      </c>
      <c r="D69" s="3">
        <f>VLOOKUP($A69,Table1[['#]:[Hours]],7,FALSE)</f>
        <v>84.36</v>
      </c>
      <c r="E69" s="3" t="str">
        <f>VLOOKUP($A69,Table1[['#]:[System]],8,FALSE)&amp;" / "&amp;VLOOKUP($A69,Table1[['#]:[Subsystem]],9,FALSE)</f>
        <v>Other / Other Mechanical</v>
      </c>
      <c r="F69" s="108" t="str">
        <f>VLOOKUP($A69,Table1[['#]:[Work Order '#]],10,FALSE)</f>
        <v>N/A</v>
      </c>
      <c r="G69" s="110" t="str">
        <f>VLOOKUP($A69,Table1[['#]:[Delay Log Notes]],11,FALSE)</f>
        <v>Dock - Pascagoula</v>
      </c>
      <c r="H69" s="1" t="str">
        <f>_xlfn.IFNA(VLOOKUP(A69,'EDL Data'!$A$2:$M$1245,6,FALSE)," ")</f>
        <v>None</v>
      </c>
      <c r="I69" s="1" t="str">
        <f>_xlfn.IFNA(VLOOKUP(H69,'MCIA Cases'!$A$2:$R$1091,2,FALSE)," ")</f>
        <v xml:space="preserve"> </v>
      </c>
      <c r="J69" s="1" t="str">
        <f>_xlfn.IFNA(VLOOKUP(H69,'MCIA Cases'!$A$2:$R$1091,9,FALSE)," ")</f>
        <v xml:space="preserve"> </v>
      </c>
      <c r="K69" s="1" t="str">
        <f>_xlfn.IFNA(VLOOKUP(H69,'MCIA Cases'!$A$2:$R$1091,10,FALSE)," ")</f>
        <v xml:space="preserve"> </v>
      </c>
      <c r="L69" s="1" t="str">
        <f>_xlfn.IFNA(VLOOKUP(H69,'MCIA Cases'!$A$2:$R$1091,3,FALSE)," ")</f>
        <v xml:space="preserve"> </v>
      </c>
      <c r="M69" s="1" t="str">
        <f>IF(COUNTIF('MCIA Corrective Actions'!$A:$A,H69)=0," ",COUNTIF('MCIA Corrective Actions'!$A:$A,H69))</f>
        <v xml:space="preserve"> </v>
      </c>
      <c r="N69" s="1" t="str">
        <f>IF(COUNTIF('MCIA Corrective Actions'!$A:$A,H69)=0," ",COUNTIFS('MCIA Corrective Actions'!$A:$A,H69,'MCIA Corrective Actions'!N:N,"Yes"))</f>
        <v xml:space="preserve"> </v>
      </c>
      <c r="O69" s="1" t="str">
        <f>_xlfn.IFNA(VLOOKUP(H69,'MCIA Corrective Actions'!$A$2:$R$1092,6,FALSE)," ")</f>
        <v xml:space="preserve"> </v>
      </c>
      <c r="P69" s="1"/>
    </row>
    <row r="70" spans="1:16" x14ac:dyDescent="0.25">
      <c r="A70" s="1">
        <v>111</v>
      </c>
      <c r="B70" s="108">
        <f>VLOOKUP($A70,Table1[['#]:[Vessel]],4,FALSE)</f>
        <v>55</v>
      </c>
      <c r="C70" s="107">
        <f>VLOOKUP($A70,Table1[['#]:[Date]],3,FALSE)</f>
        <v>43464</v>
      </c>
      <c r="D70" s="3">
        <f>VLOOKUP($A70,Table1[['#]:[Hours]],7,FALSE)</f>
        <v>24.16</v>
      </c>
      <c r="E70" s="3" t="str">
        <f>VLOOKUP($A70,Table1[['#]:[System]],8,FALSE)&amp;" / "&amp;VLOOKUP($A70,Table1[['#]:[Subsystem]],9,FALSE)</f>
        <v>Main Hoist / Holder</v>
      </c>
      <c r="F70" s="108">
        <f>VLOOKUP($A70,Table1[['#]:[Work Order '#]],10,FALSE)</f>
        <v>4212279</v>
      </c>
      <c r="G70" s="110" t="str">
        <f>VLOOKUP($A70,Table1[['#]:[Delay Log Notes]],11,FALSE)</f>
        <v>Holding friction will not disengage, Rep. Holding br.</v>
      </c>
      <c r="H70" s="1" t="str">
        <f>_xlfn.IFNA(VLOOKUP(A70,'EDL Data'!$A$2:$M$1245,6,FALSE)," ")</f>
        <v>None</v>
      </c>
      <c r="I70" s="1" t="str">
        <f>_xlfn.IFNA(VLOOKUP(H70,'MCIA Cases'!$A$2:$R$1091,2,FALSE)," ")</f>
        <v xml:space="preserve"> </v>
      </c>
      <c r="J70" s="1" t="str">
        <f>_xlfn.IFNA(VLOOKUP(H70,'MCIA Cases'!$A$2:$R$1091,9,FALSE)," ")</f>
        <v xml:space="preserve"> </v>
      </c>
      <c r="K70" s="1" t="str">
        <f>_xlfn.IFNA(VLOOKUP(H70,'MCIA Cases'!$A$2:$R$1091,10,FALSE)," ")</f>
        <v xml:space="preserve"> </v>
      </c>
      <c r="L70" s="1" t="str">
        <f>_xlfn.IFNA(VLOOKUP(H70,'MCIA Cases'!$A$2:$R$1091,3,FALSE)," ")</f>
        <v xml:space="preserve"> </v>
      </c>
      <c r="M70" s="1" t="str">
        <f>IF(COUNTIF('MCIA Corrective Actions'!$A:$A,H70)=0," ",COUNTIF('MCIA Corrective Actions'!$A:$A,H70))</f>
        <v xml:space="preserve"> </v>
      </c>
      <c r="N70" s="1" t="str">
        <f>IF(COUNTIF('MCIA Corrective Actions'!$A:$A,H70)=0," ",COUNTIFS('MCIA Corrective Actions'!$A:$A,H70,'MCIA Corrective Actions'!N:N,"Yes"))</f>
        <v xml:space="preserve"> </v>
      </c>
      <c r="O70" s="1" t="str">
        <f>_xlfn.IFNA(VLOOKUP(H70,'MCIA Corrective Actions'!$A$2:$R$1092,6,FALSE)," ")</f>
        <v xml:space="preserve"> </v>
      </c>
      <c r="P70" s="1"/>
    </row>
    <row r="71" spans="1:16" ht="3" customHeight="1" x14ac:dyDescent="0.25">
      <c r="B71" s="139"/>
      <c r="C71" s="140"/>
      <c r="D71" s="141"/>
      <c r="E71" s="141"/>
      <c r="F71" s="139"/>
      <c r="G71" s="137"/>
      <c r="H71" s="138"/>
      <c r="I71" s="138"/>
      <c r="J71" s="138"/>
      <c r="K71" s="138"/>
      <c r="L71" s="138"/>
      <c r="M71" s="138"/>
      <c r="N71" s="138"/>
      <c r="O71" s="138"/>
      <c r="P71" s="138"/>
    </row>
    <row r="72" spans="1:16" x14ac:dyDescent="0.25">
      <c r="B72" s="127" t="str">
        <f>_xlfn.IFNA(VLOOKUP(VLOOKUP(H72,'MCIA Cases'!$A$2:$AB$1091,26,FALSE),Summary!$J$43:$K$264,2,FALSE)," ")</f>
        <v xml:space="preserve"> </v>
      </c>
      <c r="C72" s="107" t="str">
        <f>_xlfn.IFNA(VLOOKUP(H72,'MCIA Cases'!$A$2:$R$1091,15,FALSE)," ")</f>
        <v>Brian Markey</v>
      </c>
      <c r="H72" s="1">
        <v>229</v>
      </c>
      <c r="I72" s="1" t="str">
        <f>_xlfn.IFNA(VLOOKUP(H72,'MCIA Cases'!$A$2:$R$1091,2,FALSE)," ")</f>
        <v>STBD Cutter Motor Failure</v>
      </c>
      <c r="J72" s="1">
        <f>_xlfn.IFNA(VLOOKUP(H72,'MCIA Cases'!$A$2:$R$1091,9,FALSE)," ")</f>
        <v>0</v>
      </c>
      <c r="K72" s="1">
        <f>_xlfn.IFNA(VLOOKUP(H72,'MCIA Cases'!$A$2:$R$1091,10,FALSE)," ")</f>
        <v>0</v>
      </c>
      <c r="L72" s="1" t="str">
        <f>_xlfn.IFNA(VLOOKUP(H72,'MCIA Cases'!$A$2:$R$1091,3,FALSE)," ")</f>
        <v>Brian Markey</v>
      </c>
      <c r="M72" s="1">
        <f>IF(COUNTIF('MCIA Corrective Actions'!$A:$A,H72)=0," ",COUNTIF('MCIA Corrective Actions'!$A:$A,H72))</f>
        <v>1</v>
      </c>
      <c r="N72" s="1">
        <f>IF(COUNTIF('MCIA Corrective Actions'!$A:$A,H72)=0," ",COUNTIFS('MCIA Corrective Actions'!$A:$A,H72,'MCIA Corrective Actions'!N:N,"Yes"))</f>
        <v>1</v>
      </c>
      <c r="O72" s="1" t="str">
        <f>_xlfn.IFNA(VLOOKUP(H72,'MCIA Corrective Actions'!$A$2:$R$1092,6,FALSE)," ")</f>
        <v>Bill Baumann</v>
      </c>
      <c r="P72" s="1"/>
    </row>
    <row r="73" spans="1:16" x14ac:dyDescent="0.25">
      <c r="B73" s="127" t="str">
        <f>_xlfn.IFNA(VLOOKUP(VLOOKUP(H73,'MCIA Cases'!$A$2:$AB$1091,26,FALSE),Summary!$J$43:$K$264,2,FALSE)," ")</f>
        <v xml:space="preserve"> </v>
      </c>
      <c r="C73" s="107" t="str">
        <f>_xlfn.IFNA(VLOOKUP(H73,'MCIA Cases'!$A$2:$R$1091,15,FALSE)," ")</f>
        <v>Jose Gracia</v>
      </c>
      <c r="H73" s="1">
        <v>233</v>
      </c>
      <c r="I73" s="1" t="str">
        <f>_xlfn.IFNA(VLOOKUP(H73,'MCIA Cases'!$A$2:$R$1091,2,FALSE)," ")</f>
        <v>Noon Island_Generator Engine Overspeed_02252018</v>
      </c>
      <c r="J73" s="1">
        <f>_xlfn.IFNA(VLOOKUP(H73,'MCIA Cases'!$A$2:$R$1091,9,FALSE)," ")</f>
        <v>0</v>
      </c>
      <c r="K73" s="1">
        <f>_xlfn.IFNA(VLOOKUP(H73,'MCIA Cases'!$A$2:$R$1091,10,FALSE)," ")</f>
        <v>0</v>
      </c>
      <c r="L73" s="1" t="str">
        <f>_xlfn.IFNA(VLOOKUP(H73,'MCIA Cases'!$A$2:$R$1091,3,FALSE)," ")</f>
        <v>Alvin Reyes</v>
      </c>
      <c r="M73" s="1">
        <f>IF(COUNTIF('MCIA Corrective Actions'!$A:$A,H73)=0," ",COUNTIF('MCIA Corrective Actions'!$A:$A,H73))</f>
        <v>4</v>
      </c>
      <c r="N73" s="1">
        <f>IF(COUNTIF('MCIA Corrective Actions'!$A:$A,H73)=0," ",COUNTIFS('MCIA Corrective Actions'!$A:$A,H73,'MCIA Corrective Actions'!N:N,"Yes"))</f>
        <v>4</v>
      </c>
      <c r="O73" s="1" t="str">
        <f>_xlfn.IFNA(VLOOKUP(H73,'MCIA Corrective Actions'!$A$2:$R$1092,6,FALSE)," ")</f>
        <v>Jose Gracia</v>
      </c>
      <c r="P73" s="1"/>
    </row>
    <row r="74" spans="1:16" x14ac:dyDescent="0.25">
      <c r="B74" s="127" t="str">
        <f>_xlfn.IFNA(VLOOKUP(VLOOKUP(H74,'MCIA Cases'!$A$2:$AB$1091,26,FALSE),Summary!$J$43:$K$264,2,FALSE)," ")</f>
        <v xml:space="preserve"> </v>
      </c>
      <c r="C74" s="107" t="str">
        <f>_xlfn.IFNA(VLOOKUP(H74,'MCIA Cases'!$A$2:$R$1091,15,FALSE)," ")</f>
        <v>Mark V Outten</v>
      </c>
      <c r="H74" s="1">
        <v>238</v>
      </c>
      <c r="I74" s="1" t="str">
        <f>_xlfn.IFNA(VLOOKUP(H74,'MCIA Cases'!$A$2:$R$1091,2,FALSE)," ")</f>
        <v>Cutter Gearbox Bearing Failure</v>
      </c>
      <c r="J74" s="1">
        <f>_xlfn.IFNA(VLOOKUP(H74,'MCIA Cases'!$A$2:$R$1091,9,FALSE)," ")</f>
        <v>0</v>
      </c>
      <c r="K74" s="1">
        <f>_xlfn.IFNA(VLOOKUP(H74,'MCIA Cases'!$A$2:$R$1091,10,FALSE)," ")</f>
        <v>0</v>
      </c>
      <c r="L74" s="1" t="str">
        <f>_xlfn.IFNA(VLOOKUP(H74,'MCIA Cases'!$A$2:$R$1091,3,FALSE)," ")</f>
        <v>Mark V Outten</v>
      </c>
      <c r="M74" s="1">
        <f>IF(COUNTIF('MCIA Corrective Actions'!$A:$A,H74)=0," ",COUNTIF('MCIA Corrective Actions'!$A:$A,H74))</f>
        <v>5</v>
      </c>
      <c r="N74" s="1">
        <f>IF(COUNTIF('MCIA Corrective Actions'!$A:$A,H74)=0," ",COUNTIFS('MCIA Corrective Actions'!$A:$A,H74,'MCIA Corrective Actions'!N:N,"Yes"))</f>
        <v>5</v>
      </c>
      <c r="O74" s="1" t="str">
        <f>_xlfn.IFNA(VLOOKUP(H74,'MCIA Corrective Actions'!$A$2:$R$1092,6,FALSE)," ")</f>
        <v>Bill Baumann</v>
      </c>
      <c r="P74" s="1"/>
    </row>
    <row r="75" spans="1:16" x14ac:dyDescent="0.25">
      <c r="B75" s="127" t="str">
        <f>_xlfn.IFNA(VLOOKUP(VLOOKUP(H75,'MCIA Cases'!$A$2:$AB$1091,26,FALSE),Summary!$J$43:$K$264,2,FALSE)," ")</f>
        <v xml:space="preserve"> </v>
      </c>
      <c r="C75" s="107" t="str">
        <f>_xlfn.IFNA(VLOOKUP(H75,'MCIA Cases'!$A$2:$R$1091,15,FALSE)," ")</f>
        <v>Alexanders Andrezens</v>
      </c>
      <c r="H75" s="1">
        <v>244</v>
      </c>
      <c r="I75" s="1" t="str">
        <f>_xlfn.IFNA(VLOOKUP(H75,'MCIA Cases'!$A$2:$R$1091,2,FALSE)," ")</f>
        <v>22711_180413_Ohio_DC Contactor</v>
      </c>
      <c r="J75" s="1">
        <f>_xlfn.IFNA(VLOOKUP(H75,'MCIA Cases'!$A$2:$R$1091,9,FALSE)," ")</f>
        <v>0</v>
      </c>
      <c r="K75" s="1">
        <f>_xlfn.IFNA(VLOOKUP(H75,'MCIA Cases'!$A$2:$R$1091,10,FALSE)," ")</f>
        <v>0</v>
      </c>
      <c r="L75" s="1" t="str">
        <f>_xlfn.IFNA(VLOOKUP(H75,'MCIA Cases'!$A$2:$R$1091,3,FALSE)," ")</f>
        <v>James P Arias</v>
      </c>
      <c r="M75" s="1">
        <f>IF(COUNTIF('MCIA Corrective Actions'!$A:$A,H75)=0," ",COUNTIF('MCIA Corrective Actions'!$A:$A,H75))</f>
        <v>5</v>
      </c>
      <c r="N75" s="1">
        <f>IF(COUNTIF('MCIA Corrective Actions'!$A:$A,H75)=0," ",COUNTIFS('MCIA Corrective Actions'!$A:$A,H75,'MCIA Corrective Actions'!N:N,"Yes"))</f>
        <v>5</v>
      </c>
      <c r="O75" s="1" t="str">
        <f>_xlfn.IFNA(VLOOKUP(H75,'MCIA Corrective Actions'!$A$2:$R$1092,6,FALSE)," ")</f>
        <v>Jose Gracia</v>
      </c>
      <c r="P75" s="1"/>
    </row>
    <row r="76" spans="1:16" x14ac:dyDescent="0.25">
      <c r="B76" s="127" t="str">
        <f>_xlfn.IFNA(VLOOKUP(VLOOKUP(H76,'MCIA Cases'!$A$2:$AB$1091,26,FALSE),Summary!$J$43:$K$264,2,FALSE)," ")</f>
        <v xml:space="preserve"> </v>
      </c>
      <c r="C76" s="107" t="str">
        <f>_xlfn.IFNA(VLOOKUP(H76,'MCIA Cases'!$A$2:$R$1091,15,FALSE)," ")</f>
        <v xml:space="preserve">Matt Ferrell </v>
      </c>
      <c r="H76" s="1">
        <v>259</v>
      </c>
      <c r="I76" s="1" t="str">
        <f>_xlfn.IFNA(VLOOKUP(H76,'MCIA Cases'!$A$2:$R$1091,2,FALSE)," ")</f>
        <v>Cavalier State Grounding</v>
      </c>
      <c r="J76" s="1">
        <f>_xlfn.IFNA(VLOOKUP(H76,'MCIA Cases'!$A$2:$R$1091,9,FALSE)," ")</f>
        <v>0</v>
      </c>
      <c r="K76" s="1">
        <f>_xlfn.IFNA(VLOOKUP(H76,'MCIA Cases'!$A$2:$R$1091,10,FALSE)," ")</f>
        <v>0</v>
      </c>
      <c r="L76" s="1" t="str">
        <f>_xlfn.IFNA(VLOOKUP(H76,'MCIA Cases'!$A$2:$R$1091,3,FALSE)," ")</f>
        <v xml:space="preserve">Matt Ferrell </v>
      </c>
      <c r="M76" s="1">
        <f>IF(COUNTIF('MCIA Corrective Actions'!$A:$A,H76)=0," ",COUNTIF('MCIA Corrective Actions'!$A:$A,H76))</f>
        <v>3</v>
      </c>
      <c r="N76" s="1">
        <f>IF(COUNTIF('MCIA Corrective Actions'!$A:$A,H76)=0," ",COUNTIFS('MCIA Corrective Actions'!$A:$A,H76,'MCIA Corrective Actions'!N:N,"Yes"))</f>
        <v>3</v>
      </c>
      <c r="O76" s="1" t="str">
        <f>_xlfn.IFNA(VLOOKUP(H76,'MCIA Corrective Actions'!$A$2:$R$1092,6,FALSE)," ")</f>
        <v xml:space="preserve">Matt Ferrell </v>
      </c>
      <c r="P76" s="1"/>
    </row>
    <row r="77" spans="1:16" x14ac:dyDescent="0.25">
      <c r="B77" s="127" t="str">
        <f>_xlfn.IFNA(VLOOKUP(VLOOKUP(H77,'MCIA Cases'!$A$2:$AB$1091,26,FALSE),Summary!$J$43:$K$264,2,FALSE)," ")</f>
        <v xml:space="preserve"> </v>
      </c>
      <c r="C77" s="107" t="str">
        <f>_xlfn.IFNA(VLOOKUP(H77,'MCIA Cases'!$A$2:$R$1091,15,FALSE)," ")</f>
        <v>Jacques Coetzee</v>
      </c>
      <c r="H77" s="1">
        <v>261</v>
      </c>
      <c r="I77" s="1" t="str">
        <f>_xlfn.IFNA(VLOOKUP(H77,'MCIA Cases'!$A$2:$R$1091,2,FALSE)," ")</f>
        <v>Booster 9 Generators</v>
      </c>
      <c r="J77" s="1">
        <f>_xlfn.IFNA(VLOOKUP(H77,'MCIA Cases'!$A$2:$R$1091,9,FALSE)," ")</f>
        <v>0</v>
      </c>
      <c r="K77" s="1">
        <f>_xlfn.IFNA(VLOOKUP(H77,'MCIA Cases'!$A$2:$R$1091,10,FALSE)," ")</f>
        <v>0</v>
      </c>
      <c r="L77" s="1" t="str">
        <f>_xlfn.IFNA(VLOOKUP(H77,'MCIA Cases'!$A$2:$R$1091,3,FALSE)," ")</f>
        <v>James P Arias</v>
      </c>
      <c r="M77" s="1">
        <f>IF(COUNTIF('MCIA Corrective Actions'!$A:$A,H77)=0," ",COUNTIF('MCIA Corrective Actions'!$A:$A,H77))</f>
        <v>2</v>
      </c>
      <c r="N77" s="1">
        <f>IF(COUNTIF('MCIA Corrective Actions'!$A:$A,H77)=0," ",COUNTIFS('MCIA Corrective Actions'!$A:$A,H77,'MCIA Corrective Actions'!N:N,"Yes"))</f>
        <v>2</v>
      </c>
      <c r="O77" s="1" t="str">
        <f>_xlfn.IFNA(VLOOKUP(H77,'MCIA Corrective Actions'!$A$2:$R$1092,6,FALSE)," ")</f>
        <v>Jose Gracia</v>
      </c>
      <c r="P77" s="1"/>
    </row>
    <row r="78" spans="1:16" x14ac:dyDescent="0.25">
      <c r="B78" s="127" t="str">
        <f>_xlfn.IFNA(VLOOKUP(VLOOKUP(H78,'MCIA Cases'!$A$2:$AB$1091,26,FALSE),Summary!$J$43:$K$264,2,FALSE)," ")</f>
        <v xml:space="preserve"> </v>
      </c>
      <c r="C78" s="107" t="str">
        <f>_xlfn.IFNA(VLOOKUP(H78,'MCIA Cases'!$A$2:$R$1091,15,FALSE)," ")</f>
        <v>Brian C Puckett</v>
      </c>
      <c r="H78" s="1">
        <v>270</v>
      </c>
      <c r="I78" s="1" t="str">
        <f>_xlfn.IFNA(VLOOKUP(H78,'MCIA Cases'!$A$2:$R$1091,2,FALSE)," ")</f>
        <v>AB 118 Damage</v>
      </c>
      <c r="J78" s="1">
        <f>_xlfn.IFNA(VLOOKUP(H78,'MCIA Cases'!$A$2:$R$1091,9,FALSE)," ")</f>
        <v>0</v>
      </c>
      <c r="K78" s="1">
        <f>_xlfn.IFNA(VLOOKUP(H78,'MCIA Cases'!$A$2:$R$1091,10,FALSE)," ")</f>
        <v>0</v>
      </c>
      <c r="L78" s="1" t="str">
        <f>_xlfn.IFNA(VLOOKUP(H78,'MCIA Cases'!$A$2:$R$1091,3,FALSE)," ")</f>
        <v>Brian C Puckett</v>
      </c>
      <c r="M78" s="1">
        <f>IF(COUNTIF('MCIA Corrective Actions'!$A:$A,H78)=0," ",COUNTIF('MCIA Corrective Actions'!$A:$A,H78))</f>
        <v>4</v>
      </c>
      <c r="N78" s="1">
        <f>IF(COUNTIF('MCIA Corrective Actions'!$A:$A,H78)=0," ",COUNTIFS('MCIA Corrective Actions'!$A:$A,H78,'MCIA Corrective Actions'!N:N,"Yes"))</f>
        <v>4</v>
      </c>
      <c r="O78" s="1" t="str">
        <f>_xlfn.IFNA(VLOOKUP(H78,'MCIA Corrective Actions'!$A$2:$R$1092,6,FALSE)," ")</f>
        <v>Jeremy Remme</v>
      </c>
      <c r="P78" s="1"/>
    </row>
    <row r="79" spans="1:16" x14ac:dyDescent="0.25">
      <c r="B79" s="127" t="str">
        <f>_xlfn.IFNA(VLOOKUP(VLOOKUP(H79,'MCIA Cases'!$A$2:$AB$1091,26,FALSE),Summary!$J$43:$K$264,2,FALSE)," ")</f>
        <v xml:space="preserve"> </v>
      </c>
      <c r="C79" s="107" t="str">
        <f>_xlfn.IFNA(VLOOKUP(H79,'MCIA Cases'!$A$2:$R$1091,15,FALSE)," ")</f>
        <v>Tim J Kremer</v>
      </c>
      <c r="H79" s="1">
        <v>273</v>
      </c>
      <c r="I79" s="1" t="str">
        <f>_xlfn.IFNA(VLOOKUP(H79,'MCIA Cases'!$A$2:$R$1091,2,FALSE)," ")</f>
        <v>Alaska anchor contact with hull</v>
      </c>
      <c r="J79" s="1">
        <f>_xlfn.IFNA(VLOOKUP(H79,'MCIA Cases'!$A$2:$R$1091,9,FALSE)," ")</f>
        <v>0</v>
      </c>
      <c r="K79" s="1">
        <f>_xlfn.IFNA(VLOOKUP(H79,'MCIA Cases'!$A$2:$R$1091,10,FALSE)," ")</f>
        <v>0</v>
      </c>
      <c r="L79" s="1" t="str">
        <f>_xlfn.IFNA(VLOOKUP(H79,'MCIA Cases'!$A$2:$R$1091,3,FALSE)," ")</f>
        <v>Tim J Kremer</v>
      </c>
      <c r="M79" s="1">
        <f>IF(COUNTIF('MCIA Corrective Actions'!$A:$A,H79)=0," ",COUNTIF('MCIA Corrective Actions'!$A:$A,H79))</f>
        <v>2</v>
      </c>
      <c r="N79" s="1">
        <f>IF(COUNTIF('MCIA Corrective Actions'!$A:$A,H79)=0," ",COUNTIFS('MCIA Corrective Actions'!$A:$A,H79,'MCIA Corrective Actions'!N:N,"Yes"))</f>
        <v>2</v>
      </c>
      <c r="O79" s="1" t="str">
        <f>_xlfn.IFNA(VLOOKUP(H79,'MCIA Corrective Actions'!$A$2:$R$1092,6,FALSE)," ")</f>
        <v>Tim J Kremer</v>
      </c>
      <c r="P79" s="1"/>
    </row>
    <row r="80" spans="1:16" x14ac:dyDescent="0.25">
      <c r="B80" s="127" t="str">
        <f>_xlfn.IFNA(VLOOKUP(VLOOKUP(H80,'MCIA Cases'!$A$2:$AB$1091,26,FALSE),Summary!$J$43:$K$264,2,FALSE)," ")</f>
        <v xml:space="preserve"> </v>
      </c>
      <c r="C80" s="107" t="str">
        <f>_xlfn.IFNA(VLOOKUP(H80,'MCIA Cases'!$A$2:$R$1091,15,FALSE)," ")</f>
        <v>Mathew Bishop</v>
      </c>
      <c r="H80" s="1">
        <v>274</v>
      </c>
      <c r="I80" s="1" t="str">
        <f>_xlfn.IFNA(VLOOKUP(H80,'MCIA Cases'!$A$2:$R$1091,2,FALSE)," ")</f>
        <v>Booster Jack Spud Foot / Hull/ and hose Damage</v>
      </c>
      <c r="J80" s="1">
        <f>_xlfn.IFNA(VLOOKUP(H80,'MCIA Cases'!$A$2:$R$1091,9,FALSE)," ")</f>
        <v>0</v>
      </c>
      <c r="K80" s="1">
        <f>_xlfn.IFNA(VLOOKUP(H80,'MCIA Cases'!$A$2:$R$1091,10,FALSE)," ")</f>
        <v>0</v>
      </c>
      <c r="L80" s="1" t="str">
        <f>_xlfn.IFNA(VLOOKUP(H80,'MCIA Cases'!$A$2:$R$1091,3,FALSE)," ")</f>
        <v>Mathew Bishop</v>
      </c>
      <c r="M80" s="1">
        <f>IF(COUNTIF('MCIA Corrective Actions'!$A:$A,H80)=0," ",COUNTIF('MCIA Corrective Actions'!$A:$A,H80))</f>
        <v>2</v>
      </c>
      <c r="N80" s="1">
        <f>IF(COUNTIF('MCIA Corrective Actions'!$A:$A,H80)=0," ",COUNTIFS('MCIA Corrective Actions'!$A:$A,H80,'MCIA Corrective Actions'!N:N,"Yes"))</f>
        <v>0</v>
      </c>
      <c r="O80" s="1" t="str">
        <f>_xlfn.IFNA(VLOOKUP(H80,'MCIA Corrective Actions'!$A$2:$R$1092,6,FALSE)," ")</f>
        <v>Sherif Abdelgafar</v>
      </c>
      <c r="P80" s="1"/>
    </row>
    <row r="81" spans="2:16" x14ac:dyDescent="0.25">
      <c r="B81" s="127" t="str">
        <f>_xlfn.IFNA(VLOOKUP(VLOOKUP(H81,'MCIA Cases'!$A$2:$AB$1091,26,FALSE),Summary!$J$43:$K$264,2,FALSE)," ")</f>
        <v xml:space="preserve"> </v>
      </c>
      <c r="C81" s="107" t="str">
        <f>_xlfn.IFNA(VLOOKUP(H81,'MCIA Cases'!$A$2:$R$1091,15,FALSE)," ")</f>
        <v>Mike Hungerford</v>
      </c>
      <c r="H81" s="1">
        <v>278</v>
      </c>
      <c r="I81" s="1" t="str">
        <f>_xlfn.IFNA(VLOOKUP(H81,'MCIA Cases'!$A$2:$R$1091,2,FALSE)," ")</f>
        <v>Dredge Carolina Suction Hose Failure</v>
      </c>
      <c r="J81" s="1">
        <f>_xlfn.IFNA(VLOOKUP(H81,'MCIA Cases'!$A$2:$R$1091,9,FALSE)," ")</f>
        <v>0</v>
      </c>
      <c r="K81" s="1">
        <f>_xlfn.IFNA(VLOOKUP(H81,'MCIA Cases'!$A$2:$R$1091,10,FALSE)," ")</f>
        <v>0</v>
      </c>
      <c r="L81" s="1" t="str">
        <f>_xlfn.IFNA(VLOOKUP(H81,'MCIA Cases'!$A$2:$R$1091,3,FALSE)," ")</f>
        <v>Mike Hungerford</v>
      </c>
      <c r="M81" s="1">
        <f>IF(COUNTIF('MCIA Corrective Actions'!$A:$A,H81)=0," ",COUNTIF('MCIA Corrective Actions'!$A:$A,H81))</f>
        <v>2</v>
      </c>
      <c r="N81" s="1">
        <f>IF(COUNTIF('MCIA Corrective Actions'!$A:$A,H81)=0," ",COUNTIFS('MCIA Corrective Actions'!$A:$A,H81,'MCIA Corrective Actions'!N:N,"Yes"))</f>
        <v>2</v>
      </c>
      <c r="O81" s="1" t="str">
        <f>_xlfn.IFNA(VLOOKUP(H81,'MCIA Corrective Actions'!$A$2:$R$1092,6,FALSE)," ")</f>
        <v>Mike Hungerford</v>
      </c>
      <c r="P81" s="1"/>
    </row>
    <row r="82" spans="2:16" x14ac:dyDescent="0.25">
      <c r="H82" s="1"/>
    </row>
    <row r="83" spans="2:16" x14ac:dyDescent="0.25">
      <c r="H83" s="1"/>
    </row>
    <row r="84" spans="2:16" x14ac:dyDescent="0.25">
      <c r="H84" s="1"/>
    </row>
    <row r="85" spans="2:16" x14ac:dyDescent="0.25">
      <c r="H85" s="1"/>
    </row>
    <row r="86" spans="2:16" x14ac:dyDescent="0.25">
      <c r="H86" s="1"/>
    </row>
    <row r="87" spans="2:16" x14ac:dyDescent="0.25">
      <c r="H87" s="1"/>
    </row>
  </sheetData>
  <autoFilter ref="A3:P3" xr:uid="{00000000-0009-0000-0000-000006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sheetPr>
  <dimension ref="A1:P91"/>
  <sheetViews>
    <sheetView workbookViewId="0">
      <pane ySplit="3" topLeftCell="A4" activePane="bottomLeft" state="frozen"/>
      <selection activeCell="I56" sqref="I56"/>
      <selection pane="bottomLeft" activeCell="I56" sqref="I56"/>
    </sheetView>
  </sheetViews>
  <sheetFormatPr defaultRowHeight="15" x14ac:dyDescent="0.25"/>
  <cols>
    <col min="1" max="1" width="13.140625" style="1" hidden="1" customWidth="1"/>
    <col min="2" max="2" width="14.28515625" style="108" bestFit="1" customWidth="1"/>
    <col min="3" max="3" width="10.7109375" style="107" bestFit="1" customWidth="1"/>
    <col min="4" max="4" width="9" style="3" bestFit="1" customWidth="1"/>
    <col min="5" max="5" width="40.85546875" style="1" customWidth="1"/>
    <col min="6" max="6" width="20.85546875" style="109" bestFit="1" customWidth="1"/>
    <col min="7" max="7" width="52" style="7" customWidth="1"/>
    <col min="8" max="8" width="7.85546875" style="1" bestFit="1" customWidth="1"/>
    <col min="9" max="9" width="41.5703125" customWidth="1"/>
    <col min="10" max="10" width="10.7109375" bestFit="1" customWidth="1"/>
    <col min="11" max="11" width="16.5703125" bestFit="1" customWidth="1"/>
    <col min="12" max="12" width="14.85546875" bestFit="1" customWidth="1"/>
    <col min="13" max="13" width="10.7109375" customWidth="1"/>
    <col min="14" max="14" width="10.28515625" customWidth="1"/>
    <col min="15" max="15" width="16.42578125" bestFit="1" customWidth="1"/>
    <col min="16" max="16" width="14.42578125" customWidth="1"/>
  </cols>
  <sheetData>
    <row r="1" spans="1:16" x14ac:dyDescent="0.25">
      <c r="E1" s="11" t="s">
        <v>609</v>
      </c>
    </row>
    <row r="3" spans="1:16" ht="60" x14ac:dyDescent="0.25">
      <c r="A3" s="106" t="s">
        <v>625</v>
      </c>
      <c r="B3" s="117" t="s">
        <v>588</v>
      </c>
      <c r="C3" s="118" t="s">
        <v>589</v>
      </c>
      <c r="D3" s="119" t="s">
        <v>590</v>
      </c>
      <c r="E3" s="120" t="s">
        <v>591</v>
      </c>
      <c r="F3" s="114" t="s">
        <v>592</v>
      </c>
      <c r="G3" s="113" t="s">
        <v>605</v>
      </c>
      <c r="H3" s="113" t="s">
        <v>1276</v>
      </c>
      <c r="I3" s="113" t="s">
        <v>1277</v>
      </c>
      <c r="J3" s="113" t="s">
        <v>657</v>
      </c>
      <c r="K3" s="113" t="s">
        <v>652</v>
      </c>
      <c r="L3" s="113" t="s">
        <v>655</v>
      </c>
      <c r="M3" s="113" t="s">
        <v>653</v>
      </c>
      <c r="N3" s="113" t="s">
        <v>654</v>
      </c>
      <c r="O3" s="113" t="s">
        <v>2273</v>
      </c>
      <c r="P3" s="113" t="s">
        <v>660</v>
      </c>
    </row>
    <row r="4" spans="1:16" x14ac:dyDescent="0.25">
      <c r="A4" s="1">
        <v>112</v>
      </c>
      <c r="B4" s="108" t="str">
        <f>VLOOKUP($A4,Table1[['#]:[Vessel]],4,FALSE)</f>
        <v>Alaska</v>
      </c>
      <c r="C4" s="107">
        <f>VLOOKUP($A4,Table1[['#]:[Date]],3,FALSE)</f>
        <v>43466</v>
      </c>
      <c r="D4" s="3">
        <f>VLOOKUP($A4,Table1[['#]:[Hours]],7,FALSE)</f>
        <v>95.14</v>
      </c>
      <c r="E4" s="3" t="str">
        <f>VLOOKUP($A4,Table1[['#]:[System]],8,FALSE)&amp;" / "&amp;VLOOKUP($A4,Table1[['#]:[Subsystem]],9,FALSE)</f>
        <v>Ladder Pump / Motor/Engine</v>
      </c>
      <c r="F4" s="108">
        <f>VLOOKUP($A4,Table1[['#]:[Work Order '#]],10,FALSE)</f>
        <v>1728433</v>
      </c>
      <c r="G4" s="110" t="str">
        <f>VLOOKUP($A4,Table1[['#]:[Delay Log Notes]],11,FALSE)</f>
        <v>Oil leak</v>
      </c>
      <c r="H4" s="1" t="str">
        <f>_xlfn.IFNA(VLOOKUP(A4,'EDL Data'!$A$2:$M$1245,6,FALSE)," ")</f>
        <v>None</v>
      </c>
      <c r="I4" s="1" t="str">
        <f>_xlfn.IFNA(VLOOKUP(H4,'MCIA Cases'!$A$2:$R$1091,2,FALSE)," ")</f>
        <v xml:space="preserve"> </v>
      </c>
      <c r="J4" s="1" t="str">
        <f>_xlfn.IFNA(VLOOKUP(H4,'MCIA Cases'!$A$2:$R$1091,9,FALSE)," ")</f>
        <v xml:space="preserve"> </v>
      </c>
      <c r="K4" s="1" t="str">
        <f>_xlfn.IFNA(VLOOKUP(H4,'MCIA Cases'!$A$2:$R$1091,10,FALSE)," ")</f>
        <v xml:space="preserve"> </v>
      </c>
      <c r="L4" s="1" t="str">
        <f>_xlfn.IFNA(VLOOKUP(H4,'MCIA Cases'!$A$2:$R$1091,3,FALSE)," ")</f>
        <v xml:space="preserve"> </v>
      </c>
      <c r="M4" s="1" t="str">
        <f>IF(COUNTIF('MCIA Corrective Actions'!$A:$A,H4)=0," ",COUNTIF('MCIA Corrective Actions'!$A:$A,H4))</f>
        <v xml:space="preserve"> </v>
      </c>
      <c r="N4" s="1" t="str">
        <f>IF(COUNTIF('MCIA Corrective Actions'!$A:$A,H4)=0," ",COUNTIFS('MCIA Corrective Actions'!$A:$A,H4,'MCIA Corrective Actions'!N:N,"Yes"))</f>
        <v xml:space="preserve"> </v>
      </c>
      <c r="O4" s="1" t="str">
        <f>_xlfn.IFNA(VLOOKUP(H4,'MCIA Corrective Actions'!$A$2:$R$1092,6,FALSE)," ")</f>
        <v xml:space="preserve"> </v>
      </c>
      <c r="P4" s="1"/>
    </row>
    <row r="5" spans="1:16" x14ac:dyDescent="0.25">
      <c r="A5" s="1">
        <v>113</v>
      </c>
      <c r="B5" s="108" t="str">
        <f>VLOOKUP($A5,Table1[['#]:[Vessel]],4,FALSE)</f>
        <v>Ellis Island</v>
      </c>
      <c r="C5" s="107">
        <f>VLOOKUP($A5,Table1[['#]:[Date]],3,FALSE)</f>
        <v>43469</v>
      </c>
      <c r="D5" s="3">
        <f>VLOOKUP($A5,Table1[['#]:[Hours]],7,FALSE)</f>
        <v>35.54</v>
      </c>
      <c r="E5" s="3" t="str">
        <f>VLOOKUP($A5,Table1[['#]:[System]],8,FALSE)&amp;" / "&amp;VLOOKUP($A5,Table1[['#]:[Subsystem]],9,FALSE)</f>
        <v>Trunnion Hoist / Other</v>
      </c>
      <c r="F5" s="108" t="str">
        <f>VLOOKUP($A5,Table1[['#]:[Work Order '#]],10,FALSE)</f>
        <v>None</v>
      </c>
      <c r="G5" s="110" t="str">
        <f>VLOOKUP($A5,Table1[['#]:[Delay Log Notes]],11,FALSE)</f>
        <v>none</v>
      </c>
      <c r="H5" s="1" t="str">
        <f>_xlfn.IFNA(VLOOKUP(A5,'EDL Data'!$A$2:$M$1245,6,FALSE)," ")</f>
        <v>None</v>
      </c>
      <c r="I5" s="1" t="str">
        <f>_xlfn.IFNA(VLOOKUP(H5,'MCIA Cases'!$A$2:$R$1091,2,FALSE)," ")</f>
        <v xml:space="preserve"> </v>
      </c>
      <c r="J5" s="1" t="str">
        <f>_xlfn.IFNA(VLOOKUP(H5,'MCIA Cases'!$A$2:$R$1091,9,FALSE)," ")</f>
        <v xml:space="preserve"> </v>
      </c>
      <c r="K5" s="1" t="str">
        <f>_xlfn.IFNA(VLOOKUP(H5,'MCIA Cases'!$A$2:$R$1091,10,FALSE)," ")</f>
        <v xml:space="preserve"> </v>
      </c>
      <c r="L5" s="1" t="str">
        <f>_xlfn.IFNA(VLOOKUP(H5,'MCIA Cases'!$A$2:$R$1091,3,FALSE)," ")</f>
        <v xml:space="preserve"> </v>
      </c>
      <c r="M5" s="1" t="str">
        <f>IF(COUNTIF('MCIA Corrective Actions'!$A:$A,H5)=0," ",COUNTIF('MCIA Corrective Actions'!$A:$A,H5))</f>
        <v xml:space="preserve"> </v>
      </c>
      <c r="N5" s="1" t="str">
        <f>IF(COUNTIF('MCIA Corrective Actions'!$A:$A,H5)=0," ",COUNTIFS('MCIA Corrective Actions'!$A:$A,H5,'MCIA Corrective Actions'!N:N,"Yes"))</f>
        <v xml:space="preserve"> </v>
      </c>
      <c r="O5" s="1" t="str">
        <f>_xlfn.IFNA(VLOOKUP(H5,'MCIA Corrective Actions'!$A$2:$R$1092,6,FALSE)," ")</f>
        <v xml:space="preserve"> </v>
      </c>
      <c r="P5" s="1"/>
    </row>
    <row r="6" spans="1:16" x14ac:dyDescent="0.25">
      <c r="A6" s="1">
        <v>114</v>
      </c>
      <c r="B6" s="108" t="str">
        <f>VLOOKUP($A6,Table1[['#]:[Vessel]],4,FALSE)</f>
        <v>Illinois</v>
      </c>
      <c r="C6" s="107">
        <f>VLOOKUP($A6,Table1[['#]:[Date]],3,FALSE)</f>
        <v>43471</v>
      </c>
      <c r="D6" s="3">
        <f>VLOOKUP($A6,Table1[['#]:[Hours]],7,FALSE)</f>
        <v>49.55</v>
      </c>
      <c r="E6" s="3" t="str">
        <f>VLOOKUP($A6,Table1[['#]:[System]],8,FALSE)&amp;" / "&amp;VLOOKUP($A6,Table1[['#]:[Subsystem]],9,FALSE)</f>
        <v>Main Pump / Pump rebuild</v>
      </c>
      <c r="F6" s="108">
        <f>VLOOKUP($A6,Table1[['#]:[Work Order '#]],10,FALSE)</f>
        <v>4212137</v>
      </c>
      <c r="G6" s="110" t="str">
        <f>VLOOKUP($A6,Table1[['#]:[Delay Log Notes]],11,FALSE)</f>
        <v>None</v>
      </c>
      <c r="H6" s="1" t="str">
        <f>_xlfn.IFNA(VLOOKUP(A6,'EDL Data'!$A$2:$M$1245,6,FALSE)," ")</f>
        <v>None</v>
      </c>
      <c r="I6" s="1" t="str">
        <f>_xlfn.IFNA(VLOOKUP(H6,'MCIA Cases'!$A$2:$R$1091,2,FALSE)," ")</f>
        <v xml:space="preserve"> </v>
      </c>
      <c r="J6" s="1" t="str">
        <f>_xlfn.IFNA(VLOOKUP(H6,'MCIA Cases'!$A$2:$R$1091,9,FALSE)," ")</f>
        <v xml:space="preserve"> </v>
      </c>
      <c r="K6" s="1" t="str">
        <f>_xlfn.IFNA(VLOOKUP(H6,'MCIA Cases'!$A$2:$R$1091,10,FALSE)," ")</f>
        <v xml:space="preserve"> </v>
      </c>
      <c r="L6" s="1" t="str">
        <f>_xlfn.IFNA(VLOOKUP(H6,'MCIA Cases'!$A$2:$R$1091,3,FALSE)," ")</f>
        <v xml:space="preserve"> </v>
      </c>
      <c r="M6" s="1" t="str">
        <f>IF(COUNTIF('MCIA Corrective Actions'!$A:$A,H6)=0," ",COUNTIF('MCIA Corrective Actions'!$A:$A,H6))</f>
        <v xml:space="preserve"> </v>
      </c>
      <c r="N6" s="1" t="str">
        <f>IF(COUNTIF('MCIA Corrective Actions'!$A:$A,H6)=0," ",COUNTIFS('MCIA Corrective Actions'!$A:$A,H6,'MCIA Corrective Actions'!N:N,"Yes"))</f>
        <v xml:space="preserve"> </v>
      </c>
      <c r="O6" s="1" t="str">
        <f>_xlfn.IFNA(VLOOKUP(H6,'MCIA Corrective Actions'!$A$2:$R$1092,6,FALSE)," ")</f>
        <v xml:space="preserve"> </v>
      </c>
      <c r="P6" s="1"/>
    </row>
    <row r="7" spans="1:16" x14ac:dyDescent="0.25">
      <c r="A7" s="1">
        <v>115</v>
      </c>
      <c r="B7" s="108" t="str">
        <f>VLOOKUP($A7,Table1[['#]:[Vessel]],4,FALSE)</f>
        <v>Dodge Island</v>
      </c>
      <c r="C7" s="107">
        <f>VLOOKUP($A7,Table1[['#]:[Date]],3,FALSE)</f>
        <v>43478</v>
      </c>
      <c r="D7" s="3">
        <f>VLOOKUP($A7,Table1[['#]:[Hours]],7,FALSE)</f>
        <v>129.65</v>
      </c>
      <c r="E7" s="3" t="str">
        <f>VLOOKUP($A7,Table1[['#]:[System]],8,FALSE)&amp;" / "&amp;VLOOKUP($A7,Table1[['#]:[Subsystem]],9,FALSE)</f>
        <v>Main Engine / Propulsion / Other (repairs)</v>
      </c>
      <c r="F7" s="108">
        <f>VLOOKUP($A7,Table1[['#]:[Work Order '#]],10,FALSE)</f>
        <v>4070010</v>
      </c>
      <c r="G7" s="110" t="str">
        <f>VLOOKUP($A7,Table1[['#]:[Delay Log Notes]],11,FALSE)</f>
        <v>None</v>
      </c>
      <c r="H7" s="1" t="str">
        <f>_xlfn.IFNA(VLOOKUP(A7,'EDL Data'!$A$2:$M$1245,6,FALSE)," ")</f>
        <v>None</v>
      </c>
      <c r="I7" s="1" t="str">
        <f>_xlfn.IFNA(VLOOKUP(H7,'MCIA Cases'!$A$2:$R$1091,2,FALSE)," ")</f>
        <v xml:space="preserve"> </v>
      </c>
      <c r="J7" s="1" t="str">
        <f>_xlfn.IFNA(VLOOKUP(H7,'MCIA Cases'!$A$2:$R$1091,9,FALSE)," ")</f>
        <v xml:space="preserve"> </v>
      </c>
      <c r="K7" s="1" t="str">
        <f>_xlfn.IFNA(VLOOKUP(H7,'MCIA Cases'!$A$2:$R$1091,10,FALSE)," ")</f>
        <v xml:space="preserve"> </v>
      </c>
      <c r="L7" s="1" t="str">
        <f>_xlfn.IFNA(VLOOKUP(H7,'MCIA Cases'!$A$2:$R$1091,3,FALSE)," ")</f>
        <v xml:space="preserve"> </v>
      </c>
      <c r="M7" s="1" t="str">
        <f>IF(COUNTIF('MCIA Corrective Actions'!$A:$A,H7)=0," ",COUNTIF('MCIA Corrective Actions'!$A:$A,H7))</f>
        <v xml:space="preserve"> </v>
      </c>
      <c r="N7" s="1" t="str">
        <f>IF(COUNTIF('MCIA Corrective Actions'!$A:$A,H7)=0," ",COUNTIFS('MCIA Corrective Actions'!$A:$A,H7,'MCIA Corrective Actions'!N:N,"Yes"))</f>
        <v xml:space="preserve"> </v>
      </c>
      <c r="O7" s="1" t="str">
        <f>_xlfn.IFNA(VLOOKUP(H7,'MCIA Corrective Actions'!$A$2:$R$1092,6,FALSE)," ")</f>
        <v xml:space="preserve"> </v>
      </c>
      <c r="P7" s="1"/>
    </row>
    <row r="8" spans="1:16" x14ac:dyDescent="0.25">
      <c r="A8" s="1">
        <v>116</v>
      </c>
      <c r="B8" s="108" t="str">
        <f>VLOOKUP($A8,Table1[['#]:[Vessel]],4,FALSE)</f>
        <v>Liberty Island</v>
      </c>
      <c r="C8" s="107">
        <f>VLOOKUP($A8,Table1[['#]:[Date]],3,FALSE)</f>
        <v>43489</v>
      </c>
      <c r="D8" s="3">
        <f>VLOOKUP($A8,Table1[['#]:[Hours]],7,FALSE)</f>
        <v>140.19999999999999</v>
      </c>
      <c r="E8" s="3" t="str">
        <f>VLOOKUP($A8,Table1[['#]:[System]],8,FALSE)&amp;" / "&amp;VLOOKUP($A8,Table1[['#]:[Subsystem]],9,FALSE)</f>
        <v>Drag Head / Other</v>
      </c>
      <c r="F8" s="108" t="str">
        <f>VLOOKUP($A8,Table1[['#]:[Work Order '#]],10,FALSE)</f>
        <v>0848934</v>
      </c>
      <c r="G8" s="110" t="str">
        <f>VLOOKUP($A8,Table1[['#]:[Delay Log Notes]],11,FALSE)</f>
        <v>Parted PORT Draghead wire; at port for replace</v>
      </c>
      <c r="H8" s="1" t="str">
        <f>_xlfn.IFNA(VLOOKUP(A8,'EDL Data'!$A$2:$M$1245,6,FALSE)," ")</f>
        <v>None</v>
      </c>
      <c r="I8" s="1" t="str">
        <f>_xlfn.IFNA(VLOOKUP(H8,'MCIA Cases'!$A$2:$R$1091,2,FALSE)," ")</f>
        <v xml:space="preserve"> </v>
      </c>
      <c r="J8" s="1" t="str">
        <f>_xlfn.IFNA(VLOOKUP(H8,'MCIA Cases'!$A$2:$R$1091,9,FALSE)," ")</f>
        <v xml:space="preserve"> </v>
      </c>
      <c r="K8" s="1" t="str">
        <f>_xlfn.IFNA(VLOOKUP(H8,'MCIA Cases'!$A$2:$R$1091,10,FALSE)," ")</f>
        <v xml:space="preserve"> </v>
      </c>
      <c r="L8" s="1" t="str">
        <f>_xlfn.IFNA(VLOOKUP(H8,'MCIA Cases'!$A$2:$R$1091,3,FALSE)," ")</f>
        <v xml:space="preserve"> </v>
      </c>
      <c r="M8" s="1" t="str">
        <f>IF(COUNTIF('MCIA Corrective Actions'!$A:$A,H8)=0," ",COUNTIF('MCIA Corrective Actions'!$A:$A,H8))</f>
        <v xml:space="preserve"> </v>
      </c>
      <c r="N8" s="1" t="str">
        <f>IF(COUNTIF('MCIA Corrective Actions'!$A:$A,H8)=0," ",COUNTIFS('MCIA Corrective Actions'!$A:$A,H8,'MCIA Corrective Actions'!N:N,"Yes"))</f>
        <v xml:space="preserve"> </v>
      </c>
      <c r="O8" s="1" t="str">
        <f>_xlfn.IFNA(VLOOKUP(H8,'MCIA Corrective Actions'!$A$2:$R$1092,6,FALSE)," ")</f>
        <v xml:space="preserve"> </v>
      </c>
      <c r="P8" s="1"/>
    </row>
    <row r="9" spans="1:16" ht="30" x14ac:dyDescent="0.25">
      <c r="A9" s="1">
        <v>117</v>
      </c>
      <c r="B9" s="108" t="str">
        <f>VLOOKUP($A9,Table1[['#]:[Vessel]],4,FALSE)</f>
        <v>Terrapin Island</v>
      </c>
      <c r="C9" s="107">
        <f>VLOOKUP($A9,Table1[['#]:[Date]],3,FALSE)</f>
        <v>43489</v>
      </c>
      <c r="D9" s="3">
        <f>VLOOKUP($A9,Table1[['#]:[Hours]],7,FALSE)</f>
        <v>46</v>
      </c>
      <c r="E9" s="3" t="str">
        <f>VLOOKUP($A9,Table1[['#]:[System]],8,FALSE)&amp;" / "&amp;VLOOKUP($A9,Table1[['#]:[Subsystem]],9,FALSE)</f>
        <v>Main Engine / Propulsion / Propeller</v>
      </c>
      <c r="F9" s="108">
        <f>VLOOKUP($A9,Table1[['#]:[Work Order '#]],10,FALSE)</f>
        <v>4181088</v>
      </c>
      <c r="G9" s="110" t="str">
        <f>VLOOKUP($A9,Table1[['#]:[Delay Log Notes]],11,FALSE)</f>
        <v>Removing 3 foot shell form STBD pump, replacing impellor and fix pump</v>
      </c>
      <c r="H9" s="1" t="str">
        <f>_xlfn.IFNA(VLOOKUP(A9,'EDL Data'!$A$2:$M$1245,6,FALSE)," ")</f>
        <v>None</v>
      </c>
      <c r="I9" s="1" t="str">
        <f>_xlfn.IFNA(VLOOKUP(H9,'MCIA Cases'!$A$2:$R$1091,2,FALSE)," ")</f>
        <v xml:space="preserve"> </v>
      </c>
      <c r="J9" s="1" t="str">
        <f>_xlfn.IFNA(VLOOKUP(H9,'MCIA Cases'!$A$2:$R$1091,9,FALSE)," ")</f>
        <v xml:space="preserve"> </v>
      </c>
      <c r="K9" s="1" t="str">
        <f>_xlfn.IFNA(VLOOKUP(H9,'MCIA Cases'!$A$2:$R$1091,10,FALSE)," ")</f>
        <v xml:space="preserve"> </v>
      </c>
      <c r="L9" s="1" t="str">
        <f>_xlfn.IFNA(VLOOKUP(H9,'MCIA Cases'!$A$2:$R$1091,3,FALSE)," ")</f>
        <v xml:space="preserve"> </v>
      </c>
      <c r="M9" s="1" t="str">
        <f>IF(COUNTIF('MCIA Corrective Actions'!$A:$A,H9)=0," ",COUNTIF('MCIA Corrective Actions'!$A:$A,H9))</f>
        <v xml:space="preserve"> </v>
      </c>
      <c r="N9" s="1" t="str">
        <f>IF(COUNTIF('MCIA Corrective Actions'!$A:$A,H9)=0," ",COUNTIFS('MCIA Corrective Actions'!$A:$A,H9,'MCIA Corrective Actions'!N:N,"Yes"))</f>
        <v xml:space="preserve"> </v>
      </c>
      <c r="O9" s="1" t="str">
        <f>_xlfn.IFNA(VLOOKUP(H9,'MCIA Corrective Actions'!$A$2:$R$1092,6,FALSE)," ")</f>
        <v xml:space="preserve"> </v>
      </c>
      <c r="P9" s="1"/>
    </row>
    <row r="10" spans="1:16" x14ac:dyDescent="0.25">
      <c r="A10" s="1">
        <v>118</v>
      </c>
      <c r="B10" s="108" t="str">
        <f>VLOOKUP($A10,Table1[['#]:[Vessel]],4,FALSE)</f>
        <v>Carolina</v>
      </c>
      <c r="C10" s="107">
        <f>VLOOKUP($A10,Table1[['#]:[Date]],3,FALSE)</f>
        <v>43491</v>
      </c>
      <c r="D10" s="3">
        <f>VLOOKUP($A10,Table1[['#]:[Hours]],7,FALSE)</f>
        <v>26.11</v>
      </c>
      <c r="E10" s="3" t="str">
        <f>VLOOKUP($A10,Table1[['#]:[System]],8,FALSE)&amp;" / "&amp;VLOOKUP($A10,Table1[['#]:[Subsystem]],9,FALSE)</f>
        <v>Main Pump / Bearings/Shafts</v>
      </c>
      <c r="F10" s="108">
        <f>VLOOKUP($A10,Table1[['#]:[Work Order '#]],10,FALSE)</f>
        <v>4038374</v>
      </c>
      <c r="G10" s="110" t="str">
        <f>VLOOKUP($A10,Table1[['#]:[Delay Log Notes]],11,FALSE)</f>
        <v>Change thrust bearing</v>
      </c>
      <c r="H10" s="1" t="str">
        <f>_xlfn.IFNA(VLOOKUP(A10,'EDL Data'!$A$2:$M$1245,6,FALSE)," ")</f>
        <v>None</v>
      </c>
      <c r="I10" s="1" t="str">
        <f>_xlfn.IFNA(VLOOKUP(H10,'MCIA Cases'!$A$2:$R$1091,2,FALSE)," ")</f>
        <v xml:space="preserve"> </v>
      </c>
      <c r="J10" s="1" t="str">
        <f>_xlfn.IFNA(VLOOKUP(H10,'MCIA Cases'!$A$2:$R$1091,9,FALSE)," ")</f>
        <v xml:space="preserve"> </v>
      </c>
      <c r="K10" s="1" t="str">
        <f>_xlfn.IFNA(VLOOKUP(H10,'MCIA Cases'!$A$2:$R$1091,10,FALSE)," ")</f>
        <v xml:space="preserve"> </v>
      </c>
      <c r="L10" s="1" t="str">
        <f>_xlfn.IFNA(VLOOKUP(H10,'MCIA Cases'!$A$2:$R$1091,3,FALSE)," ")</f>
        <v xml:space="preserve"> </v>
      </c>
      <c r="M10" s="1" t="str">
        <f>IF(COUNTIF('MCIA Corrective Actions'!$A:$A,H10)=0," ",COUNTIF('MCIA Corrective Actions'!$A:$A,H10))</f>
        <v xml:space="preserve"> </v>
      </c>
      <c r="N10" s="1" t="str">
        <f>IF(COUNTIF('MCIA Corrective Actions'!$A:$A,H10)=0," ",COUNTIFS('MCIA Corrective Actions'!$A:$A,H10,'MCIA Corrective Actions'!N:N,"Yes"))</f>
        <v xml:space="preserve"> </v>
      </c>
      <c r="O10" s="1" t="str">
        <f>_xlfn.IFNA(VLOOKUP(H10,'MCIA Corrective Actions'!$A$2:$R$1092,6,FALSE)," ")</f>
        <v xml:space="preserve"> </v>
      </c>
      <c r="P10" s="1"/>
    </row>
    <row r="11" spans="1:16" x14ac:dyDescent="0.25">
      <c r="A11" s="1">
        <v>119</v>
      </c>
      <c r="B11" s="108" t="str">
        <f>VLOOKUP($A11,Table1[['#]:[Vessel]],4,FALSE)</f>
        <v>Dodge Island</v>
      </c>
      <c r="C11" s="107">
        <f>VLOOKUP($A11,Table1[['#]:[Date]],3,FALSE)</f>
        <v>43492</v>
      </c>
      <c r="D11" s="3">
        <f>VLOOKUP($A11,Table1[['#]:[Hours]],7,FALSE)</f>
        <v>58.27</v>
      </c>
      <c r="E11" s="3" t="str">
        <f>VLOOKUP($A11,Table1[['#]:[System]],8,FALSE)&amp;" / "&amp;VLOOKUP($A11,Table1[['#]:[Subsystem]],9,FALSE)</f>
        <v>Main Engine / Propulsion / Other (repairs)</v>
      </c>
      <c r="F11" s="108">
        <f>VLOOKUP($A11,Table1[['#]:[Work Order '#]],10,FALSE)</f>
        <v>4069968</v>
      </c>
      <c r="G11" s="110" t="str">
        <f>VLOOKUP($A11,Table1[['#]:[Delay Log Notes]],11,FALSE)</f>
        <v>Main Engine</v>
      </c>
      <c r="H11" s="1" t="str">
        <f>_xlfn.IFNA(VLOOKUP(A11,'EDL Data'!$A$2:$M$1245,6,FALSE)," ")</f>
        <v>None</v>
      </c>
      <c r="I11" s="1" t="str">
        <f>_xlfn.IFNA(VLOOKUP(H11,'MCIA Cases'!$A$2:$R$1091,2,FALSE)," ")</f>
        <v xml:space="preserve"> </v>
      </c>
      <c r="J11" s="1" t="str">
        <f>_xlfn.IFNA(VLOOKUP(H11,'MCIA Cases'!$A$2:$R$1091,9,FALSE)," ")</f>
        <v xml:space="preserve"> </v>
      </c>
      <c r="K11" s="1" t="str">
        <f>_xlfn.IFNA(VLOOKUP(H11,'MCIA Cases'!$A$2:$R$1091,10,FALSE)," ")</f>
        <v xml:space="preserve"> </v>
      </c>
      <c r="L11" s="1" t="str">
        <f>_xlfn.IFNA(VLOOKUP(H11,'MCIA Cases'!$A$2:$R$1091,3,FALSE)," ")</f>
        <v xml:space="preserve"> </v>
      </c>
      <c r="M11" s="1" t="str">
        <f>IF(COUNTIF('MCIA Corrective Actions'!$A:$A,H11)=0," ",COUNTIF('MCIA Corrective Actions'!$A:$A,H11))</f>
        <v xml:space="preserve"> </v>
      </c>
      <c r="N11" s="1" t="str">
        <f>IF(COUNTIF('MCIA Corrective Actions'!$A:$A,H11)=0," ",COUNTIFS('MCIA Corrective Actions'!$A:$A,H11,'MCIA Corrective Actions'!N:N,"Yes"))</f>
        <v xml:space="preserve"> </v>
      </c>
      <c r="O11" s="1" t="str">
        <f>_xlfn.IFNA(VLOOKUP(H11,'MCIA Corrective Actions'!$A$2:$R$1092,6,FALSE)," ")</f>
        <v xml:space="preserve"> </v>
      </c>
      <c r="P11" s="1"/>
    </row>
    <row r="12" spans="1:16" x14ac:dyDescent="0.25">
      <c r="A12" s="1">
        <v>120</v>
      </c>
      <c r="B12" s="108" t="str">
        <f>VLOOKUP($A12,Table1[['#]:[Vessel]],4,FALSE)</f>
        <v>Liberty Island</v>
      </c>
      <c r="C12" s="107">
        <f>VLOOKUP($A12,Table1[['#]:[Date]],3,FALSE)</f>
        <v>43502</v>
      </c>
      <c r="D12" s="3">
        <f>VLOOKUP($A12,Table1[['#]:[Hours]],7,FALSE)</f>
        <v>82.7</v>
      </c>
      <c r="E12" s="3" t="str">
        <f>VLOOKUP($A12,Table1[['#]:[System]],8,FALSE)&amp;" / "&amp;VLOOKUP($A12,Table1[['#]:[Subsystem]],9,FALSE)</f>
        <v>Generator Engine / Other</v>
      </c>
      <c r="F12" s="108" t="str">
        <f>VLOOKUP($A12,Table1[['#]:[Work Order '#]],10,FALSE)</f>
        <v>0848946</v>
      </c>
      <c r="G12" s="110" t="str">
        <f>VLOOKUP($A12,Table1[['#]:[Delay Log Notes]],11,FALSE)</f>
        <v>Failure STBD Gen Eng; swapping generators</v>
      </c>
      <c r="H12" s="1" t="str">
        <f>_xlfn.IFNA(VLOOKUP(A12,'EDL Data'!$A$2:$M$1245,6,FALSE)," ")</f>
        <v>None</v>
      </c>
      <c r="I12" s="1" t="str">
        <f>_xlfn.IFNA(VLOOKUP(H12,'MCIA Cases'!$A$2:$R$1091,2,FALSE)," ")</f>
        <v xml:space="preserve"> </v>
      </c>
      <c r="J12" s="1" t="str">
        <f>_xlfn.IFNA(VLOOKUP(H12,'MCIA Cases'!$A$2:$R$1091,9,FALSE)," ")</f>
        <v xml:space="preserve"> </v>
      </c>
      <c r="K12" s="1" t="str">
        <f>_xlfn.IFNA(VLOOKUP(H12,'MCIA Cases'!$A$2:$R$1091,10,FALSE)," ")</f>
        <v xml:space="preserve"> </v>
      </c>
      <c r="L12" s="1" t="str">
        <f>_xlfn.IFNA(VLOOKUP(H12,'MCIA Cases'!$A$2:$R$1091,3,FALSE)," ")</f>
        <v xml:space="preserve"> </v>
      </c>
      <c r="M12" s="1" t="str">
        <f>IF(COUNTIF('MCIA Corrective Actions'!$A:$A,H12)=0," ",COUNTIF('MCIA Corrective Actions'!$A:$A,H12))</f>
        <v xml:space="preserve"> </v>
      </c>
      <c r="N12" s="1" t="str">
        <f>IF(COUNTIF('MCIA Corrective Actions'!$A:$A,H12)=0," ",COUNTIFS('MCIA Corrective Actions'!$A:$A,H12,'MCIA Corrective Actions'!N:N,"Yes"))</f>
        <v xml:space="preserve"> </v>
      </c>
      <c r="O12" s="1" t="str">
        <f>_xlfn.IFNA(VLOOKUP(H12,'MCIA Corrective Actions'!$A$2:$R$1092,6,FALSE)," ")</f>
        <v xml:space="preserve"> </v>
      </c>
      <c r="P12" s="1"/>
    </row>
    <row r="13" spans="1:16" x14ac:dyDescent="0.25">
      <c r="A13" s="1">
        <v>121</v>
      </c>
      <c r="B13" s="108" t="str">
        <f>VLOOKUP($A13,Table1[['#]:[Vessel]],4,FALSE)</f>
        <v>Dodge Island</v>
      </c>
      <c r="C13" s="107">
        <f>VLOOKUP($A13,Table1[['#]:[Date]],3,FALSE)</f>
        <v>43508</v>
      </c>
      <c r="D13" s="3">
        <f>VLOOKUP($A13,Table1[['#]:[Hours]],7,FALSE)</f>
        <v>29.72</v>
      </c>
      <c r="E13" s="3" t="str">
        <f>VLOOKUP($A13,Table1[['#]:[System]],8,FALSE)&amp;" / "&amp;VLOOKUP($A13,Table1[['#]:[Subsystem]],9,FALSE)</f>
        <v>Main Engine / Propulsion / Other (repairs)</v>
      </c>
      <c r="F13" s="108">
        <f>VLOOKUP($A13,Table1[['#]:[Work Order '#]],10,FALSE)</f>
        <v>4070060</v>
      </c>
      <c r="G13" s="110" t="str">
        <f>VLOOKUP($A13,Table1[['#]:[Delay Log Notes]],11,FALSE)</f>
        <v>Air in Jacket Water</v>
      </c>
      <c r="H13" s="1" t="str">
        <f>_xlfn.IFNA(VLOOKUP(A13,'EDL Data'!$A$2:$M$1245,6,FALSE)," ")</f>
        <v>None</v>
      </c>
      <c r="I13" s="1" t="str">
        <f>_xlfn.IFNA(VLOOKUP(H13,'MCIA Cases'!$A$2:$R$1091,2,FALSE)," ")</f>
        <v xml:space="preserve"> </v>
      </c>
      <c r="J13" s="1" t="str">
        <f>_xlfn.IFNA(VLOOKUP(H13,'MCIA Cases'!$A$2:$R$1091,9,FALSE)," ")</f>
        <v xml:space="preserve"> </v>
      </c>
      <c r="K13" s="1" t="str">
        <f>_xlfn.IFNA(VLOOKUP(H13,'MCIA Cases'!$A$2:$R$1091,10,FALSE)," ")</f>
        <v xml:space="preserve"> </v>
      </c>
      <c r="L13" s="1" t="str">
        <f>_xlfn.IFNA(VLOOKUP(H13,'MCIA Cases'!$A$2:$R$1091,3,FALSE)," ")</f>
        <v xml:space="preserve"> </v>
      </c>
      <c r="M13" s="1" t="str">
        <f>IF(COUNTIF('MCIA Corrective Actions'!$A:$A,H13)=0," ",COUNTIF('MCIA Corrective Actions'!$A:$A,H13))</f>
        <v xml:space="preserve"> </v>
      </c>
      <c r="N13" s="1" t="str">
        <f>IF(COUNTIF('MCIA Corrective Actions'!$A:$A,H13)=0," ",COUNTIFS('MCIA Corrective Actions'!$A:$A,H13,'MCIA Corrective Actions'!N:N,"Yes"))</f>
        <v xml:space="preserve"> </v>
      </c>
      <c r="O13" s="1" t="str">
        <f>_xlfn.IFNA(VLOOKUP(H13,'MCIA Corrective Actions'!$A$2:$R$1092,6,FALSE)," ")</f>
        <v xml:space="preserve"> </v>
      </c>
      <c r="P13" s="1"/>
    </row>
    <row r="14" spans="1:16" ht="30" x14ac:dyDescent="0.25">
      <c r="A14" s="1">
        <v>122</v>
      </c>
      <c r="B14" s="108" t="str">
        <f>VLOOKUP($A14,Table1[['#]:[Vessel]],4,FALSE)</f>
        <v>Ohio</v>
      </c>
      <c r="C14" s="107">
        <f>VLOOKUP($A14,Table1[['#]:[Date]],3,FALSE)</f>
        <v>43513</v>
      </c>
      <c r="D14" s="3">
        <f>VLOOKUP($A14,Table1[['#]:[Hours]],7,FALSE)</f>
        <v>95.92</v>
      </c>
      <c r="E14" s="3" t="str">
        <f>VLOOKUP($A14,Table1[['#]:[System]],8,FALSE)&amp;" / "&amp;VLOOKUP($A14,Table1[['#]:[Subsystem]],9,FALSE)</f>
        <v>Main Pump / Pump rebuild</v>
      </c>
      <c r="F14" s="108">
        <f>VLOOKUP($A14,Table1[['#]:[Work Order '#]],10,FALSE)</f>
        <v>4173127</v>
      </c>
      <c r="G14" s="110" t="str">
        <f>VLOOKUP($A14,Table1[['#]:[Delay Log Notes]],11,FALSE)</f>
        <v>Continue maintenance program, change liner pump number one</v>
      </c>
      <c r="H14" s="1" t="str">
        <f>_xlfn.IFNA(VLOOKUP(A14,'EDL Data'!$A$2:$M$1245,6,FALSE)," ")</f>
        <v>None</v>
      </c>
      <c r="I14" s="1" t="str">
        <f>_xlfn.IFNA(VLOOKUP(H14,'MCIA Cases'!$A$2:$R$1091,2,FALSE)," ")</f>
        <v xml:space="preserve"> </v>
      </c>
      <c r="J14" s="1" t="str">
        <f>_xlfn.IFNA(VLOOKUP(H14,'MCIA Cases'!$A$2:$R$1091,9,FALSE)," ")</f>
        <v xml:space="preserve"> </v>
      </c>
      <c r="K14" s="1" t="str">
        <f>_xlfn.IFNA(VLOOKUP(H14,'MCIA Cases'!$A$2:$R$1091,10,FALSE)," ")</f>
        <v xml:space="preserve"> </v>
      </c>
      <c r="L14" s="1" t="str">
        <f>_xlfn.IFNA(VLOOKUP(H14,'MCIA Cases'!$A$2:$R$1091,3,FALSE)," ")</f>
        <v xml:space="preserve"> </v>
      </c>
      <c r="M14" s="1" t="str">
        <f>IF(COUNTIF('MCIA Corrective Actions'!$A:$A,H14)=0," ",COUNTIF('MCIA Corrective Actions'!$A:$A,H14))</f>
        <v xml:space="preserve"> </v>
      </c>
      <c r="N14" s="1" t="str">
        <f>IF(COUNTIF('MCIA Corrective Actions'!$A:$A,H14)=0," ",COUNTIFS('MCIA Corrective Actions'!$A:$A,H14,'MCIA Corrective Actions'!N:N,"Yes"))</f>
        <v xml:space="preserve"> </v>
      </c>
      <c r="O14" s="1" t="str">
        <f>_xlfn.IFNA(VLOOKUP(H14,'MCIA Corrective Actions'!$A$2:$R$1092,6,FALSE)," ")</f>
        <v xml:space="preserve"> </v>
      </c>
      <c r="P14" s="1"/>
    </row>
    <row r="15" spans="1:16" x14ac:dyDescent="0.25">
      <c r="A15" s="1">
        <v>123</v>
      </c>
      <c r="B15" s="108">
        <f>VLOOKUP($A15,Table1[['#]:[Vessel]],4,FALSE)</f>
        <v>55</v>
      </c>
      <c r="C15" s="107">
        <f>VLOOKUP($A15,Table1[['#]:[Date]],3,FALSE)</f>
        <v>43514</v>
      </c>
      <c r="D15" s="3">
        <f>VLOOKUP($A15,Table1[['#]:[Hours]],7,FALSE)</f>
        <v>95.27</v>
      </c>
      <c r="E15" s="3" t="str">
        <f>VLOOKUP($A15,Table1[['#]:[System]],8,FALSE)&amp;" / "&amp;VLOOKUP($A15,Table1[['#]:[Subsystem]],9,FALSE)</f>
        <v>Main / Aux Gen / Main Generator Eng</v>
      </c>
      <c r="F15" s="108">
        <f>VLOOKUP($A15,Table1[['#]:[Work Order '#]],10,FALSE)</f>
        <v>4213134</v>
      </c>
      <c r="G15" s="110" t="str">
        <f>VLOOKUP($A15,Table1[['#]:[Delay Log Notes]],11,FALSE)</f>
        <v>None</v>
      </c>
      <c r="H15" s="1" t="str">
        <f>_xlfn.IFNA(VLOOKUP(A15,'EDL Data'!$A$2:$M$1245,6,FALSE)," ")</f>
        <v>None</v>
      </c>
      <c r="I15" s="1" t="str">
        <f>_xlfn.IFNA(VLOOKUP(H15,'MCIA Cases'!$A$2:$R$1091,2,FALSE)," ")</f>
        <v xml:space="preserve"> </v>
      </c>
      <c r="J15" s="1" t="str">
        <f>_xlfn.IFNA(VLOOKUP(H15,'MCIA Cases'!$A$2:$R$1091,9,FALSE)," ")</f>
        <v xml:space="preserve"> </v>
      </c>
      <c r="K15" s="1" t="str">
        <f>_xlfn.IFNA(VLOOKUP(H15,'MCIA Cases'!$A$2:$R$1091,10,FALSE)," ")</f>
        <v xml:space="preserve"> </v>
      </c>
      <c r="L15" s="1" t="str">
        <f>_xlfn.IFNA(VLOOKUP(H15,'MCIA Cases'!$A$2:$R$1091,3,FALSE)," ")</f>
        <v xml:space="preserve"> </v>
      </c>
      <c r="M15" s="1" t="str">
        <f>IF(COUNTIF('MCIA Corrective Actions'!$A:$A,H15)=0," ",COUNTIF('MCIA Corrective Actions'!$A:$A,H15))</f>
        <v xml:space="preserve"> </v>
      </c>
      <c r="N15" s="1" t="str">
        <f>IF(COUNTIF('MCIA Corrective Actions'!$A:$A,H15)=0," ",COUNTIFS('MCIA Corrective Actions'!$A:$A,H15,'MCIA Corrective Actions'!N:N,"Yes"))</f>
        <v xml:space="preserve"> </v>
      </c>
      <c r="O15" s="1" t="str">
        <f>_xlfn.IFNA(VLOOKUP(H15,'MCIA Corrective Actions'!$A$2:$R$1092,6,FALSE)," ")</f>
        <v xml:space="preserve"> </v>
      </c>
      <c r="P15" s="1"/>
    </row>
    <row r="16" spans="1:16" x14ac:dyDescent="0.25">
      <c r="A16" s="1">
        <v>124</v>
      </c>
      <c r="B16" s="108">
        <f>VLOOKUP($A16,Table1[['#]:[Vessel]],4,FALSE)</f>
        <v>53</v>
      </c>
      <c r="C16" s="107">
        <f>VLOOKUP($A16,Table1[['#]:[Date]],3,FALSE)</f>
        <v>43522</v>
      </c>
      <c r="D16" s="3">
        <f>VLOOKUP($A16,Table1[['#]:[Hours]],7,FALSE)</f>
        <v>123.75</v>
      </c>
      <c r="E16" s="3" t="str">
        <f>VLOOKUP($A16,Table1[['#]:[System]],8,FALSE)&amp;" / "&amp;VLOOKUP($A16,Table1[['#]:[Subsystem]],9,FALSE)</f>
        <v>Main Hoist / Holder</v>
      </c>
      <c r="F16" s="108" t="str">
        <f>VLOOKUP($A16,Table1[['#]:[Work Order '#]],10,FALSE)</f>
        <v>N/A</v>
      </c>
      <c r="G16" s="110" t="str">
        <f>VLOOKUP($A16,Table1[['#]:[Delay Log Notes]],11,FALSE)</f>
        <v>Holder motor repair</v>
      </c>
      <c r="H16" s="1">
        <v>286</v>
      </c>
      <c r="I16" s="1" t="str">
        <f>_xlfn.IFNA(VLOOKUP(H16,'MCIA Cases'!$A$2:$R$1091,2,FALSE)," ")</f>
        <v>DR 53 - Bucket Drop</v>
      </c>
      <c r="J16" s="1">
        <f>_xlfn.IFNA(VLOOKUP(H16,'MCIA Cases'!$A$2:$R$1091,9,FALSE)," ")</f>
        <v>0</v>
      </c>
      <c r="K16" s="1">
        <f>_xlfn.IFNA(VLOOKUP(H16,'MCIA Cases'!$A$2:$R$1091,10,FALSE)," ")</f>
        <v>0</v>
      </c>
      <c r="L16" s="1" t="str">
        <f>_xlfn.IFNA(VLOOKUP(H16,'MCIA Cases'!$A$2:$R$1091,3,FALSE)," ")</f>
        <v>Andrew Larkin</v>
      </c>
      <c r="M16" s="1">
        <f>IF(COUNTIF('MCIA Corrective Actions'!$A:$A,H16)=0," ",COUNTIF('MCIA Corrective Actions'!$A:$A,H16))</f>
        <v>6</v>
      </c>
      <c r="N16" s="1">
        <f>IF(COUNTIF('MCIA Corrective Actions'!$A:$A,H16)=0," ",COUNTIFS('MCIA Corrective Actions'!$A:$A,H16,'MCIA Corrective Actions'!N:N,"Yes"))</f>
        <v>2</v>
      </c>
      <c r="O16" s="1" t="str">
        <f>_xlfn.IFNA(VLOOKUP(H16,'MCIA Corrective Actions'!$A$2:$R$1092,6,FALSE)," ")</f>
        <v>James C Gillespie</v>
      </c>
      <c r="P16" s="1"/>
    </row>
    <row r="17" spans="1:16" ht="30" x14ac:dyDescent="0.25">
      <c r="A17" s="1">
        <v>125</v>
      </c>
      <c r="B17" s="108" t="str">
        <f>VLOOKUP($A17,Table1[['#]:[Vessel]],4,FALSE)</f>
        <v>Illinois</v>
      </c>
      <c r="C17" s="107">
        <f>VLOOKUP($A17,Table1[['#]:[Date]],3,FALSE)</f>
        <v>43530</v>
      </c>
      <c r="D17" s="3">
        <f>VLOOKUP($A17,Table1[['#]:[Hours]],7,FALSE)</f>
        <v>35.409999999999997</v>
      </c>
      <c r="E17" s="3" t="str">
        <f>VLOOKUP($A17,Table1[['#]:[System]],8,FALSE)&amp;" / "&amp;VLOOKUP($A17,Table1[['#]:[Subsystem]],9,FALSE)</f>
        <v>Ladder Pump / Pump rebuild</v>
      </c>
      <c r="F17" s="108">
        <f>VLOOKUP($A17,Table1[['#]:[Work Order '#]],10,FALSE)</f>
        <v>1578760</v>
      </c>
      <c r="G17" s="110" t="str">
        <f>VLOOKUP($A17,Table1[['#]:[Delay Log Notes]],11,FALSE)</f>
        <v>Change runner out change 15 cutter teeth 5 bosses broke off 1 no good</v>
      </c>
      <c r="H17" s="1" t="str">
        <f>_xlfn.IFNA(VLOOKUP(A17,'EDL Data'!$A$2:$M$1245,6,FALSE)," ")</f>
        <v>None</v>
      </c>
      <c r="I17" s="1" t="str">
        <f>_xlfn.IFNA(VLOOKUP(H17,'MCIA Cases'!$A$2:$R$1091,2,FALSE)," ")</f>
        <v xml:space="preserve"> </v>
      </c>
      <c r="J17" s="1" t="str">
        <f>_xlfn.IFNA(VLOOKUP(H17,'MCIA Cases'!$A$2:$R$1091,9,FALSE)," ")</f>
        <v xml:space="preserve"> </v>
      </c>
      <c r="K17" s="1" t="str">
        <f>_xlfn.IFNA(VLOOKUP(H17,'MCIA Cases'!$A$2:$R$1091,10,FALSE)," ")</f>
        <v xml:space="preserve"> </v>
      </c>
      <c r="L17" s="1" t="str">
        <f>_xlfn.IFNA(VLOOKUP(H17,'MCIA Cases'!$A$2:$R$1091,3,FALSE)," ")</f>
        <v xml:space="preserve"> </v>
      </c>
      <c r="M17" s="1" t="str">
        <f>IF(COUNTIF('MCIA Corrective Actions'!$A:$A,H17)=0," ",COUNTIF('MCIA Corrective Actions'!$A:$A,H17))</f>
        <v xml:space="preserve"> </v>
      </c>
      <c r="N17" s="1" t="str">
        <f>IF(COUNTIF('MCIA Corrective Actions'!$A:$A,H17)=0," ",COUNTIFS('MCIA Corrective Actions'!$A:$A,H17,'MCIA Corrective Actions'!N:N,"Yes"))</f>
        <v xml:space="preserve"> </v>
      </c>
      <c r="O17" s="1" t="str">
        <f>_xlfn.IFNA(VLOOKUP(H17,'MCIA Corrective Actions'!$A$2:$R$1092,6,FALSE)," ")</f>
        <v xml:space="preserve"> </v>
      </c>
      <c r="P17" s="1"/>
    </row>
    <row r="18" spans="1:16" x14ac:dyDescent="0.25">
      <c r="A18" s="1">
        <v>126</v>
      </c>
      <c r="B18" s="108" t="str">
        <f>VLOOKUP($A18,Table1[['#]:[Vessel]],4,FALSE)</f>
        <v>Carolina</v>
      </c>
      <c r="C18" s="107">
        <f>VLOOKUP($A18,Table1[['#]:[Date]],3,FALSE)</f>
        <v>43538</v>
      </c>
      <c r="D18" s="3">
        <f>VLOOKUP($A18,Table1[['#]:[Hours]],7,FALSE)</f>
        <v>40.200000000000003</v>
      </c>
      <c r="E18" s="3" t="str">
        <f>VLOOKUP($A18,Table1[['#]:[System]],8,FALSE)&amp;" / "&amp;VLOOKUP($A18,Table1[['#]:[Subsystem]],9,FALSE)</f>
        <v>Spuds / Xmas Tree / Walking Spud</v>
      </c>
      <c r="F18" s="108">
        <f>VLOOKUP($A18,Table1[['#]:[Work Order '#]],10,FALSE)</f>
        <v>4038414</v>
      </c>
      <c r="G18" s="110" t="str">
        <f>VLOOKUP($A18,Table1[['#]:[Delay Log Notes]],11,FALSE)</f>
        <v>None</v>
      </c>
      <c r="H18" s="1" t="str">
        <f>_xlfn.IFNA(VLOOKUP(A18,'EDL Data'!$A$2:$M$1245,6,FALSE)," ")</f>
        <v>None</v>
      </c>
      <c r="I18" s="1" t="str">
        <f>_xlfn.IFNA(VLOOKUP(H18,'MCIA Cases'!$A$2:$R$1091,2,FALSE)," ")</f>
        <v xml:space="preserve"> </v>
      </c>
      <c r="J18" s="1" t="str">
        <f>_xlfn.IFNA(VLOOKUP(H18,'MCIA Cases'!$A$2:$R$1091,9,FALSE)," ")</f>
        <v xml:space="preserve"> </v>
      </c>
      <c r="K18" s="1" t="str">
        <f>_xlfn.IFNA(VLOOKUP(H18,'MCIA Cases'!$A$2:$R$1091,10,FALSE)," ")</f>
        <v xml:space="preserve"> </v>
      </c>
      <c r="L18" s="1" t="str">
        <f>_xlfn.IFNA(VLOOKUP(H18,'MCIA Cases'!$A$2:$R$1091,3,FALSE)," ")</f>
        <v xml:space="preserve"> </v>
      </c>
      <c r="M18" s="1" t="str">
        <f>IF(COUNTIF('MCIA Corrective Actions'!$A:$A,H18)=0," ",COUNTIF('MCIA Corrective Actions'!$A:$A,H18))</f>
        <v xml:space="preserve"> </v>
      </c>
      <c r="N18" s="1" t="str">
        <f>IF(COUNTIF('MCIA Corrective Actions'!$A:$A,H18)=0," ",COUNTIFS('MCIA Corrective Actions'!$A:$A,H18,'MCIA Corrective Actions'!N:N,"Yes"))</f>
        <v xml:space="preserve"> </v>
      </c>
      <c r="O18" s="1" t="str">
        <f>_xlfn.IFNA(VLOOKUP(H18,'MCIA Corrective Actions'!$A$2:$R$1092,6,FALSE)," ")</f>
        <v xml:space="preserve"> </v>
      </c>
      <c r="P18" s="1"/>
    </row>
    <row r="19" spans="1:16" x14ac:dyDescent="0.25">
      <c r="A19" s="1">
        <v>127</v>
      </c>
      <c r="B19" s="108">
        <f>VLOOKUP($A19,Table1[['#]:[Vessel]],4,FALSE)</f>
        <v>53</v>
      </c>
      <c r="C19" s="107">
        <f>VLOOKUP($A19,Table1[['#]:[Date]],3,FALSE)</f>
        <v>43548</v>
      </c>
      <c r="D19" s="3">
        <f>VLOOKUP($A19,Table1[['#]:[Hours]],7,FALSE)</f>
        <v>101.08</v>
      </c>
      <c r="E19" s="3" t="str">
        <f>VLOOKUP($A19,Table1[['#]:[System]],8,FALSE)&amp;" / "&amp;VLOOKUP($A19,Table1[['#]:[Subsystem]],9,FALSE)</f>
        <v>Main / Aux Gen. / Main Generator</v>
      </c>
      <c r="F19" s="108">
        <f>VLOOKUP($A19,Table1[['#]:[Work Order '#]],10,FALSE)</f>
        <v>4213939</v>
      </c>
      <c r="G19" s="110" t="str">
        <f>VLOOKUP($A19,Table1[['#]:[Delay Log Notes]],11,FALSE)</f>
        <v>Generator issues</v>
      </c>
      <c r="H19" s="1" t="str">
        <f>_xlfn.IFNA(VLOOKUP(A19,'EDL Data'!$A$2:$M$1245,6,FALSE)," ")</f>
        <v>None</v>
      </c>
      <c r="I19" s="1" t="str">
        <f>_xlfn.IFNA(VLOOKUP(H19,'MCIA Cases'!$A$2:$R$1091,2,FALSE)," ")</f>
        <v xml:space="preserve"> </v>
      </c>
      <c r="J19" s="1" t="str">
        <f>_xlfn.IFNA(VLOOKUP(H19,'MCIA Cases'!$A$2:$R$1091,9,FALSE)," ")</f>
        <v xml:space="preserve"> </v>
      </c>
      <c r="K19" s="1" t="str">
        <f>_xlfn.IFNA(VLOOKUP(H19,'MCIA Cases'!$A$2:$R$1091,10,FALSE)," ")</f>
        <v xml:space="preserve"> </v>
      </c>
      <c r="L19" s="1" t="str">
        <f>_xlfn.IFNA(VLOOKUP(H19,'MCIA Cases'!$A$2:$R$1091,3,FALSE)," ")</f>
        <v xml:space="preserve"> </v>
      </c>
      <c r="M19" s="1" t="str">
        <f>IF(COUNTIF('MCIA Corrective Actions'!$A:$A,H19)=0," ",COUNTIF('MCIA Corrective Actions'!$A:$A,H19))</f>
        <v xml:space="preserve"> </v>
      </c>
      <c r="N19" s="1" t="str">
        <f>IF(COUNTIF('MCIA Corrective Actions'!$A:$A,H19)=0," ",COUNTIFS('MCIA Corrective Actions'!$A:$A,H19,'MCIA Corrective Actions'!N:N,"Yes"))</f>
        <v xml:space="preserve"> </v>
      </c>
      <c r="O19" s="1" t="str">
        <f>_xlfn.IFNA(VLOOKUP(H19,'MCIA Corrective Actions'!$A$2:$R$1092,6,FALSE)," ")</f>
        <v xml:space="preserve"> </v>
      </c>
      <c r="P19" s="1"/>
    </row>
    <row r="20" spans="1:16" ht="60" x14ac:dyDescent="0.25">
      <c r="A20" s="1">
        <v>128</v>
      </c>
      <c r="B20" s="108">
        <f>VLOOKUP($A20,Table1[['#]:[Vessel]],4,FALSE)</f>
        <v>53</v>
      </c>
      <c r="C20" s="107">
        <f>VLOOKUP($A20,Table1[['#]:[Date]],3,FALSE)</f>
        <v>43555</v>
      </c>
      <c r="D20" s="3">
        <f>VLOOKUP($A20,Table1[['#]:[Hours]],7,FALSE)</f>
        <v>35.03</v>
      </c>
      <c r="E20" s="3" t="str">
        <f>VLOOKUP($A20,Table1[['#]:[System]],8,FALSE)&amp;" / "&amp;VLOOKUP($A20,Table1[['#]:[Subsystem]],9,FALSE)</f>
        <v>Main Hoist / Closer Wire</v>
      </c>
      <c r="F20" s="108" t="str">
        <f>VLOOKUP($A20,Table1[['#]:[Work Order '#]],10,FALSE)</f>
        <v>None</v>
      </c>
      <c r="G20" s="110" t="str">
        <f>VLOOKUP($A20,Table1[['#]:[Delay Log Notes]],11,FALSE)</f>
        <v>Change jackline in 18yd bucket/change becket inside 18yd bucket (found broken ear on becket), cut back closer and holder hoist cables. Change tagline cable due to broken wires @ drum</v>
      </c>
      <c r="H20" s="1" t="str">
        <f>_xlfn.IFNA(VLOOKUP(A20,'EDL Data'!$A$2:$M$1245,6,FALSE)," ")</f>
        <v>None</v>
      </c>
      <c r="I20" s="1" t="str">
        <f>_xlfn.IFNA(VLOOKUP(H20,'MCIA Cases'!$A$2:$R$1091,2,FALSE)," ")</f>
        <v xml:space="preserve"> </v>
      </c>
      <c r="J20" s="1" t="str">
        <f>_xlfn.IFNA(VLOOKUP(H20,'MCIA Cases'!$A$2:$R$1091,9,FALSE)," ")</f>
        <v xml:space="preserve"> </v>
      </c>
      <c r="K20" s="1" t="str">
        <f>_xlfn.IFNA(VLOOKUP(H20,'MCIA Cases'!$A$2:$R$1091,10,FALSE)," ")</f>
        <v xml:space="preserve"> </v>
      </c>
      <c r="L20" s="1" t="str">
        <f>_xlfn.IFNA(VLOOKUP(H20,'MCIA Cases'!$A$2:$R$1091,3,FALSE)," ")</f>
        <v xml:space="preserve"> </v>
      </c>
      <c r="M20" s="1" t="str">
        <f>IF(COUNTIF('MCIA Corrective Actions'!$A:$A,H20)=0," ",COUNTIF('MCIA Corrective Actions'!$A:$A,H20))</f>
        <v xml:space="preserve"> </v>
      </c>
      <c r="N20" s="1" t="str">
        <f>IF(COUNTIF('MCIA Corrective Actions'!$A:$A,H20)=0," ",COUNTIFS('MCIA Corrective Actions'!$A:$A,H20,'MCIA Corrective Actions'!N:N,"Yes"))</f>
        <v xml:space="preserve"> </v>
      </c>
      <c r="O20" s="1" t="str">
        <f>_xlfn.IFNA(VLOOKUP(H20,'MCIA Corrective Actions'!$A$2:$R$1092,6,FALSE)," ")</f>
        <v xml:space="preserve"> </v>
      </c>
      <c r="P20" s="1"/>
    </row>
    <row r="21" spans="1:16" x14ac:dyDescent="0.25">
      <c r="A21" s="1">
        <v>129</v>
      </c>
      <c r="B21" s="108" t="str">
        <f>VLOOKUP($A21,Table1[['#]:[Vessel]],4,FALSE)</f>
        <v>Ellis Island</v>
      </c>
      <c r="C21" s="107">
        <f>VLOOKUP($A21,Table1[['#]:[Date]],3,FALSE)</f>
        <v>43555</v>
      </c>
      <c r="D21" s="3">
        <f>VLOOKUP($A21,Table1[['#]:[Hours]],7,FALSE)</f>
        <v>31.76</v>
      </c>
      <c r="E21" s="3" t="str">
        <f>VLOOKUP($A21,Table1[['#]:[System]],8,FALSE)&amp;" / "&amp;VLOOKUP($A21,Table1[['#]:[Subsystem]],9,FALSE)</f>
        <v>Drag Head / Other (repairs)</v>
      </c>
      <c r="F21" s="108" t="str">
        <f>VLOOKUP($A21,Table1[['#]:[Work Order '#]],10,FALSE)</f>
        <v>N/A</v>
      </c>
      <c r="G21" s="110" t="str">
        <f>VLOOKUP($A21,Table1[['#]:[Delay Log Notes]],11,FALSE)</f>
        <v>none</v>
      </c>
      <c r="H21" s="1" t="str">
        <f>_xlfn.IFNA(VLOOKUP(A21,'EDL Data'!$A$2:$M$1245,6,FALSE)," ")</f>
        <v>None</v>
      </c>
      <c r="I21" s="1" t="str">
        <f>_xlfn.IFNA(VLOOKUP(H21,'MCIA Cases'!$A$2:$R$1091,2,FALSE)," ")</f>
        <v xml:space="preserve"> </v>
      </c>
      <c r="J21" s="1" t="str">
        <f>_xlfn.IFNA(VLOOKUP(H21,'MCIA Cases'!$A$2:$R$1091,9,FALSE)," ")</f>
        <v xml:space="preserve"> </v>
      </c>
      <c r="K21" s="1" t="str">
        <f>_xlfn.IFNA(VLOOKUP(H21,'MCIA Cases'!$A$2:$R$1091,10,FALSE)," ")</f>
        <v xml:space="preserve"> </v>
      </c>
      <c r="L21" s="1" t="str">
        <f>_xlfn.IFNA(VLOOKUP(H21,'MCIA Cases'!$A$2:$R$1091,3,FALSE)," ")</f>
        <v xml:space="preserve"> </v>
      </c>
      <c r="M21" s="1" t="str">
        <f>IF(COUNTIF('MCIA Corrective Actions'!$A:$A,H21)=0," ",COUNTIF('MCIA Corrective Actions'!$A:$A,H21))</f>
        <v xml:space="preserve"> </v>
      </c>
      <c r="N21" s="1" t="str">
        <f>IF(COUNTIF('MCIA Corrective Actions'!$A:$A,H21)=0," ",COUNTIFS('MCIA Corrective Actions'!$A:$A,H21,'MCIA Corrective Actions'!N:N,"Yes"))</f>
        <v xml:space="preserve"> </v>
      </c>
      <c r="O21" s="1" t="str">
        <f>_xlfn.IFNA(VLOOKUP(H21,'MCIA Corrective Actions'!$A$2:$R$1092,6,FALSE)," ")</f>
        <v xml:space="preserve"> </v>
      </c>
      <c r="P21" s="1"/>
    </row>
    <row r="22" spans="1:16" x14ac:dyDescent="0.25">
      <c r="A22" s="1">
        <v>130</v>
      </c>
      <c r="B22" s="108" t="str">
        <f>VLOOKUP($A22,Table1[['#]:[Vessel]],4,FALSE)</f>
        <v>Texas</v>
      </c>
      <c r="C22" s="107">
        <f>VLOOKUP($A22,Table1[['#]:[Date]],3,FALSE)</f>
        <v>43557</v>
      </c>
      <c r="D22" s="3">
        <f>VLOOKUP($A22,Table1[['#]:[Hours]],7,FALSE)</f>
        <v>49.47</v>
      </c>
      <c r="E22" s="3" t="str">
        <f>VLOOKUP($A22,Table1[['#]:[System]],8,FALSE)&amp;" / "&amp;VLOOKUP($A22,Table1[['#]:[Subsystem]],9,FALSE)</f>
        <v>Cutter / Motor</v>
      </c>
      <c r="F22" s="108" t="str">
        <f>VLOOKUP($A22,Table1[['#]:[Work Order '#]],10,FALSE)</f>
        <v>0791490</v>
      </c>
      <c r="G22" s="110" t="str">
        <f>VLOOKUP($A22,Table1[['#]:[Delay Log Notes]],11,FALSE)</f>
        <v>None</v>
      </c>
      <c r="H22" s="1" t="str">
        <f>_xlfn.IFNA(VLOOKUP(A22,'EDL Data'!$A$2:$M$1245,6,FALSE)," ")</f>
        <v>None</v>
      </c>
      <c r="I22" s="1" t="str">
        <f>_xlfn.IFNA(VLOOKUP(H22,'MCIA Cases'!$A$2:$R$1091,2,FALSE)," ")</f>
        <v xml:space="preserve"> </v>
      </c>
      <c r="J22" s="1" t="str">
        <f>_xlfn.IFNA(VLOOKUP(H22,'MCIA Cases'!$A$2:$R$1091,9,FALSE)," ")</f>
        <v xml:space="preserve"> </v>
      </c>
      <c r="K22" s="1" t="str">
        <f>_xlfn.IFNA(VLOOKUP(H22,'MCIA Cases'!$A$2:$R$1091,10,FALSE)," ")</f>
        <v xml:space="preserve"> </v>
      </c>
      <c r="L22" s="1" t="str">
        <f>_xlfn.IFNA(VLOOKUP(H22,'MCIA Cases'!$A$2:$R$1091,3,FALSE)," ")</f>
        <v xml:space="preserve"> </v>
      </c>
      <c r="M22" s="1" t="str">
        <f>IF(COUNTIF('MCIA Corrective Actions'!$A:$A,H22)=0," ",COUNTIF('MCIA Corrective Actions'!$A:$A,H22))</f>
        <v xml:space="preserve"> </v>
      </c>
      <c r="N22" s="1" t="str">
        <f>IF(COUNTIF('MCIA Corrective Actions'!$A:$A,H22)=0," ",COUNTIFS('MCIA Corrective Actions'!$A:$A,H22,'MCIA Corrective Actions'!N:N,"Yes"))</f>
        <v xml:space="preserve"> </v>
      </c>
      <c r="O22" s="1" t="str">
        <f>_xlfn.IFNA(VLOOKUP(H22,'MCIA Corrective Actions'!$A$2:$R$1092,6,FALSE)," ")</f>
        <v xml:space="preserve"> </v>
      </c>
      <c r="P22" s="1"/>
    </row>
    <row r="23" spans="1:16" x14ac:dyDescent="0.25">
      <c r="A23" s="1">
        <v>131</v>
      </c>
      <c r="B23" s="108" t="str">
        <f>VLOOKUP($A23,Table1[['#]:[Vessel]],4,FALSE)</f>
        <v>Liberty Island</v>
      </c>
      <c r="C23" s="107">
        <f>VLOOKUP($A23,Table1[['#]:[Date]],3,FALSE)</f>
        <v>43564</v>
      </c>
      <c r="D23" s="3">
        <f>VLOOKUP($A23,Table1[['#]:[Hours]],7,FALSE)</f>
        <v>167.7</v>
      </c>
      <c r="E23" s="3" t="str">
        <f>VLOOKUP($A23,Table1[['#]:[System]],8,FALSE)&amp;" / "&amp;VLOOKUP($A23,Table1[['#]:[Subsystem]],9,FALSE)</f>
        <v>Jet Pump / Other</v>
      </c>
      <c r="F23" s="108" t="str">
        <f>VLOOKUP($A23,Table1[['#]:[Work Order '#]],10,FALSE)</f>
        <v>None</v>
      </c>
      <c r="G23" s="110" t="str">
        <f>VLOOKUP($A23,Table1[['#]:[Delay Log Notes]],11,FALSE)</f>
        <v>Drag Head blown out; unable to cont using jets</v>
      </c>
      <c r="H23" s="1" t="str">
        <f>_xlfn.IFNA(VLOOKUP(A23,'EDL Data'!$A$2:$M$1245,6,FALSE)," ")</f>
        <v>None</v>
      </c>
      <c r="I23" s="1" t="str">
        <f>_xlfn.IFNA(VLOOKUP(H23,'MCIA Cases'!$A$2:$R$1091,2,FALSE)," ")</f>
        <v xml:space="preserve"> </v>
      </c>
      <c r="J23" s="1" t="str">
        <f>_xlfn.IFNA(VLOOKUP(H23,'MCIA Cases'!$A$2:$R$1091,9,FALSE)," ")</f>
        <v xml:space="preserve"> </v>
      </c>
      <c r="K23" s="1" t="str">
        <f>_xlfn.IFNA(VLOOKUP(H23,'MCIA Cases'!$A$2:$R$1091,10,FALSE)," ")</f>
        <v xml:space="preserve"> </v>
      </c>
      <c r="L23" s="1" t="str">
        <f>_xlfn.IFNA(VLOOKUP(H23,'MCIA Cases'!$A$2:$R$1091,3,FALSE)," ")</f>
        <v xml:space="preserve"> </v>
      </c>
      <c r="M23" s="1" t="str">
        <f>IF(COUNTIF('MCIA Corrective Actions'!$A:$A,H23)=0," ",COUNTIF('MCIA Corrective Actions'!$A:$A,H23))</f>
        <v xml:space="preserve"> </v>
      </c>
      <c r="N23" s="1" t="str">
        <f>IF(COUNTIF('MCIA Corrective Actions'!$A:$A,H23)=0," ",COUNTIFS('MCIA Corrective Actions'!$A:$A,H23,'MCIA Corrective Actions'!N:N,"Yes"))</f>
        <v xml:space="preserve"> </v>
      </c>
      <c r="O23" s="1" t="str">
        <f>_xlfn.IFNA(VLOOKUP(H23,'MCIA Corrective Actions'!$A$2:$R$1092,6,FALSE)," ")</f>
        <v xml:space="preserve"> </v>
      </c>
      <c r="P23" s="1"/>
    </row>
    <row r="24" spans="1:16" x14ac:dyDescent="0.25">
      <c r="A24" s="1">
        <v>132</v>
      </c>
      <c r="B24" s="108" t="str">
        <f>VLOOKUP($A24,Table1[['#]:[Vessel]],4,FALSE)</f>
        <v>Terrapin Island</v>
      </c>
      <c r="C24" s="107">
        <f>VLOOKUP($A24,Table1[['#]:[Date]],3,FALSE)</f>
        <v>43564</v>
      </c>
      <c r="D24" s="3">
        <f>VLOOKUP($A24,Table1[['#]:[Hours]],7,FALSE)</f>
        <v>28.08</v>
      </c>
      <c r="E24" s="3" t="str">
        <f>VLOOKUP($A24,Table1[['#]:[System]],8,FALSE)&amp;" / "&amp;VLOOKUP($A24,Table1[['#]:[Subsystem]],9,FALSE)</f>
        <v>Other / Other mechanical</v>
      </c>
      <c r="F24" s="108">
        <f>VLOOKUP($A24,Table1[['#]:[Work Order '#]],10,FALSE)</f>
        <v>4181401</v>
      </c>
      <c r="G24" s="110" t="str">
        <f>VLOOKUP($A24,Table1[['#]:[Delay Log Notes]],11,FALSE)</f>
        <v>Hit by fishing vessel</v>
      </c>
      <c r="H24" s="1" t="str">
        <f>_xlfn.IFNA(VLOOKUP(A24,'EDL Data'!$A$2:$M$1245,6,FALSE)," ")</f>
        <v>None</v>
      </c>
      <c r="I24" s="1" t="str">
        <f>_xlfn.IFNA(VLOOKUP(H24,'MCIA Cases'!$A$2:$R$1091,2,FALSE)," ")</f>
        <v xml:space="preserve"> </v>
      </c>
      <c r="J24" s="1" t="str">
        <f>_xlfn.IFNA(VLOOKUP(H24,'MCIA Cases'!$A$2:$R$1091,9,FALSE)," ")</f>
        <v xml:space="preserve"> </v>
      </c>
      <c r="K24" s="1" t="str">
        <f>_xlfn.IFNA(VLOOKUP(H24,'MCIA Cases'!$A$2:$R$1091,10,FALSE)," ")</f>
        <v xml:space="preserve"> </v>
      </c>
      <c r="L24" s="1" t="str">
        <f>_xlfn.IFNA(VLOOKUP(H24,'MCIA Cases'!$A$2:$R$1091,3,FALSE)," ")</f>
        <v xml:space="preserve"> </v>
      </c>
      <c r="M24" s="1" t="str">
        <f>IF(COUNTIF('MCIA Corrective Actions'!$A:$A,H24)=0," ",COUNTIF('MCIA Corrective Actions'!$A:$A,H24))</f>
        <v xml:space="preserve"> </v>
      </c>
      <c r="N24" s="1" t="str">
        <f>IF(COUNTIF('MCIA Corrective Actions'!$A:$A,H24)=0," ",COUNTIFS('MCIA Corrective Actions'!$A:$A,H24,'MCIA Corrective Actions'!N:N,"Yes"))</f>
        <v xml:space="preserve"> </v>
      </c>
      <c r="O24" s="1" t="str">
        <f>_xlfn.IFNA(VLOOKUP(H24,'MCIA Corrective Actions'!$A$2:$R$1092,6,FALSE)," ")</f>
        <v xml:space="preserve"> </v>
      </c>
      <c r="P24" s="1"/>
    </row>
    <row r="25" spans="1:16" x14ac:dyDescent="0.25">
      <c r="A25" s="1">
        <v>133</v>
      </c>
      <c r="B25" s="108" t="str">
        <f>VLOOKUP($A25,Table1[['#]:[Vessel]],4,FALSE)</f>
        <v>Texas</v>
      </c>
      <c r="C25" s="107">
        <f>VLOOKUP($A25,Table1[['#]:[Date]],3,FALSE)</f>
        <v>43574</v>
      </c>
      <c r="D25" s="3">
        <f>VLOOKUP($A25,Table1[['#]:[Hours]],7,FALSE)</f>
        <v>47.21</v>
      </c>
      <c r="E25" s="3" t="str">
        <f>VLOOKUP($A25,Table1[['#]:[System]],8,FALSE)&amp;" / "&amp;VLOOKUP($A25,Table1[['#]:[Subsystem]],9,FALSE)</f>
        <v>Cutter / Cutter canister (cutter shaft)</v>
      </c>
      <c r="F25" s="108" t="str">
        <f>VLOOKUP($A25,Table1[['#]:[Work Order '#]],10,FALSE)</f>
        <v>0791491</v>
      </c>
      <c r="G25" s="110" t="str">
        <f>VLOOKUP($A25,Table1[['#]:[Delay Log Notes]],11,FALSE)</f>
        <v>None</v>
      </c>
      <c r="H25" s="1" t="str">
        <f>_xlfn.IFNA(VLOOKUP(A25,'EDL Data'!$A$2:$M$1245,6,FALSE)," ")</f>
        <v>None</v>
      </c>
      <c r="I25" s="1" t="str">
        <f>_xlfn.IFNA(VLOOKUP(H25,'MCIA Cases'!$A$2:$R$1091,2,FALSE)," ")</f>
        <v xml:space="preserve"> </v>
      </c>
      <c r="J25" s="1" t="str">
        <f>_xlfn.IFNA(VLOOKUP(H25,'MCIA Cases'!$A$2:$R$1091,9,FALSE)," ")</f>
        <v xml:space="preserve"> </v>
      </c>
      <c r="K25" s="1" t="str">
        <f>_xlfn.IFNA(VLOOKUP(H25,'MCIA Cases'!$A$2:$R$1091,10,FALSE)," ")</f>
        <v xml:space="preserve"> </v>
      </c>
      <c r="L25" s="1" t="str">
        <f>_xlfn.IFNA(VLOOKUP(H25,'MCIA Cases'!$A$2:$R$1091,3,FALSE)," ")</f>
        <v xml:space="preserve"> </v>
      </c>
      <c r="M25" s="1" t="str">
        <f>IF(COUNTIF('MCIA Corrective Actions'!$A:$A,H25)=0," ",COUNTIF('MCIA Corrective Actions'!$A:$A,H25))</f>
        <v xml:space="preserve"> </v>
      </c>
      <c r="N25" s="1" t="str">
        <f>IF(COUNTIF('MCIA Corrective Actions'!$A:$A,H25)=0," ",COUNTIFS('MCIA Corrective Actions'!$A:$A,H25,'MCIA Corrective Actions'!N:N,"Yes"))</f>
        <v xml:space="preserve"> </v>
      </c>
      <c r="O25" s="1" t="str">
        <f>_xlfn.IFNA(VLOOKUP(H25,'MCIA Corrective Actions'!$A$2:$R$1092,6,FALSE)," ")</f>
        <v xml:space="preserve"> </v>
      </c>
      <c r="P25" s="1"/>
    </row>
    <row r="26" spans="1:16" x14ac:dyDescent="0.25">
      <c r="A26" s="1">
        <v>134</v>
      </c>
      <c r="B26" s="108">
        <f>VLOOKUP($A26,Table1[['#]:[Vessel]],4,FALSE)</f>
        <v>53</v>
      </c>
      <c r="C26" s="107">
        <f>VLOOKUP($A26,Table1[['#]:[Date]],3,FALSE)</f>
        <v>43579</v>
      </c>
      <c r="D26" s="3">
        <f>VLOOKUP($A26,Table1[['#]:[Hours]],7,FALSE)</f>
        <v>149.93</v>
      </c>
      <c r="E26" s="3" t="str">
        <f>VLOOKUP($A26,Table1[['#]:[System]],8,FALSE)&amp;" / "&amp;VLOOKUP($A26,Table1[['#]:[Subsystem]],9,FALSE)</f>
        <v>Main Hoist / Holder</v>
      </c>
      <c r="F26" s="108">
        <f>VLOOKUP($A26,Table1[['#]:[Work Order '#]],10,FALSE)</f>
        <v>4213300</v>
      </c>
      <c r="G26" s="110" t="str">
        <f>VLOOKUP($A26,Table1[['#]:[Delay Log Notes]],11,FALSE)</f>
        <v>Troubleshoot holder</v>
      </c>
      <c r="H26" s="1" t="str">
        <f>_xlfn.IFNA(VLOOKUP(A26,'EDL Data'!$A$2:$M$1245,6,FALSE)," ")</f>
        <v>None</v>
      </c>
      <c r="I26" s="1" t="str">
        <f>_xlfn.IFNA(VLOOKUP(H26,'MCIA Cases'!$A$2:$R$1091,2,FALSE)," ")</f>
        <v xml:space="preserve"> </v>
      </c>
      <c r="J26" s="1" t="str">
        <f>_xlfn.IFNA(VLOOKUP(H26,'MCIA Cases'!$A$2:$R$1091,9,FALSE)," ")</f>
        <v xml:space="preserve"> </v>
      </c>
      <c r="K26" s="1" t="str">
        <f>_xlfn.IFNA(VLOOKUP(H26,'MCIA Cases'!$A$2:$R$1091,10,FALSE)," ")</f>
        <v xml:space="preserve"> </v>
      </c>
      <c r="L26" s="1" t="str">
        <f>_xlfn.IFNA(VLOOKUP(H26,'MCIA Cases'!$A$2:$R$1091,3,FALSE)," ")</f>
        <v xml:space="preserve"> </v>
      </c>
      <c r="M26" s="1" t="str">
        <f>IF(COUNTIF('MCIA Corrective Actions'!$A:$A,H26)=0," ",COUNTIF('MCIA Corrective Actions'!$A:$A,H26))</f>
        <v xml:space="preserve"> </v>
      </c>
      <c r="N26" s="1" t="str">
        <f>IF(COUNTIF('MCIA Corrective Actions'!$A:$A,H26)=0," ",COUNTIFS('MCIA Corrective Actions'!$A:$A,H26,'MCIA Corrective Actions'!N:N,"Yes"))</f>
        <v xml:space="preserve"> </v>
      </c>
      <c r="O26" s="1" t="str">
        <f>_xlfn.IFNA(VLOOKUP(H26,'MCIA Corrective Actions'!$A$2:$R$1092,6,FALSE)," ")</f>
        <v xml:space="preserve"> </v>
      </c>
      <c r="P26" s="1"/>
    </row>
    <row r="27" spans="1:16" x14ac:dyDescent="0.25">
      <c r="A27" s="1">
        <v>135</v>
      </c>
      <c r="B27" s="108" t="str">
        <f>VLOOKUP($A27,Table1[['#]:[Vessel]],4,FALSE)</f>
        <v>Texas</v>
      </c>
      <c r="C27" s="107">
        <f>VLOOKUP($A27,Table1[['#]:[Date]],3,FALSE)</f>
        <v>43581</v>
      </c>
      <c r="D27" s="3">
        <f>VLOOKUP($A27,Table1[['#]:[Hours]],7,FALSE)</f>
        <v>79.09</v>
      </c>
      <c r="E27" s="3" t="str">
        <f>VLOOKUP($A27,Table1[['#]:[System]],8,FALSE)&amp;" / "&amp;VLOOKUP($A27,Table1[['#]:[Subsystem]],9,FALSE)</f>
        <v>Cutter / Motor</v>
      </c>
      <c r="F27" s="108" t="str">
        <f>VLOOKUP($A27,Table1[['#]:[Work Order '#]],10,FALSE)</f>
        <v>0791516</v>
      </c>
      <c r="G27" s="110" t="str">
        <f>VLOOKUP($A27,Table1[['#]:[Delay Log Notes]],11,FALSE)</f>
        <v>None</v>
      </c>
      <c r="H27" s="1">
        <f>_xlfn.IFNA(VLOOKUP(A27,'EDL Data'!$A$2:$M$1245,6,FALSE)," ")</f>
        <v>298</v>
      </c>
      <c r="I27" s="1" t="str">
        <f>_xlfn.IFNA(VLOOKUP(H27,'MCIA Cases'!$A$2:$R$1091,2,FALSE)," ")</f>
        <v>Stbd Cutter Motors Overheating</v>
      </c>
      <c r="J27" s="1">
        <f>_xlfn.IFNA(VLOOKUP(H27,'MCIA Cases'!$A$2:$R$1091,9,FALSE)," ")</f>
        <v>0</v>
      </c>
      <c r="K27" s="1">
        <f>_xlfn.IFNA(VLOOKUP(H27,'MCIA Cases'!$A$2:$R$1091,10,FALSE)," ")</f>
        <v>0</v>
      </c>
      <c r="L27" s="1" t="str">
        <f>_xlfn.IFNA(VLOOKUP(H27,'MCIA Cases'!$A$2:$R$1091,3,FALSE)," ")</f>
        <v>William Bradshaw</v>
      </c>
      <c r="M27" s="1" t="str">
        <f>IF(COUNTIF('MCIA Corrective Actions'!$A:$A,H27)=0," ",COUNTIF('MCIA Corrective Actions'!$A:$A,H27))</f>
        <v xml:space="preserve"> </v>
      </c>
      <c r="N27" s="1" t="str">
        <f>IF(COUNTIF('MCIA Corrective Actions'!$A:$A,H27)=0," ",COUNTIFS('MCIA Corrective Actions'!$A:$A,H27,'MCIA Corrective Actions'!N:N,"Yes"))</f>
        <v xml:space="preserve"> </v>
      </c>
      <c r="O27" s="1" t="str">
        <f>_xlfn.IFNA(VLOOKUP(H27,'MCIA Corrective Actions'!$A$2:$R$1092,6,FALSE)," ")</f>
        <v xml:space="preserve"> </v>
      </c>
      <c r="P27" s="1"/>
    </row>
    <row r="28" spans="1:16" x14ac:dyDescent="0.25">
      <c r="A28" s="1">
        <v>136</v>
      </c>
      <c r="B28" s="108" t="str">
        <f>VLOOKUP($A28,Table1[['#]:[Vessel]],4,FALSE)</f>
        <v>Texas</v>
      </c>
      <c r="C28" s="107">
        <f>VLOOKUP($A28,Table1[['#]:[Date]],3,FALSE)</f>
        <v>43586</v>
      </c>
      <c r="D28" s="3">
        <f>VLOOKUP($A28,Table1[['#]:[Hours]],7,FALSE)</f>
        <v>25.35</v>
      </c>
      <c r="E28" s="3" t="str">
        <f>VLOOKUP($A28,Table1[['#]:[System]],8,FALSE)&amp;" / "&amp;VLOOKUP($A28,Table1[['#]:[Subsystem]],9,FALSE)</f>
        <v>Cutter / SCR Drive/MG Set</v>
      </c>
      <c r="F28" s="108">
        <f>VLOOKUP($A28,Table1[['#]:[Work Order '#]],10,FALSE)</f>
        <v>4214929</v>
      </c>
      <c r="G28" s="110" t="str">
        <f>VLOOKUP($A28,Table1[['#]:[Delay Log Notes]],11,FALSE)</f>
        <v>None</v>
      </c>
      <c r="H28" s="1" t="str">
        <f>_xlfn.IFNA(VLOOKUP(A28,'EDL Data'!$A$2:$M$1245,6,FALSE)," ")</f>
        <v>None</v>
      </c>
      <c r="I28" s="1" t="str">
        <f>_xlfn.IFNA(VLOOKUP(H28,'MCIA Cases'!$A$2:$R$1091,2,FALSE)," ")</f>
        <v xml:space="preserve"> </v>
      </c>
      <c r="J28" s="1" t="str">
        <f>_xlfn.IFNA(VLOOKUP(H28,'MCIA Cases'!$A$2:$R$1091,9,FALSE)," ")</f>
        <v xml:space="preserve"> </v>
      </c>
      <c r="K28" s="1" t="str">
        <f>_xlfn.IFNA(VLOOKUP(H28,'MCIA Cases'!$A$2:$R$1091,10,FALSE)," ")</f>
        <v xml:space="preserve"> </v>
      </c>
      <c r="L28" s="1" t="str">
        <f>_xlfn.IFNA(VLOOKUP(H28,'MCIA Cases'!$A$2:$R$1091,3,FALSE)," ")</f>
        <v xml:space="preserve"> </v>
      </c>
      <c r="M28" s="1" t="str">
        <f>IF(COUNTIF('MCIA Corrective Actions'!$A:$A,H28)=0," ",COUNTIF('MCIA Corrective Actions'!$A:$A,H28))</f>
        <v xml:space="preserve"> </v>
      </c>
      <c r="N28" s="1" t="str">
        <f>IF(COUNTIF('MCIA Corrective Actions'!$A:$A,H28)=0," ",COUNTIFS('MCIA Corrective Actions'!$A:$A,H28,'MCIA Corrective Actions'!N:N,"Yes"))</f>
        <v xml:space="preserve"> </v>
      </c>
      <c r="O28" s="1" t="str">
        <f>_xlfn.IFNA(VLOOKUP(H28,'MCIA Corrective Actions'!$A$2:$R$1092,6,FALSE)," ")</f>
        <v xml:space="preserve"> </v>
      </c>
      <c r="P28" s="1"/>
    </row>
    <row r="29" spans="1:16" x14ac:dyDescent="0.25">
      <c r="A29" s="1">
        <v>137</v>
      </c>
      <c r="B29" s="108">
        <f>VLOOKUP($A29,Table1[['#]:[Vessel]],4,FALSE)</f>
        <v>53</v>
      </c>
      <c r="C29" s="107">
        <f>VLOOKUP($A29,Table1[['#]:[Date]],3,FALSE)</f>
        <v>43590</v>
      </c>
      <c r="D29" s="3">
        <f>VLOOKUP($A29,Table1[['#]:[Hours]],7,FALSE)</f>
        <v>45.96</v>
      </c>
      <c r="E29" s="3" t="str">
        <f>VLOOKUP($A29,Table1[['#]:[System]],8,FALSE)&amp;" / "&amp;VLOOKUP($A29,Table1[['#]:[Subsystem]],9,FALSE)</f>
        <v>Spud System / Spud Structure</v>
      </c>
      <c r="F29" s="108">
        <f>VLOOKUP($A29,Table1[['#]:[Work Order '#]],10,FALSE)</f>
        <v>1193339</v>
      </c>
      <c r="G29" s="110" t="str">
        <f>VLOOKUP($A29,Table1[['#]:[Delay Log Notes]],11,FALSE)</f>
        <v>Cracked / Broken Stern Spud</v>
      </c>
      <c r="H29" s="1" t="str">
        <f>_xlfn.IFNA(VLOOKUP(A29,'EDL Data'!$A$2:$M$1245,6,FALSE)," ")</f>
        <v>None</v>
      </c>
      <c r="I29" s="1" t="str">
        <f>_xlfn.IFNA(VLOOKUP(H29,'MCIA Cases'!$A$2:$R$1091,2,FALSE)," ")</f>
        <v xml:space="preserve"> </v>
      </c>
      <c r="J29" s="1" t="str">
        <f>_xlfn.IFNA(VLOOKUP(H29,'MCIA Cases'!$A$2:$R$1091,9,FALSE)," ")</f>
        <v xml:space="preserve"> </v>
      </c>
      <c r="K29" s="1" t="str">
        <f>_xlfn.IFNA(VLOOKUP(H29,'MCIA Cases'!$A$2:$R$1091,10,FALSE)," ")</f>
        <v xml:space="preserve"> </v>
      </c>
      <c r="L29" s="1" t="str">
        <f>_xlfn.IFNA(VLOOKUP(H29,'MCIA Cases'!$A$2:$R$1091,3,FALSE)," ")</f>
        <v xml:space="preserve"> </v>
      </c>
      <c r="M29" s="1" t="str">
        <f>IF(COUNTIF('MCIA Corrective Actions'!$A:$A,H29)=0," ",COUNTIF('MCIA Corrective Actions'!$A:$A,H29))</f>
        <v xml:space="preserve"> </v>
      </c>
      <c r="N29" s="1" t="str">
        <f>IF(COUNTIF('MCIA Corrective Actions'!$A:$A,H29)=0," ",COUNTIFS('MCIA Corrective Actions'!$A:$A,H29,'MCIA Corrective Actions'!N:N,"Yes"))</f>
        <v xml:space="preserve"> </v>
      </c>
      <c r="O29" s="1" t="str">
        <f>_xlfn.IFNA(VLOOKUP(H29,'MCIA Corrective Actions'!$A$2:$R$1092,6,FALSE)," ")</f>
        <v xml:space="preserve"> </v>
      </c>
      <c r="P29" s="1"/>
    </row>
    <row r="30" spans="1:16" ht="30" x14ac:dyDescent="0.25">
      <c r="A30" s="1">
        <v>138</v>
      </c>
      <c r="B30" s="108" t="str">
        <f>VLOOKUP($A30,Table1[['#]:[Vessel]],4,FALSE)</f>
        <v>Ellis Island</v>
      </c>
      <c r="C30" s="107">
        <f>VLOOKUP($A30,Table1[['#]:[Date]],3,FALSE)</f>
        <v>43597</v>
      </c>
      <c r="D30" s="3">
        <f>VLOOKUP($A30,Table1[['#]:[Hours]],7,FALSE)</f>
        <v>190.34</v>
      </c>
      <c r="E30" s="3" t="str">
        <f>VLOOKUP($A30,Table1[['#]:[System]],8,FALSE)&amp;" / "&amp;VLOOKUP($A30,Table1[['#]:[Subsystem]],9,FALSE)</f>
        <v>Drag Head / Other (repairs)</v>
      </c>
      <c r="F30" s="108" t="str">
        <f>VLOOKUP($A30,Table1[['#]:[Work Order '#]],10,FALSE)</f>
        <v>N/A</v>
      </c>
      <c r="G30" s="110" t="str">
        <f>VLOOKUP($A30,Table1[['#]:[Delay Log Notes]],11,FALSE)</f>
        <v>Hull ruptured from STBD Draghead casualty. Anchor for Inspection</v>
      </c>
      <c r="H30" s="1" t="str">
        <f>_xlfn.IFNA(VLOOKUP(A30,'EDL Data'!$A$2:$M$1245,6,FALSE)," ")</f>
        <v>None</v>
      </c>
      <c r="I30" s="1" t="str">
        <f>_xlfn.IFNA(VLOOKUP(H30,'MCIA Cases'!$A$2:$R$1091,2,FALSE)," ")</f>
        <v xml:space="preserve"> </v>
      </c>
      <c r="J30" s="1" t="str">
        <f>_xlfn.IFNA(VLOOKUP(H30,'MCIA Cases'!$A$2:$R$1091,9,FALSE)," ")</f>
        <v xml:space="preserve"> </v>
      </c>
      <c r="K30" s="1" t="str">
        <f>_xlfn.IFNA(VLOOKUP(H30,'MCIA Cases'!$A$2:$R$1091,10,FALSE)," ")</f>
        <v xml:space="preserve"> </v>
      </c>
      <c r="L30" s="1" t="str">
        <f>_xlfn.IFNA(VLOOKUP(H30,'MCIA Cases'!$A$2:$R$1091,3,FALSE)," ")</f>
        <v xml:space="preserve"> </v>
      </c>
      <c r="M30" s="1" t="str">
        <f>IF(COUNTIF('MCIA Corrective Actions'!$A:$A,H30)=0," ",COUNTIF('MCIA Corrective Actions'!$A:$A,H30))</f>
        <v xml:space="preserve"> </v>
      </c>
      <c r="N30" s="1" t="str">
        <f>IF(COUNTIF('MCIA Corrective Actions'!$A:$A,H30)=0," ",COUNTIFS('MCIA Corrective Actions'!$A:$A,H30,'MCIA Corrective Actions'!N:N,"Yes"))</f>
        <v xml:space="preserve"> </v>
      </c>
      <c r="O30" s="1" t="str">
        <f>_xlfn.IFNA(VLOOKUP(H30,'MCIA Corrective Actions'!$A$2:$R$1092,6,FALSE)," ")</f>
        <v xml:space="preserve"> </v>
      </c>
      <c r="P30" s="1"/>
    </row>
    <row r="31" spans="1:16" x14ac:dyDescent="0.25">
      <c r="A31" s="1">
        <v>139</v>
      </c>
      <c r="B31" s="108" t="str">
        <f>VLOOKUP($A31,Table1[['#]:[Vessel]],4,FALSE)</f>
        <v>Illinois</v>
      </c>
      <c r="C31" s="107">
        <f>VLOOKUP($A31,Table1[['#]:[Date]],3,FALSE)</f>
        <v>43625</v>
      </c>
      <c r="D31" s="3">
        <f>VLOOKUP($A31,Table1[['#]:[Hours]],7,FALSE)</f>
        <v>83.23</v>
      </c>
      <c r="E31" s="3" t="str">
        <f>VLOOKUP($A31,Table1[['#]:[System]],8,FALSE)&amp;" / "&amp;VLOOKUP($A31,Table1[['#]:[Subsystem]],9,FALSE)</f>
        <v>Cutter / Motor (Cutter Shaft)</v>
      </c>
      <c r="F31" s="108" t="str">
        <f>VLOOKUP($A31,Table1[['#]:[Work Order '#]],10,FALSE)</f>
        <v>0309607</v>
      </c>
      <c r="G31" s="110" t="str">
        <f>VLOOKUP($A31,Table1[['#]:[Delay Log Notes]],11,FALSE)</f>
        <v>None</v>
      </c>
      <c r="H31" s="1" t="str">
        <f>_xlfn.IFNA(VLOOKUP(A31,'EDL Data'!$A$2:$M$1245,6,FALSE)," ")</f>
        <v>None</v>
      </c>
      <c r="I31" s="1" t="str">
        <f>_xlfn.IFNA(VLOOKUP(H31,'MCIA Cases'!$A$2:$R$1091,2,FALSE)," ")</f>
        <v xml:space="preserve"> </v>
      </c>
      <c r="J31" s="1" t="str">
        <f>_xlfn.IFNA(VLOOKUP(H31,'MCIA Cases'!$A$2:$R$1091,9,FALSE)," ")</f>
        <v xml:space="preserve"> </v>
      </c>
      <c r="K31" s="1" t="str">
        <f>_xlfn.IFNA(VLOOKUP(H31,'MCIA Cases'!$A$2:$R$1091,10,FALSE)," ")</f>
        <v xml:space="preserve"> </v>
      </c>
      <c r="L31" s="1" t="str">
        <f>_xlfn.IFNA(VLOOKUP(H31,'MCIA Cases'!$A$2:$R$1091,3,FALSE)," ")</f>
        <v xml:space="preserve"> </v>
      </c>
      <c r="M31" s="1" t="str">
        <f>IF(COUNTIF('MCIA Corrective Actions'!$A:$A,H31)=0," ",COUNTIF('MCIA Corrective Actions'!$A:$A,H31))</f>
        <v xml:space="preserve"> </v>
      </c>
      <c r="N31" s="1" t="str">
        <f>IF(COUNTIF('MCIA Corrective Actions'!$A:$A,H31)=0," ",COUNTIFS('MCIA Corrective Actions'!$A:$A,H31,'MCIA Corrective Actions'!N:N,"Yes"))</f>
        <v xml:space="preserve"> </v>
      </c>
      <c r="O31" s="1" t="str">
        <f>_xlfn.IFNA(VLOOKUP(H31,'MCIA Corrective Actions'!$A$2:$R$1092,6,FALSE)," ")</f>
        <v xml:space="preserve"> </v>
      </c>
      <c r="P31" s="1"/>
    </row>
    <row r="32" spans="1:16" x14ac:dyDescent="0.25">
      <c r="A32" s="1">
        <v>140</v>
      </c>
      <c r="B32" s="108" t="str">
        <f>VLOOKUP($A32,Table1[['#]:[Vessel]],4,FALSE)</f>
        <v>Terrapin Island</v>
      </c>
      <c r="C32" s="107">
        <f>VLOOKUP($A32,Table1[['#]:[Date]],3,FALSE)</f>
        <v>43631</v>
      </c>
      <c r="D32" s="3">
        <f>VLOOKUP($A32,Table1[['#]:[Hours]],7,FALSE)</f>
        <v>35.58</v>
      </c>
      <c r="E32" s="3" t="str">
        <f>VLOOKUP($A32,Table1[['#]:[System]],8,FALSE)&amp;" / "&amp;VLOOKUP($A32,Table1[['#]:[Subsystem]],9,FALSE)</f>
        <v>Dredge Pump Engine / Other</v>
      </c>
      <c r="F32" s="108">
        <f>VLOOKUP($A32,Table1[['#]:[Work Order '#]],10,FALSE)</f>
        <v>4181774</v>
      </c>
      <c r="G32" s="110" t="str">
        <f>VLOOKUP($A32,Table1[['#]:[Delay Log Notes]],11,FALSE)</f>
        <v>Crank case High temp – Port Drag-arm down</v>
      </c>
      <c r="H32" s="1" t="str">
        <f>_xlfn.IFNA(VLOOKUP(A32,'EDL Data'!$A$2:$M$1245,6,FALSE)," ")</f>
        <v>None</v>
      </c>
      <c r="I32" s="1" t="str">
        <f>_xlfn.IFNA(VLOOKUP(H32,'MCIA Cases'!$A$2:$R$1091,2,FALSE)," ")</f>
        <v xml:space="preserve"> </v>
      </c>
      <c r="J32" s="1" t="str">
        <f>_xlfn.IFNA(VLOOKUP(H32,'MCIA Cases'!$A$2:$R$1091,9,FALSE)," ")</f>
        <v xml:space="preserve"> </v>
      </c>
      <c r="K32" s="1" t="str">
        <f>_xlfn.IFNA(VLOOKUP(H32,'MCIA Cases'!$A$2:$R$1091,10,FALSE)," ")</f>
        <v xml:space="preserve"> </v>
      </c>
      <c r="L32" s="1" t="str">
        <f>_xlfn.IFNA(VLOOKUP(H32,'MCIA Cases'!$A$2:$R$1091,3,FALSE)," ")</f>
        <v xml:space="preserve"> </v>
      </c>
      <c r="M32" s="1" t="str">
        <f>IF(COUNTIF('MCIA Corrective Actions'!$A:$A,H32)=0," ",COUNTIF('MCIA Corrective Actions'!$A:$A,H32))</f>
        <v xml:space="preserve"> </v>
      </c>
      <c r="N32" s="1" t="str">
        <f>IF(COUNTIF('MCIA Corrective Actions'!$A:$A,H32)=0," ",COUNTIFS('MCIA Corrective Actions'!$A:$A,H32,'MCIA Corrective Actions'!N:N,"Yes"))</f>
        <v xml:space="preserve"> </v>
      </c>
      <c r="O32" s="1" t="str">
        <f>_xlfn.IFNA(VLOOKUP(H32,'MCIA Corrective Actions'!$A$2:$R$1092,6,FALSE)," ")</f>
        <v xml:space="preserve"> </v>
      </c>
      <c r="P32" s="1"/>
    </row>
    <row r="33" spans="1:16" x14ac:dyDescent="0.25">
      <c r="A33" s="1">
        <v>141</v>
      </c>
      <c r="B33" s="108" t="str">
        <f>VLOOKUP($A33,Table1[['#]:[Vessel]],4,FALSE)</f>
        <v>Liberty Island</v>
      </c>
      <c r="C33" s="107">
        <f>VLOOKUP($A33,Table1[['#]:[Date]],3,FALSE)</f>
        <v>43641</v>
      </c>
      <c r="D33" s="3">
        <f>VLOOKUP($A33,Table1[['#]:[Hours]],7,FALSE)</f>
        <v>27.9</v>
      </c>
      <c r="E33" s="3" t="str">
        <f>VLOOKUP($A33,Table1[['#]:[System]],8,FALSE)&amp;" / "&amp;VLOOKUP($A33,Table1[['#]:[Subsystem]],9,FALSE)</f>
        <v>Drag Head / Other</v>
      </c>
      <c r="F33" s="108" t="str">
        <f>VLOOKUP($A33,Table1[['#]:[Work Order '#]],10,FALSE)</f>
        <v>0849330</v>
      </c>
      <c r="G33" s="110" t="str">
        <f>VLOOKUP($A33,Table1[['#]:[Delay Log Notes]],11,FALSE)</f>
        <v>Norfolk</v>
      </c>
      <c r="H33" s="1" t="str">
        <f>_xlfn.IFNA(VLOOKUP(A33,'EDL Data'!$A$2:$M$1245,6,FALSE)," ")</f>
        <v>None</v>
      </c>
      <c r="I33" s="1" t="str">
        <f>_xlfn.IFNA(VLOOKUP(H33,'MCIA Cases'!$A$2:$R$1091,2,FALSE)," ")</f>
        <v xml:space="preserve"> </v>
      </c>
      <c r="J33" s="1" t="str">
        <f>_xlfn.IFNA(VLOOKUP(H33,'MCIA Cases'!$A$2:$R$1091,9,FALSE)," ")</f>
        <v xml:space="preserve"> </v>
      </c>
      <c r="K33" s="1" t="str">
        <f>_xlfn.IFNA(VLOOKUP(H33,'MCIA Cases'!$A$2:$R$1091,10,FALSE)," ")</f>
        <v xml:space="preserve"> </v>
      </c>
      <c r="L33" s="1" t="str">
        <f>_xlfn.IFNA(VLOOKUP(H33,'MCIA Cases'!$A$2:$R$1091,3,FALSE)," ")</f>
        <v xml:space="preserve"> </v>
      </c>
      <c r="M33" s="1" t="str">
        <f>IF(COUNTIF('MCIA Corrective Actions'!$A:$A,H33)=0," ",COUNTIF('MCIA Corrective Actions'!$A:$A,H33))</f>
        <v xml:space="preserve"> </v>
      </c>
      <c r="N33" s="1" t="str">
        <f>IF(COUNTIF('MCIA Corrective Actions'!$A:$A,H33)=0," ",COUNTIFS('MCIA Corrective Actions'!$A:$A,H33,'MCIA Corrective Actions'!N:N,"Yes"))</f>
        <v xml:space="preserve"> </v>
      </c>
      <c r="O33" s="1" t="str">
        <f>_xlfn.IFNA(VLOOKUP(H33,'MCIA Corrective Actions'!$A$2:$R$1092,6,FALSE)," ")</f>
        <v xml:space="preserve"> </v>
      </c>
      <c r="P33" s="1"/>
    </row>
    <row r="34" spans="1:16" x14ac:dyDescent="0.25">
      <c r="A34" s="1">
        <v>142</v>
      </c>
      <c r="B34" s="108" t="str">
        <f>VLOOKUP($A34,Table1[['#]:[Vessel]],4,FALSE)</f>
        <v>Ellis Island</v>
      </c>
      <c r="C34" s="107">
        <f>VLOOKUP($A34,Table1[['#]:[Date]],3,FALSE)</f>
        <v>43648</v>
      </c>
      <c r="D34" s="3">
        <f>VLOOKUP($A34,Table1[['#]:[Hours]],7,FALSE)</f>
        <v>26.52</v>
      </c>
      <c r="E34" s="3" t="str">
        <f>VLOOKUP($A34,Table1[['#]:[System]],8,FALSE)&amp;" / "&amp;VLOOKUP($A34,Table1[['#]:[Subsystem]],9,FALSE)</f>
        <v>Main Engine / Propulsion / Other (repairs)</v>
      </c>
      <c r="F34" s="108">
        <f>VLOOKUP($A34,Table1[['#]:[Work Order '#]],10,FALSE)</f>
        <v>4271273</v>
      </c>
      <c r="G34" s="110" t="str">
        <f>VLOOKUP($A34,Table1[['#]:[Delay Log Notes]],11,FALSE)</f>
        <v>none</v>
      </c>
      <c r="H34" s="1" t="str">
        <f>_xlfn.IFNA(VLOOKUP(A34,'EDL Data'!$A$2:$M$1245,6,FALSE)," ")</f>
        <v>None</v>
      </c>
      <c r="I34" s="1" t="str">
        <f>_xlfn.IFNA(VLOOKUP(H34,'MCIA Cases'!$A$2:$R$1091,2,FALSE)," ")</f>
        <v xml:space="preserve"> </v>
      </c>
      <c r="J34" s="1" t="str">
        <f>_xlfn.IFNA(VLOOKUP(H34,'MCIA Cases'!$A$2:$R$1091,9,FALSE)," ")</f>
        <v xml:space="preserve"> </v>
      </c>
      <c r="K34" s="1" t="str">
        <f>_xlfn.IFNA(VLOOKUP(H34,'MCIA Cases'!$A$2:$R$1091,10,FALSE)," ")</f>
        <v xml:space="preserve"> </v>
      </c>
      <c r="L34" s="1" t="str">
        <f>_xlfn.IFNA(VLOOKUP(H34,'MCIA Cases'!$A$2:$R$1091,3,FALSE)," ")</f>
        <v xml:space="preserve"> </v>
      </c>
      <c r="M34" s="1" t="str">
        <f>IF(COUNTIF('MCIA Corrective Actions'!$A:$A,H34)=0," ",COUNTIF('MCIA Corrective Actions'!$A:$A,H34))</f>
        <v xml:space="preserve"> </v>
      </c>
      <c r="N34" s="1" t="str">
        <f>IF(COUNTIF('MCIA Corrective Actions'!$A:$A,H34)=0," ",COUNTIFS('MCIA Corrective Actions'!$A:$A,H34,'MCIA Corrective Actions'!N:N,"Yes"))</f>
        <v xml:space="preserve"> </v>
      </c>
      <c r="O34" s="1" t="str">
        <f>_xlfn.IFNA(VLOOKUP(H34,'MCIA Corrective Actions'!$A$2:$R$1092,6,FALSE)," ")</f>
        <v xml:space="preserve"> </v>
      </c>
      <c r="P34" s="1"/>
    </row>
    <row r="35" spans="1:16" x14ac:dyDescent="0.25">
      <c r="A35" s="1">
        <v>143</v>
      </c>
      <c r="B35" s="108" t="str">
        <f>VLOOKUP($A35,Table1[['#]:[Vessel]],4,FALSE)</f>
        <v>Liberty Island</v>
      </c>
      <c r="C35" s="107">
        <f>VLOOKUP($A35,Table1[['#]:[Date]],3,FALSE)</f>
        <v>43648</v>
      </c>
      <c r="D35" s="3">
        <f>VLOOKUP($A35,Table1[['#]:[Hours]],7,FALSE)</f>
        <v>72.099999999999994</v>
      </c>
      <c r="E35" s="3" t="str">
        <f>VLOOKUP($A35,Table1[['#]:[System]],8,FALSE)&amp;" / "&amp;VLOOKUP($A35,Table1[['#]:[Subsystem]],9,FALSE)</f>
        <v>Gimbal Hoist / Other</v>
      </c>
      <c r="F35" s="108" t="str">
        <f>VLOOKUP($A35,Table1[['#]:[Work Order '#]],10,FALSE)</f>
        <v>0849382</v>
      </c>
      <c r="G35" s="110" t="str">
        <f>VLOOKUP($A35,Table1[['#]:[Delay Log Notes]],11,FALSE)</f>
        <v>Fixing PORT side pad eyes</v>
      </c>
      <c r="H35" s="1" t="str">
        <f>_xlfn.IFNA(VLOOKUP(A35,'EDL Data'!$A$2:$M$1245,6,FALSE)," ")</f>
        <v>None</v>
      </c>
      <c r="I35" s="1" t="str">
        <f>_xlfn.IFNA(VLOOKUP(H35,'MCIA Cases'!$A$2:$R$1091,2,FALSE)," ")</f>
        <v xml:space="preserve"> </v>
      </c>
      <c r="J35" s="1" t="str">
        <f>_xlfn.IFNA(VLOOKUP(H35,'MCIA Cases'!$A$2:$R$1091,9,FALSE)," ")</f>
        <v xml:space="preserve"> </v>
      </c>
      <c r="K35" s="1" t="str">
        <f>_xlfn.IFNA(VLOOKUP(H35,'MCIA Cases'!$A$2:$R$1091,10,FALSE)," ")</f>
        <v xml:space="preserve"> </v>
      </c>
      <c r="L35" s="1" t="str">
        <f>_xlfn.IFNA(VLOOKUP(H35,'MCIA Cases'!$A$2:$R$1091,3,FALSE)," ")</f>
        <v xml:space="preserve"> </v>
      </c>
      <c r="M35" s="1" t="str">
        <f>IF(COUNTIF('MCIA Corrective Actions'!$A:$A,H35)=0," ",COUNTIF('MCIA Corrective Actions'!$A:$A,H35))</f>
        <v xml:space="preserve"> </v>
      </c>
      <c r="N35" s="1" t="str">
        <f>IF(COUNTIF('MCIA Corrective Actions'!$A:$A,H35)=0," ",COUNTIFS('MCIA Corrective Actions'!$A:$A,H35,'MCIA Corrective Actions'!N:N,"Yes"))</f>
        <v xml:space="preserve"> </v>
      </c>
      <c r="O35" s="1" t="str">
        <f>_xlfn.IFNA(VLOOKUP(H35,'MCIA Corrective Actions'!$A$2:$R$1092,6,FALSE)," ")</f>
        <v xml:space="preserve"> </v>
      </c>
      <c r="P35" s="1"/>
    </row>
    <row r="36" spans="1:16" x14ac:dyDescent="0.25">
      <c r="A36" s="1">
        <v>144</v>
      </c>
      <c r="B36" s="108" t="str">
        <f>VLOOKUP($A36,Table1[['#]:[Vessel]],4,FALSE)</f>
        <v>Illinois</v>
      </c>
      <c r="C36" s="107">
        <f>VLOOKUP($A36,Table1[['#]:[Date]],3,FALSE)</f>
        <v>43651</v>
      </c>
      <c r="D36" s="3">
        <f>VLOOKUP($A36,Table1[['#]:[Hours]],7,FALSE)</f>
        <v>100.17</v>
      </c>
      <c r="E36" s="3" t="str">
        <f>VLOOKUP($A36,Table1[['#]:[System]],8,FALSE)&amp;" / "&amp;VLOOKUP($A36,Table1[['#]:[Subsystem]],9,FALSE)</f>
        <v>Main Pump / Pump rebuild</v>
      </c>
      <c r="F36" s="108">
        <f>VLOOKUP($A36,Table1[['#]:[Work Order '#]],10,FALSE)</f>
        <v>4214253</v>
      </c>
      <c r="G36" s="110" t="str">
        <f>VLOOKUP($A36,Table1[['#]:[Delay Log Notes]],11,FALSE)</f>
        <v>None</v>
      </c>
      <c r="H36" s="1" t="str">
        <f>_xlfn.IFNA(VLOOKUP(A36,'EDL Data'!$A$2:$M$1245,6,FALSE)," ")</f>
        <v>None</v>
      </c>
      <c r="I36" s="1" t="str">
        <f>_xlfn.IFNA(VLOOKUP(H36,'MCIA Cases'!$A$2:$R$1091,2,FALSE)," ")</f>
        <v xml:space="preserve"> </v>
      </c>
      <c r="J36" s="1" t="str">
        <f>_xlfn.IFNA(VLOOKUP(H36,'MCIA Cases'!$A$2:$R$1091,9,FALSE)," ")</f>
        <v xml:space="preserve"> </v>
      </c>
      <c r="K36" s="1" t="str">
        <f>_xlfn.IFNA(VLOOKUP(H36,'MCIA Cases'!$A$2:$R$1091,10,FALSE)," ")</f>
        <v xml:space="preserve"> </v>
      </c>
      <c r="L36" s="1" t="str">
        <f>_xlfn.IFNA(VLOOKUP(H36,'MCIA Cases'!$A$2:$R$1091,3,FALSE)," ")</f>
        <v xml:space="preserve"> </v>
      </c>
      <c r="M36" s="1" t="str">
        <f>IF(COUNTIF('MCIA Corrective Actions'!$A:$A,H36)=0," ",COUNTIF('MCIA Corrective Actions'!$A:$A,H36))</f>
        <v xml:space="preserve"> </v>
      </c>
      <c r="N36" s="1" t="str">
        <f>IF(COUNTIF('MCIA Corrective Actions'!$A:$A,H36)=0," ",COUNTIFS('MCIA Corrective Actions'!$A:$A,H36,'MCIA Corrective Actions'!N:N,"Yes"))</f>
        <v xml:space="preserve"> </v>
      </c>
      <c r="O36" s="1" t="str">
        <f>_xlfn.IFNA(VLOOKUP(H36,'MCIA Corrective Actions'!$A$2:$R$1092,6,FALSE)," ")</f>
        <v xml:space="preserve"> </v>
      </c>
      <c r="P36" s="1"/>
    </row>
    <row r="37" spans="1:16" x14ac:dyDescent="0.25">
      <c r="A37" s="1">
        <v>145</v>
      </c>
      <c r="B37" s="108">
        <f>VLOOKUP($A37,Table1[['#]:[Vessel]],4,FALSE)</f>
        <v>54</v>
      </c>
      <c r="C37" s="107">
        <f>VLOOKUP($A37,Table1[['#]:[Date]],3,FALSE)</f>
        <v>43659</v>
      </c>
      <c r="D37" s="3">
        <f>VLOOKUP($A37,Table1[['#]:[Hours]],7,FALSE)</f>
        <v>31.79</v>
      </c>
      <c r="E37" s="3" t="str">
        <f>VLOOKUP($A37,Table1[['#]:[System]],8,FALSE)&amp;" / "&amp;VLOOKUP($A37,Table1[['#]:[Subsystem]],9,FALSE)</f>
        <v>Electrical/Electronics / PLC</v>
      </c>
      <c r="F37" s="108">
        <f>VLOOKUP($A37,Table1[['#]:[Work Order '#]],10,FALSE)</f>
        <v>4251678</v>
      </c>
      <c r="G37" s="110" t="str">
        <f>VLOOKUP($A37,Table1[['#]:[Delay Log Notes]],11,FALSE)</f>
        <v>PLC lost memory</v>
      </c>
      <c r="H37" s="1" t="str">
        <f>_xlfn.IFNA(VLOOKUP(A37,'EDL Data'!$A$2:$M$1245,6,FALSE)," ")</f>
        <v>None</v>
      </c>
      <c r="I37" s="1" t="str">
        <f>_xlfn.IFNA(VLOOKUP(H37,'MCIA Cases'!$A$2:$R$1091,2,FALSE)," ")</f>
        <v xml:space="preserve"> </v>
      </c>
      <c r="J37" s="1" t="str">
        <f>_xlfn.IFNA(VLOOKUP(H37,'MCIA Cases'!$A$2:$R$1091,9,FALSE)," ")</f>
        <v xml:space="preserve"> </v>
      </c>
      <c r="K37" s="1" t="str">
        <f>_xlfn.IFNA(VLOOKUP(H37,'MCIA Cases'!$A$2:$R$1091,10,FALSE)," ")</f>
        <v xml:space="preserve"> </v>
      </c>
      <c r="L37" s="1" t="str">
        <f>_xlfn.IFNA(VLOOKUP(H37,'MCIA Cases'!$A$2:$R$1091,3,FALSE)," ")</f>
        <v xml:space="preserve"> </v>
      </c>
      <c r="M37" s="1" t="str">
        <f>IF(COUNTIF('MCIA Corrective Actions'!$A:$A,H37)=0," ",COUNTIF('MCIA Corrective Actions'!$A:$A,H37))</f>
        <v xml:space="preserve"> </v>
      </c>
      <c r="N37" s="1" t="str">
        <f>IF(COUNTIF('MCIA Corrective Actions'!$A:$A,H37)=0," ",COUNTIFS('MCIA Corrective Actions'!$A:$A,H37,'MCIA Corrective Actions'!N:N,"Yes"))</f>
        <v xml:space="preserve"> </v>
      </c>
      <c r="O37" s="1" t="str">
        <f>_xlfn.IFNA(VLOOKUP(H37,'MCIA Corrective Actions'!$A$2:$R$1092,6,FALSE)," ")</f>
        <v xml:space="preserve"> </v>
      </c>
      <c r="P37" s="1"/>
    </row>
    <row r="38" spans="1:16" x14ac:dyDescent="0.25">
      <c r="A38" s="1">
        <v>146</v>
      </c>
      <c r="B38" s="108">
        <f>VLOOKUP($A38,Table1[['#]:[Vessel]],4,FALSE)</f>
        <v>53</v>
      </c>
      <c r="C38" s="107">
        <f>VLOOKUP($A38,Table1[['#]:[Date]],3,FALSE)</f>
        <v>43662</v>
      </c>
      <c r="D38" s="3">
        <f>VLOOKUP($A38,Table1[['#]:[Hours]],7,FALSE)</f>
        <v>41.92</v>
      </c>
      <c r="E38" s="3" t="str">
        <f>VLOOKUP($A38,Table1[['#]:[System]],8,FALSE)&amp;" / "&amp;VLOOKUP($A38,Table1[['#]:[Subsystem]],9,FALSE)</f>
        <v>Spud System / Spud Wires</v>
      </c>
      <c r="F38" s="108">
        <f>VLOOKUP($A38,Table1[['#]:[Work Order '#]],10,FALSE)</f>
        <v>1193483</v>
      </c>
      <c r="G38" s="110" t="str">
        <f>VLOOKUP($A38,Table1[['#]:[Delay Log Notes]],11,FALSE)</f>
        <v>STBD spud wire broke</v>
      </c>
      <c r="H38" s="1" t="str">
        <f>_xlfn.IFNA(VLOOKUP(A38,'EDL Data'!$A$2:$M$1245,6,FALSE)," ")</f>
        <v>None</v>
      </c>
      <c r="I38" s="1" t="str">
        <f>_xlfn.IFNA(VLOOKUP(H38,'MCIA Cases'!$A$2:$R$1091,2,FALSE)," ")</f>
        <v xml:space="preserve"> </v>
      </c>
      <c r="J38" s="1" t="str">
        <f>_xlfn.IFNA(VLOOKUP(H38,'MCIA Cases'!$A$2:$R$1091,9,FALSE)," ")</f>
        <v xml:space="preserve"> </v>
      </c>
      <c r="K38" s="1" t="str">
        <f>_xlfn.IFNA(VLOOKUP(H38,'MCIA Cases'!$A$2:$R$1091,10,FALSE)," ")</f>
        <v xml:space="preserve"> </v>
      </c>
      <c r="L38" s="1" t="str">
        <f>_xlfn.IFNA(VLOOKUP(H38,'MCIA Cases'!$A$2:$R$1091,3,FALSE)," ")</f>
        <v xml:space="preserve"> </v>
      </c>
      <c r="M38" s="1" t="str">
        <f>IF(COUNTIF('MCIA Corrective Actions'!$A:$A,H38)=0," ",COUNTIF('MCIA Corrective Actions'!$A:$A,H38))</f>
        <v xml:space="preserve"> </v>
      </c>
      <c r="N38" s="1" t="str">
        <f>IF(COUNTIF('MCIA Corrective Actions'!$A:$A,H38)=0," ",COUNTIFS('MCIA Corrective Actions'!$A:$A,H38,'MCIA Corrective Actions'!N:N,"Yes"))</f>
        <v xml:space="preserve"> </v>
      </c>
      <c r="O38" s="1" t="str">
        <f>_xlfn.IFNA(VLOOKUP(H38,'MCIA Corrective Actions'!$A$2:$R$1092,6,FALSE)," ")</f>
        <v xml:space="preserve"> </v>
      </c>
      <c r="P38" s="1"/>
    </row>
    <row r="39" spans="1:16" x14ac:dyDescent="0.25">
      <c r="A39" s="1">
        <v>147</v>
      </c>
      <c r="B39" s="108">
        <f>VLOOKUP($A39,Table1[['#]:[Vessel]],4,FALSE)</f>
        <v>55</v>
      </c>
      <c r="C39" s="107">
        <f>VLOOKUP($A39,Table1[['#]:[Date]],3,FALSE)</f>
        <v>43666</v>
      </c>
      <c r="D39" s="3">
        <f>VLOOKUP($A39,Table1[['#]:[Hours]],7,FALSE)</f>
        <v>26.48</v>
      </c>
      <c r="E39" s="3" t="str">
        <f>VLOOKUP($A39,Table1[['#]:[System]],8,FALSE)&amp;" / "&amp;VLOOKUP($A39,Table1[['#]:[Subsystem]],9,FALSE)</f>
        <v>Main / Aux Gen / Main Generator</v>
      </c>
      <c r="F39" s="108">
        <f>VLOOKUP($A39,Table1[['#]:[Work Order '#]],10,FALSE)</f>
        <v>1725905</v>
      </c>
      <c r="G39" s="110" t="str">
        <f>VLOOKUP($A39,Table1[['#]:[Delay Log Notes]],11,FALSE)</f>
        <v>Change governor</v>
      </c>
      <c r="H39" s="1" t="str">
        <f>_xlfn.IFNA(VLOOKUP(A39,'EDL Data'!$A$2:$M$1245,6,FALSE)," ")</f>
        <v>None</v>
      </c>
      <c r="I39" s="1" t="str">
        <f>_xlfn.IFNA(VLOOKUP(H39,'MCIA Cases'!$A$2:$R$1091,2,FALSE)," ")</f>
        <v xml:space="preserve"> </v>
      </c>
      <c r="J39" s="1" t="str">
        <f>_xlfn.IFNA(VLOOKUP(H39,'MCIA Cases'!$A$2:$R$1091,9,FALSE)," ")</f>
        <v xml:space="preserve"> </v>
      </c>
      <c r="K39" s="1" t="str">
        <f>_xlfn.IFNA(VLOOKUP(H39,'MCIA Cases'!$A$2:$R$1091,10,FALSE)," ")</f>
        <v xml:space="preserve"> </v>
      </c>
      <c r="L39" s="1" t="str">
        <f>_xlfn.IFNA(VLOOKUP(H39,'MCIA Cases'!$A$2:$R$1091,3,FALSE)," ")</f>
        <v xml:space="preserve"> </v>
      </c>
      <c r="M39" s="1" t="str">
        <f>IF(COUNTIF('MCIA Corrective Actions'!$A:$A,H39)=0," ",COUNTIF('MCIA Corrective Actions'!$A:$A,H39))</f>
        <v xml:space="preserve"> </v>
      </c>
      <c r="N39" s="1" t="str">
        <f>IF(COUNTIF('MCIA Corrective Actions'!$A:$A,H39)=0," ",COUNTIFS('MCIA Corrective Actions'!$A:$A,H39,'MCIA Corrective Actions'!N:N,"Yes"))</f>
        <v xml:space="preserve"> </v>
      </c>
      <c r="O39" s="1" t="str">
        <f>_xlfn.IFNA(VLOOKUP(H39,'MCIA Corrective Actions'!$A$2:$R$1092,6,FALSE)," ")</f>
        <v xml:space="preserve"> </v>
      </c>
      <c r="P39" s="1"/>
    </row>
    <row r="40" spans="1:16" x14ac:dyDescent="0.25">
      <c r="A40" s="1">
        <v>148</v>
      </c>
      <c r="B40" s="108">
        <f>VLOOKUP($A40,Table1[['#]:[Vessel]],4,FALSE)</f>
        <v>54</v>
      </c>
      <c r="C40" s="107">
        <f>VLOOKUP($A40,Table1[['#]:[Date]],3,FALSE)</f>
        <v>43675</v>
      </c>
      <c r="D40" s="3">
        <f>VLOOKUP($A40,Table1[['#]:[Hours]],7,FALSE)</f>
        <v>32.97</v>
      </c>
      <c r="E40" s="3" t="str">
        <f>VLOOKUP($A40,Table1[['#]:[System]],8,FALSE)&amp;" / "&amp;VLOOKUP($A40,Table1[['#]:[Subsystem]],9,FALSE)</f>
        <v>Spud System / Spud Structure</v>
      </c>
      <c r="F40" s="108">
        <f>VLOOKUP($A40,Table1[['#]:[Work Order '#]],10,FALSE)</f>
        <v>4218307</v>
      </c>
      <c r="G40" s="110" t="str">
        <f>VLOOKUP($A40,Table1[['#]:[Delay Log Notes]],11,FALSE)</f>
        <v>Stern Spud brake band foundation mount</v>
      </c>
      <c r="H40" s="1" t="str">
        <f>_xlfn.IFNA(VLOOKUP(A40,'EDL Data'!$A$2:$M$1245,6,FALSE)," ")</f>
        <v>None</v>
      </c>
      <c r="I40" s="1" t="str">
        <f>_xlfn.IFNA(VLOOKUP(H40,'MCIA Cases'!$A$2:$R$1091,2,FALSE)," ")</f>
        <v xml:space="preserve"> </v>
      </c>
      <c r="J40" s="1" t="str">
        <f>_xlfn.IFNA(VLOOKUP(H40,'MCIA Cases'!$A$2:$R$1091,9,FALSE)," ")</f>
        <v xml:space="preserve"> </v>
      </c>
      <c r="K40" s="1" t="str">
        <f>_xlfn.IFNA(VLOOKUP(H40,'MCIA Cases'!$A$2:$R$1091,10,FALSE)," ")</f>
        <v xml:space="preserve"> </v>
      </c>
      <c r="L40" s="1" t="str">
        <f>_xlfn.IFNA(VLOOKUP(H40,'MCIA Cases'!$A$2:$R$1091,3,FALSE)," ")</f>
        <v xml:space="preserve"> </v>
      </c>
      <c r="M40" s="1" t="str">
        <f>IF(COUNTIF('MCIA Corrective Actions'!$A:$A,H40)=0," ",COUNTIF('MCIA Corrective Actions'!$A:$A,H40))</f>
        <v xml:space="preserve"> </v>
      </c>
      <c r="N40" s="1" t="str">
        <f>IF(COUNTIF('MCIA Corrective Actions'!$A:$A,H40)=0," ",COUNTIFS('MCIA Corrective Actions'!$A:$A,H40,'MCIA Corrective Actions'!N:N,"Yes"))</f>
        <v xml:space="preserve"> </v>
      </c>
      <c r="O40" s="1" t="str">
        <f>_xlfn.IFNA(VLOOKUP(H40,'MCIA Corrective Actions'!$A$2:$R$1092,6,FALSE)," ")</f>
        <v xml:space="preserve"> </v>
      </c>
      <c r="P40" s="1"/>
    </row>
    <row r="41" spans="1:16" x14ac:dyDescent="0.25">
      <c r="A41" s="1">
        <v>149</v>
      </c>
      <c r="B41" s="108">
        <f>VLOOKUP($A41,Table1[['#]:[Vessel]],4,FALSE)</f>
        <v>55</v>
      </c>
      <c r="C41" s="107">
        <f>VLOOKUP($A41,Table1[['#]:[Date]],3,FALSE)</f>
        <v>43676</v>
      </c>
      <c r="D41" s="3">
        <f>VLOOKUP($A41,Table1[['#]:[Hours]],7,FALSE)</f>
        <v>927.37</v>
      </c>
      <c r="E41" s="3" t="str">
        <f>VLOOKUP($A41,Table1[['#]:[System]],8,FALSE)&amp;" / "&amp;VLOOKUP($A41,Table1[['#]:[Subsystem]],9,FALSE)</f>
        <v>Main / Aux Gen / Main Generator Eng</v>
      </c>
      <c r="F41" s="108">
        <f>VLOOKUP($A41,Table1[['#]:[Work Order '#]],10,FALSE)</f>
        <v>4219354</v>
      </c>
      <c r="G41" s="110" t="str">
        <f>VLOOKUP($A41,Table1[['#]:[Delay Log Notes]],11,FALSE)</f>
        <v>Shutdown</v>
      </c>
      <c r="H41" s="1" t="str">
        <f>_xlfn.IFNA(VLOOKUP(A41,'EDL Data'!$A$2:$M$1245,6,FALSE)," ")</f>
        <v>None</v>
      </c>
      <c r="I41" s="1" t="str">
        <f>_xlfn.IFNA(VLOOKUP(H41,'MCIA Cases'!$A$2:$R$1091,2,FALSE)," ")</f>
        <v xml:space="preserve"> </v>
      </c>
      <c r="J41" s="1" t="str">
        <f>_xlfn.IFNA(VLOOKUP(H41,'MCIA Cases'!$A$2:$R$1091,9,FALSE)," ")</f>
        <v xml:space="preserve"> </v>
      </c>
      <c r="K41" s="1" t="str">
        <f>_xlfn.IFNA(VLOOKUP(H41,'MCIA Cases'!$A$2:$R$1091,10,FALSE)," ")</f>
        <v xml:space="preserve"> </v>
      </c>
      <c r="L41" s="1" t="str">
        <f>_xlfn.IFNA(VLOOKUP(H41,'MCIA Cases'!$A$2:$R$1091,3,FALSE)," ")</f>
        <v xml:space="preserve"> </v>
      </c>
      <c r="M41" s="1" t="str">
        <f>IF(COUNTIF('MCIA Corrective Actions'!$A:$A,H41)=0," ",COUNTIF('MCIA Corrective Actions'!$A:$A,H41))</f>
        <v xml:space="preserve"> </v>
      </c>
      <c r="N41" s="1" t="str">
        <f>IF(COUNTIF('MCIA Corrective Actions'!$A:$A,H41)=0," ",COUNTIFS('MCIA Corrective Actions'!$A:$A,H41,'MCIA Corrective Actions'!N:N,"Yes"))</f>
        <v xml:space="preserve"> </v>
      </c>
      <c r="O41" s="1" t="str">
        <f>_xlfn.IFNA(VLOOKUP(H41,'MCIA Corrective Actions'!$A$2:$R$1092,6,FALSE)," ")</f>
        <v xml:space="preserve"> </v>
      </c>
      <c r="P41" s="1"/>
    </row>
    <row r="42" spans="1:16" x14ac:dyDescent="0.25">
      <c r="A42" s="1">
        <v>150</v>
      </c>
      <c r="B42" s="108" t="str">
        <f>VLOOKUP($A42,Table1[['#]:[Vessel]],4,FALSE)</f>
        <v>Padre Island</v>
      </c>
      <c r="C42" s="107">
        <f>VLOOKUP($A42,Table1[['#]:[Date]],3,FALSE)</f>
        <v>43679</v>
      </c>
      <c r="D42" s="3">
        <f>VLOOKUP($A42,Table1[['#]:[Hours]],7,FALSE)</f>
        <v>30.18</v>
      </c>
      <c r="E42" s="3" t="str">
        <f>VLOOKUP($A42,Table1[['#]:[System]],8,FALSE)&amp;" / "&amp;VLOOKUP($A42,Table1[['#]:[Subsystem]],9,FALSE)</f>
        <v>Generator Engine / Other (repairs)</v>
      </c>
      <c r="F42" s="108">
        <f>VLOOKUP($A42,Table1[['#]:[Work Order '#]],10,FALSE)</f>
        <v>1726429</v>
      </c>
      <c r="G42" s="110" t="str">
        <f>VLOOKUP($A42,Table1[['#]:[Delay Log Notes]],11,FALSE)</f>
        <v>Rear Seal</v>
      </c>
      <c r="H42" s="1" t="str">
        <f>_xlfn.IFNA(VLOOKUP(A42,'EDL Data'!$A$2:$M$1245,6,FALSE)," ")</f>
        <v>None</v>
      </c>
      <c r="I42" s="1" t="str">
        <f>_xlfn.IFNA(VLOOKUP(H42,'MCIA Cases'!$A$2:$R$1091,2,FALSE)," ")</f>
        <v xml:space="preserve"> </v>
      </c>
      <c r="J42" s="1" t="str">
        <f>_xlfn.IFNA(VLOOKUP(H42,'MCIA Cases'!$A$2:$R$1091,9,FALSE)," ")</f>
        <v xml:space="preserve"> </v>
      </c>
      <c r="K42" s="1" t="str">
        <f>_xlfn.IFNA(VLOOKUP(H42,'MCIA Cases'!$A$2:$R$1091,10,FALSE)," ")</f>
        <v xml:space="preserve"> </v>
      </c>
      <c r="L42" s="1" t="str">
        <f>_xlfn.IFNA(VLOOKUP(H42,'MCIA Cases'!$A$2:$R$1091,3,FALSE)," ")</f>
        <v xml:space="preserve"> </v>
      </c>
      <c r="M42" s="1" t="str">
        <f>IF(COUNTIF('MCIA Corrective Actions'!$A:$A,H42)=0," ",COUNTIF('MCIA Corrective Actions'!$A:$A,H42))</f>
        <v xml:space="preserve"> </v>
      </c>
      <c r="N42" s="1" t="str">
        <f>IF(COUNTIF('MCIA Corrective Actions'!$A:$A,H42)=0," ",COUNTIFS('MCIA Corrective Actions'!$A:$A,H42,'MCIA Corrective Actions'!N:N,"Yes"))</f>
        <v xml:space="preserve"> </v>
      </c>
      <c r="O42" s="1" t="str">
        <f>_xlfn.IFNA(VLOOKUP(H42,'MCIA Corrective Actions'!$A$2:$R$1092,6,FALSE)," ")</f>
        <v xml:space="preserve"> </v>
      </c>
      <c r="P42" s="1"/>
    </row>
    <row r="43" spans="1:16" x14ac:dyDescent="0.25">
      <c r="A43" s="1">
        <v>151</v>
      </c>
      <c r="B43" s="108">
        <f>VLOOKUP($A43,Table1[['#]:[Vessel]],4,FALSE)</f>
        <v>58</v>
      </c>
      <c r="C43" s="107">
        <f>VLOOKUP($A43,Table1[['#]:[Date]],3,FALSE)</f>
        <v>43709</v>
      </c>
      <c r="D43" s="3">
        <f>VLOOKUP($A43,Table1[['#]:[Hours]],7,FALSE)</f>
        <v>315.49</v>
      </c>
      <c r="E43" s="3" t="str">
        <f>VLOOKUP($A43,Table1[['#]:[System]],8,FALSE)&amp;" / "&amp;VLOOKUP($A43,Table1[['#]:[Subsystem]],9,FALSE)</f>
        <v>Main Hoist / Closer</v>
      </c>
      <c r="F43" s="108">
        <f>VLOOKUP($A43,Table1[['#]:[Work Order '#]],10,FALSE)</f>
        <v>4218790</v>
      </c>
      <c r="G43" s="110" t="str">
        <f>VLOOKUP($A43,Table1[['#]:[Delay Log Notes]],11,FALSE)</f>
        <v>Closing sheave damaged</v>
      </c>
      <c r="H43" s="1" t="str">
        <f>_xlfn.IFNA(VLOOKUP(A43,'EDL Data'!$A$2:$M$1245,6,FALSE)," ")</f>
        <v>None</v>
      </c>
      <c r="I43" s="1" t="str">
        <f>_xlfn.IFNA(VLOOKUP(H43,'MCIA Cases'!$A$2:$R$1091,2,FALSE)," ")</f>
        <v xml:space="preserve"> </v>
      </c>
      <c r="J43" s="1" t="str">
        <f>_xlfn.IFNA(VLOOKUP(H43,'MCIA Cases'!$A$2:$R$1091,9,FALSE)," ")</f>
        <v xml:space="preserve"> </v>
      </c>
      <c r="K43" s="1" t="str">
        <f>_xlfn.IFNA(VLOOKUP(H43,'MCIA Cases'!$A$2:$R$1091,10,FALSE)," ")</f>
        <v xml:space="preserve"> </v>
      </c>
      <c r="L43" s="1" t="str">
        <f>_xlfn.IFNA(VLOOKUP(H43,'MCIA Cases'!$A$2:$R$1091,3,FALSE)," ")</f>
        <v xml:space="preserve"> </v>
      </c>
      <c r="M43" s="1" t="str">
        <f>IF(COUNTIF('MCIA Corrective Actions'!$A:$A,H43)=0," ",COUNTIF('MCIA Corrective Actions'!$A:$A,H43))</f>
        <v xml:space="preserve"> </v>
      </c>
      <c r="N43" s="1" t="str">
        <f>IF(COUNTIF('MCIA Corrective Actions'!$A:$A,H43)=0," ",COUNTIFS('MCIA Corrective Actions'!$A:$A,H43,'MCIA Corrective Actions'!N:N,"Yes"))</f>
        <v xml:space="preserve"> </v>
      </c>
      <c r="O43" s="1" t="str">
        <f>_xlfn.IFNA(VLOOKUP(H43,'MCIA Corrective Actions'!$A$2:$R$1092,6,FALSE)," ")</f>
        <v xml:space="preserve"> </v>
      </c>
      <c r="P43" s="1"/>
    </row>
    <row r="44" spans="1:16" x14ac:dyDescent="0.25">
      <c r="A44" s="1">
        <v>152</v>
      </c>
      <c r="B44" s="108" t="str">
        <f>VLOOKUP($A44,Table1[['#]:[Vessel]],4,FALSE)</f>
        <v>Texas</v>
      </c>
      <c r="C44" s="107">
        <f>VLOOKUP($A44,Table1[['#]:[Date]],3,FALSE)</f>
        <v>43718</v>
      </c>
      <c r="D44" s="3">
        <f>VLOOKUP($A44,Table1[['#]:[Hours]],7,FALSE)</f>
        <v>34.090000000000003</v>
      </c>
      <c r="E44" s="3" t="str">
        <f>VLOOKUP($A44,Table1[['#]:[System]],8,FALSE)&amp;" / "&amp;VLOOKUP($A44,Table1[['#]:[Subsystem]],9,FALSE)</f>
        <v>Ladder Pump / Pump rebuild</v>
      </c>
      <c r="F44" s="108">
        <f>VLOOKUP($A44,Table1[['#]:[Work Order '#]],10,FALSE)</f>
        <v>4219360</v>
      </c>
      <c r="G44" s="110" t="str">
        <f>VLOOKUP($A44,Table1[['#]:[Delay Log Notes]],11,FALSE)</f>
        <v>None</v>
      </c>
      <c r="H44" s="1" t="str">
        <f>_xlfn.IFNA(VLOOKUP(A44,'EDL Data'!$A$2:$M$1245,6,FALSE)," ")</f>
        <v>None</v>
      </c>
      <c r="I44" s="1" t="str">
        <f>_xlfn.IFNA(VLOOKUP(H44,'MCIA Cases'!$A$2:$R$1091,2,FALSE)," ")</f>
        <v xml:space="preserve"> </v>
      </c>
      <c r="J44" s="1" t="str">
        <f>_xlfn.IFNA(VLOOKUP(H44,'MCIA Cases'!$A$2:$R$1091,9,FALSE)," ")</f>
        <v xml:space="preserve"> </v>
      </c>
      <c r="K44" s="1" t="str">
        <f>_xlfn.IFNA(VLOOKUP(H44,'MCIA Cases'!$A$2:$R$1091,10,FALSE)," ")</f>
        <v xml:space="preserve"> </v>
      </c>
      <c r="L44" s="1" t="str">
        <f>_xlfn.IFNA(VLOOKUP(H44,'MCIA Cases'!$A$2:$R$1091,3,FALSE)," ")</f>
        <v xml:space="preserve"> </v>
      </c>
      <c r="M44" s="1" t="str">
        <f>IF(COUNTIF('MCIA Corrective Actions'!$A:$A,H44)=0," ",COUNTIF('MCIA Corrective Actions'!$A:$A,H44))</f>
        <v xml:space="preserve"> </v>
      </c>
      <c r="N44" s="1" t="str">
        <f>IF(COUNTIF('MCIA Corrective Actions'!$A:$A,H44)=0," ",COUNTIFS('MCIA Corrective Actions'!$A:$A,H44,'MCIA Corrective Actions'!N:N,"Yes"))</f>
        <v xml:space="preserve"> </v>
      </c>
      <c r="O44" s="1" t="str">
        <f>_xlfn.IFNA(VLOOKUP(H44,'MCIA Corrective Actions'!$A$2:$R$1092,6,FALSE)," ")</f>
        <v xml:space="preserve"> </v>
      </c>
      <c r="P44" s="1"/>
    </row>
    <row r="45" spans="1:16" x14ac:dyDescent="0.25">
      <c r="A45" s="1">
        <v>153</v>
      </c>
      <c r="B45" s="108" t="str">
        <f>VLOOKUP($A45,Table1[['#]:[Vessel]],4,FALSE)</f>
        <v>Carolina</v>
      </c>
      <c r="C45" s="107">
        <f>VLOOKUP($A45,Table1[['#]:[Date]],3,FALSE)</f>
        <v>43721</v>
      </c>
      <c r="D45" s="3">
        <f>VLOOKUP($A45,Table1[['#]:[Hours]],7,FALSE)</f>
        <v>60.51</v>
      </c>
      <c r="E45" s="3" t="str">
        <f>VLOOKUP($A45,Table1[['#]:[System]],8,FALSE)&amp;" / "&amp;VLOOKUP($A45,Table1[['#]:[Subsystem]],9,FALSE)</f>
        <v>Main Pump / Bearings/Shafts</v>
      </c>
      <c r="F45" s="108">
        <f>VLOOKUP($A45,Table1[['#]:[Work Order '#]],10,FALSE)</f>
        <v>4218765</v>
      </c>
      <c r="G45" s="110" t="str">
        <f>VLOOKUP($A45,Table1[['#]:[Delay Log Notes]],11,FALSE)</f>
        <v>Main pump #2 thrust bearing getting hot</v>
      </c>
      <c r="H45" s="1" t="str">
        <f>_xlfn.IFNA(VLOOKUP(A45,'EDL Data'!$A$2:$M$1245,6,FALSE)," ")</f>
        <v>None</v>
      </c>
      <c r="I45" s="1" t="str">
        <f>_xlfn.IFNA(VLOOKUP(H45,'MCIA Cases'!$A$2:$R$1091,2,FALSE)," ")</f>
        <v xml:space="preserve"> </v>
      </c>
      <c r="J45" s="1" t="str">
        <f>_xlfn.IFNA(VLOOKUP(H45,'MCIA Cases'!$A$2:$R$1091,9,FALSE)," ")</f>
        <v xml:space="preserve"> </v>
      </c>
      <c r="K45" s="1" t="str">
        <f>_xlfn.IFNA(VLOOKUP(H45,'MCIA Cases'!$A$2:$R$1091,10,FALSE)," ")</f>
        <v xml:space="preserve"> </v>
      </c>
      <c r="L45" s="1" t="str">
        <f>_xlfn.IFNA(VLOOKUP(H45,'MCIA Cases'!$A$2:$R$1091,3,FALSE)," ")</f>
        <v xml:space="preserve"> </v>
      </c>
      <c r="M45" s="1" t="str">
        <f>IF(COUNTIF('MCIA Corrective Actions'!$A:$A,H45)=0," ",COUNTIF('MCIA Corrective Actions'!$A:$A,H45))</f>
        <v xml:space="preserve"> </v>
      </c>
      <c r="N45" s="1" t="str">
        <f>IF(COUNTIF('MCIA Corrective Actions'!$A:$A,H45)=0," ",COUNTIFS('MCIA Corrective Actions'!$A:$A,H45,'MCIA Corrective Actions'!N:N,"Yes"))</f>
        <v xml:space="preserve"> </v>
      </c>
      <c r="O45" s="1" t="str">
        <f>_xlfn.IFNA(VLOOKUP(H45,'MCIA Corrective Actions'!$A$2:$R$1092,6,FALSE)," ")</f>
        <v xml:space="preserve"> </v>
      </c>
      <c r="P45" s="1"/>
    </row>
    <row r="46" spans="1:16" x14ac:dyDescent="0.25">
      <c r="A46" s="1">
        <v>154</v>
      </c>
      <c r="B46" s="108" t="str">
        <f>VLOOKUP($A46,Table1[['#]:[Vessel]],4,FALSE)</f>
        <v>Texas</v>
      </c>
      <c r="C46" s="107">
        <f>VLOOKUP($A46,Table1[['#]:[Date]],3,FALSE)</f>
        <v>43721</v>
      </c>
      <c r="D46" s="3">
        <f>VLOOKUP($A46,Table1[['#]:[Hours]],7,FALSE)</f>
        <v>498.2</v>
      </c>
      <c r="E46" s="3" t="str">
        <f>VLOOKUP($A46,Table1[['#]:[System]],8,FALSE)&amp;" / "&amp;VLOOKUP($A46,Table1[['#]:[Subsystem]],9,FALSE)</f>
        <v>Spuds / Xmas Tree / Walking Spud</v>
      </c>
      <c r="F46" s="108">
        <f>VLOOKUP($A46,Table1[['#]:[Work Order '#]],10,FALSE)</f>
        <v>4219453</v>
      </c>
      <c r="G46" s="110" t="str">
        <f>VLOOKUP($A46,Table1[['#]:[Delay Log Notes]],11,FALSE)</f>
        <v>None</v>
      </c>
      <c r="H46" s="1" t="str">
        <f>_xlfn.IFNA(VLOOKUP(A46,'EDL Data'!$A$2:$M$1245,6,FALSE)," ")</f>
        <v>None</v>
      </c>
      <c r="I46" s="1" t="str">
        <f>_xlfn.IFNA(VLOOKUP(H46,'MCIA Cases'!$A$2:$R$1091,2,FALSE)," ")</f>
        <v xml:space="preserve"> </v>
      </c>
      <c r="J46" s="1" t="str">
        <f>_xlfn.IFNA(VLOOKUP(H46,'MCIA Cases'!$A$2:$R$1091,9,FALSE)," ")</f>
        <v xml:space="preserve"> </v>
      </c>
      <c r="K46" s="1" t="str">
        <f>_xlfn.IFNA(VLOOKUP(H46,'MCIA Cases'!$A$2:$R$1091,10,FALSE)," ")</f>
        <v xml:space="preserve"> </v>
      </c>
      <c r="L46" s="1" t="str">
        <f>_xlfn.IFNA(VLOOKUP(H46,'MCIA Cases'!$A$2:$R$1091,3,FALSE)," ")</f>
        <v xml:space="preserve"> </v>
      </c>
      <c r="M46" s="1" t="str">
        <f>IF(COUNTIF('MCIA Corrective Actions'!$A:$A,H46)=0," ",COUNTIF('MCIA Corrective Actions'!$A:$A,H46))</f>
        <v xml:space="preserve"> </v>
      </c>
      <c r="N46" s="1" t="str">
        <f>IF(COUNTIF('MCIA Corrective Actions'!$A:$A,H46)=0," ",COUNTIFS('MCIA Corrective Actions'!$A:$A,H46,'MCIA Corrective Actions'!N:N,"Yes"))</f>
        <v xml:space="preserve"> </v>
      </c>
      <c r="O46" s="1" t="str">
        <f>_xlfn.IFNA(VLOOKUP(H46,'MCIA Corrective Actions'!$A$2:$R$1092,6,FALSE)," ")</f>
        <v xml:space="preserve"> </v>
      </c>
      <c r="P46" s="1"/>
    </row>
    <row r="47" spans="1:16" x14ac:dyDescent="0.25">
      <c r="A47" s="1">
        <v>155</v>
      </c>
      <c r="B47" s="108">
        <f>VLOOKUP($A47,Table1[['#]:[Vessel]],4,FALSE)</f>
        <v>55</v>
      </c>
      <c r="C47" s="107">
        <f>VLOOKUP($A47,Table1[['#]:[Date]],3,FALSE)</f>
        <v>43737</v>
      </c>
      <c r="D47" s="3">
        <f>VLOOKUP($A47,Table1[['#]:[Hours]],7,FALSE)</f>
        <v>90.25</v>
      </c>
      <c r="E47" s="3" t="str">
        <f>VLOOKUP($A47,Table1[['#]:[System]],8,FALSE)&amp;" / "&amp;VLOOKUP($A47,Table1[['#]:[Subsystem]],9,FALSE)</f>
        <v>Spud System / Spud Winch</v>
      </c>
      <c r="F47" s="108">
        <f>VLOOKUP($A47,Table1[['#]:[Work Order '#]],10,FALSE)</f>
        <v>4219808</v>
      </c>
      <c r="G47" s="110" t="str">
        <f>VLOOKUP($A47,Table1[['#]:[Delay Log Notes]],11,FALSE)</f>
        <v>None</v>
      </c>
      <c r="H47" s="1" t="str">
        <f>_xlfn.IFNA(VLOOKUP(A47,'EDL Data'!$A$2:$M$1245,6,FALSE)," ")</f>
        <v>None</v>
      </c>
      <c r="I47" s="1" t="str">
        <f>_xlfn.IFNA(VLOOKUP(H47,'MCIA Cases'!$A$2:$R$1091,2,FALSE)," ")</f>
        <v xml:space="preserve"> </v>
      </c>
      <c r="J47" s="1" t="str">
        <f>_xlfn.IFNA(VLOOKUP(H47,'MCIA Cases'!$A$2:$R$1091,9,FALSE)," ")</f>
        <v xml:space="preserve"> </v>
      </c>
      <c r="K47" s="1" t="str">
        <f>_xlfn.IFNA(VLOOKUP(H47,'MCIA Cases'!$A$2:$R$1091,10,FALSE)," ")</f>
        <v xml:space="preserve"> </v>
      </c>
      <c r="L47" s="1" t="str">
        <f>_xlfn.IFNA(VLOOKUP(H47,'MCIA Cases'!$A$2:$R$1091,3,FALSE)," ")</f>
        <v xml:space="preserve"> </v>
      </c>
      <c r="M47" s="1" t="str">
        <f>IF(COUNTIF('MCIA Corrective Actions'!$A:$A,H47)=0," ",COUNTIF('MCIA Corrective Actions'!$A:$A,H47))</f>
        <v xml:space="preserve"> </v>
      </c>
      <c r="N47" s="1" t="str">
        <f>IF(COUNTIF('MCIA Corrective Actions'!$A:$A,H47)=0," ",COUNTIFS('MCIA Corrective Actions'!$A:$A,H47,'MCIA Corrective Actions'!N:N,"Yes"))</f>
        <v xml:space="preserve"> </v>
      </c>
      <c r="O47" s="1" t="str">
        <f>_xlfn.IFNA(VLOOKUP(H47,'MCIA Corrective Actions'!$A$2:$R$1092,6,FALSE)," ")</f>
        <v xml:space="preserve"> </v>
      </c>
      <c r="P47" s="1"/>
    </row>
    <row r="48" spans="1:16" ht="45" x14ac:dyDescent="0.25">
      <c r="A48" s="1">
        <v>156</v>
      </c>
      <c r="B48" s="108">
        <f>VLOOKUP($A48,Table1[['#]:[Vessel]],4,FALSE)</f>
        <v>58</v>
      </c>
      <c r="C48" s="107">
        <f>VLOOKUP($A48,Table1[['#]:[Date]],3,FALSE)</f>
        <v>43737</v>
      </c>
      <c r="D48" s="3">
        <f>VLOOKUP($A48,Table1[['#]:[Hours]],7,FALSE)</f>
        <v>70.25</v>
      </c>
      <c r="E48" s="3" t="str">
        <f>VLOOKUP($A48,Table1[['#]:[System]],8,FALSE)&amp;" / "&amp;VLOOKUP($A48,Table1[['#]:[Subsystem]],9,FALSE)</f>
        <v>Electrical/Electronics / MCC/Switch Gear</v>
      </c>
      <c r="F48" s="108">
        <f>VLOOKUP($A48,Table1[['#]:[Work Order '#]],10,FALSE)</f>
        <v>4219814</v>
      </c>
      <c r="G48" s="110" t="str">
        <f>VLOOKUP($A48,Table1[['#]:[Delay Log Notes]],11,FALSE)</f>
        <v>Swing Tripped out. Blower motor for A/C to drive room burnt out; further inspection shows burn up electrical components in swing drive cabinet.</v>
      </c>
      <c r="H48" s="1" t="str">
        <f>_xlfn.IFNA(VLOOKUP(A48,'EDL Data'!$A$2:$M$1245,6,FALSE)," ")</f>
        <v>None</v>
      </c>
      <c r="I48" s="1" t="str">
        <f>_xlfn.IFNA(VLOOKUP(H48,'MCIA Cases'!$A$2:$R$1091,2,FALSE)," ")</f>
        <v xml:space="preserve"> </v>
      </c>
      <c r="J48" s="1" t="str">
        <f>_xlfn.IFNA(VLOOKUP(H48,'MCIA Cases'!$A$2:$R$1091,9,FALSE)," ")</f>
        <v xml:space="preserve"> </v>
      </c>
      <c r="K48" s="1" t="str">
        <f>_xlfn.IFNA(VLOOKUP(H48,'MCIA Cases'!$A$2:$R$1091,10,FALSE)," ")</f>
        <v xml:space="preserve"> </v>
      </c>
      <c r="L48" s="1" t="str">
        <f>_xlfn.IFNA(VLOOKUP(H48,'MCIA Cases'!$A$2:$R$1091,3,FALSE)," ")</f>
        <v xml:space="preserve"> </v>
      </c>
      <c r="M48" s="1" t="str">
        <f>IF(COUNTIF('MCIA Corrective Actions'!$A:$A,H48)=0," ",COUNTIF('MCIA Corrective Actions'!$A:$A,H48))</f>
        <v xml:space="preserve"> </v>
      </c>
      <c r="N48" s="1" t="str">
        <f>IF(COUNTIF('MCIA Corrective Actions'!$A:$A,H48)=0," ",COUNTIFS('MCIA Corrective Actions'!$A:$A,H48,'MCIA Corrective Actions'!N:N,"Yes"))</f>
        <v xml:space="preserve"> </v>
      </c>
      <c r="O48" s="1" t="str">
        <f>_xlfn.IFNA(VLOOKUP(H48,'MCIA Corrective Actions'!$A$2:$R$1092,6,FALSE)," ")</f>
        <v xml:space="preserve"> </v>
      </c>
      <c r="P48" s="1"/>
    </row>
    <row r="49" spans="1:16" x14ac:dyDescent="0.25">
      <c r="A49" s="1">
        <v>157</v>
      </c>
      <c r="B49" s="108">
        <f>VLOOKUP($A49,Table1[['#]:[Vessel]],4,FALSE)</f>
        <v>53</v>
      </c>
      <c r="C49" s="107">
        <f>VLOOKUP($A49,Table1[['#]:[Date]],3,FALSE)</f>
        <v>43738</v>
      </c>
      <c r="D49" s="3">
        <f>VLOOKUP($A49,Table1[['#]:[Hours]],7,FALSE)</f>
        <v>33.590000000000003</v>
      </c>
      <c r="E49" s="3" t="str">
        <f>VLOOKUP($A49,Table1[['#]:[System]],8,FALSE)&amp;" / "&amp;VLOOKUP($A49,Table1[['#]:[Subsystem]],9,FALSE)</f>
        <v>Crane Swing / Drive (motor, gear box)</v>
      </c>
      <c r="F49" s="108">
        <f>VLOOKUP($A49,Table1[['#]:[Work Order '#]],10,FALSE)</f>
        <v>1193566</v>
      </c>
      <c r="G49" s="110" t="str">
        <f>VLOOKUP($A49,Table1[['#]:[Delay Log Notes]],11,FALSE)</f>
        <v>Swing tripped</v>
      </c>
      <c r="H49" s="1" t="str">
        <f>_xlfn.IFNA(VLOOKUP(A49,'EDL Data'!$A$2:$M$1245,6,FALSE)," ")</f>
        <v>None</v>
      </c>
      <c r="I49" s="1" t="str">
        <f>_xlfn.IFNA(VLOOKUP(H49,'MCIA Cases'!$A$2:$R$1091,2,FALSE)," ")</f>
        <v xml:space="preserve"> </v>
      </c>
      <c r="J49" s="1" t="str">
        <f>_xlfn.IFNA(VLOOKUP(H49,'MCIA Cases'!$A$2:$R$1091,9,FALSE)," ")</f>
        <v xml:space="preserve"> </v>
      </c>
      <c r="K49" s="1" t="str">
        <f>_xlfn.IFNA(VLOOKUP(H49,'MCIA Cases'!$A$2:$R$1091,10,FALSE)," ")</f>
        <v xml:space="preserve"> </v>
      </c>
      <c r="L49" s="1" t="str">
        <f>_xlfn.IFNA(VLOOKUP(H49,'MCIA Cases'!$A$2:$R$1091,3,FALSE)," ")</f>
        <v xml:space="preserve"> </v>
      </c>
      <c r="M49" s="1" t="str">
        <f>IF(COUNTIF('MCIA Corrective Actions'!$A:$A,H49)=0," ",COUNTIF('MCIA Corrective Actions'!$A:$A,H49))</f>
        <v xml:space="preserve"> </v>
      </c>
      <c r="N49" s="1" t="str">
        <f>IF(COUNTIF('MCIA Corrective Actions'!$A:$A,H49)=0," ",COUNTIFS('MCIA Corrective Actions'!$A:$A,H49,'MCIA Corrective Actions'!N:N,"Yes"))</f>
        <v xml:space="preserve"> </v>
      </c>
      <c r="O49" s="1" t="str">
        <f>_xlfn.IFNA(VLOOKUP(H49,'MCIA Corrective Actions'!$A$2:$R$1092,6,FALSE)," ")</f>
        <v xml:space="preserve"> </v>
      </c>
      <c r="P49" s="1"/>
    </row>
    <row r="50" spans="1:16" x14ac:dyDescent="0.25">
      <c r="A50" s="1">
        <v>158</v>
      </c>
      <c r="B50" s="108" t="str">
        <f>VLOOKUP($A50,Table1[['#]:[Vessel]],4,FALSE)</f>
        <v>Ellis Island</v>
      </c>
      <c r="C50" s="107">
        <f>VLOOKUP($A50,Table1[['#]:[Date]],3,FALSE)</f>
        <v>43741</v>
      </c>
      <c r="D50" s="3">
        <f>VLOOKUP($A50,Table1[['#]:[Hours]],7,FALSE)</f>
        <v>273.39</v>
      </c>
      <c r="E50" s="3" t="str">
        <f>VLOOKUP($A50,Table1[['#]:[System]],8,FALSE)&amp;" / "&amp;VLOOKUP($A50,Table1[['#]:[Subsystem]],9,FALSE)</f>
        <v>Other / Other Mechanical (repairs)</v>
      </c>
      <c r="F50" s="108" t="str">
        <f>VLOOKUP($A50,Table1[['#]:[Work Order '#]],10,FALSE)</f>
        <v>N/A</v>
      </c>
      <c r="G50" s="110" t="str">
        <f>VLOOKUP($A50,Table1[['#]:[Delay Log Notes]],11,FALSE)</f>
        <v>Servicing articouple pads at dock</v>
      </c>
      <c r="H50" s="1" t="str">
        <f>_xlfn.IFNA(VLOOKUP(A50,'EDL Data'!$A$2:$M$1245,6,FALSE)," ")</f>
        <v>None</v>
      </c>
      <c r="I50" s="1" t="str">
        <f>_xlfn.IFNA(VLOOKUP(H50,'MCIA Cases'!$A$2:$R$1091,2,FALSE)," ")</f>
        <v xml:space="preserve"> </v>
      </c>
      <c r="J50" s="1" t="str">
        <f>_xlfn.IFNA(VLOOKUP(H50,'MCIA Cases'!$A$2:$R$1091,9,FALSE)," ")</f>
        <v xml:space="preserve"> </v>
      </c>
      <c r="K50" s="1" t="str">
        <f>_xlfn.IFNA(VLOOKUP(H50,'MCIA Cases'!$A$2:$R$1091,10,FALSE)," ")</f>
        <v xml:space="preserve"> </v>
      </c>
      <c r="L50" s="1" t="str">
        <f>_xlfn.IFNA(VLOOKUP(H50,'MCIA Cases'!$A$2:$R$1091,3,FALSE)," ")</f>
        <v xml:space="preserve"> </v>
      </c>
      <c r="M50" s="1" t="str">
        <f>IF(COUNTIF('MCIA Corrective Actions'!$A:$A,H50)=0," ",COUNTIF('MCIA Corrective Actions'!$A:$A,H50))</f>
        <v xml:space="preserve"> </v>
      </c>
      <c r="N50" s="1" t="str">
        <f>IF(COUNTIF('MCIA Corrective Actions'!$A:$A,H50)=0," ",COUNTIFS('MCIA Corrective Actions'!$A:$A,H50,'MCIA Corrective Actions'!N:N,"Yes"))</f>
        <v xml:space="preserve"> </v>
      </c>
      <c r="O50" s="1" t="str">
        <f>_xlfn.IFNA(VLOOKUP(H50,'MCIA Corrective Actions'!$A$2:$R$1092,6,FALSE)," ")</f>
        <v xml:space="preserve"> </v>
      </c>
      <c r="P50" s="1"/>
    </row>
    <row r="51" spans="1:16" x14ac:dyDescent="0.25">
      <c r="A51" s="1">
        <v>159</v>
      </c>
      <c r="B51" s="108" t="str">
        <f>VLOOKUP($A51,Table1[['#]:[Vessel]],4,FALSE)</f>
        <v>Carolina</v>
      </c>
      <c r="C51" s="107">
        <f>VLOOKUP($A51,Table1[['#]:[Date]],3,FALSE)</f>
        <v>43747</v>
      </c>
      <c r="D51" s="3">
        <f>VLOOKUP($A51,Table1[['#]:[Hours]],7,FALSE)</f>
        <v>201.88</v>
      </c>
      <c r="E51" s="3" t="str">
        <f>VLOOKUP($A51,Table1[['#]:[System]],8,FALSE)&amp;" / "&amp;VLOOKUP($A51,Table1[['#]:[Subsystem]],9,FALSE)</f>
        <v>Generators / Main Generator (Eng Rm)</v>
      </c>
      <c r="F51" s="108">
        <f>VLOOKUP($A51,Table1[['#]:[Work Order '#]],10,FALSE)</f>
        <v>4219654</v>
      </c>
      <c r="G51" s="110" t="str">
        <f>VLOOKUP($A51,Table1[['#]:[Delay Log Notes]],11,FALSE)</f>
        <v>None</v>
      </c>
      <c r="H51" s="1" t="str">
        <f>_xlfn.IFNA(VLOOKUP(A51,'EDL Data'!$A$2:$M$1245,6,FALSE)," ")</f>
        <v>None</v>
      </c>
      <c r="I51" s="1" t="str">
        <f>_xlfn.IFNA(VLOOKUP(H51,'MCIA Cases'!$A$2:$R$1091,2,FALSE)," ")</f>
        <v xml:space="preserve"> </v>
      </c>
      <c r="J51" s="1" t="str">
        <f>_xlfn.IFNA(VLOOKUP(H51,'MCIA Cases'!$A$2:$R$1091,9,FALSE)," ")</f>
        <v xml:space="preserve"> </v>
      </c>
      <c r="K51" s="1" t="str">
        <f>_xlfn.IFNA(VLOOKUP(H51,'MCIA Cases'!$A$2:$R$1091,10,FALSE)," ")</f>
        <v xml:space="preserve"> </v>
      </c>
      <c r="L51" s="1" t="str">
        <f>_xlfn.IFNA(VLOOKUP(H51,'MCIA Cases'!$A$2:$R$1091,3,FALSE)," ")</f>
        <v xml:space="preserve"> </v>
      </c>
      <c r="M51" s="1" t="str">
        <f>IF(COUNTIF('MCIA Corrective Actions'!$A:$A,H51)=0," ",COUNTIF('MCIA Corrective Actions'!$A:$A,H51))</f>
        <v xml:space="preserve"> </v>
      </c>
      <c r="N51" s="1" t="str">
        <f>IF(COUNTIF('MCIA Corrective Actions'!$A:$A,H51)=0," ",COUNTIFS('MCIA Corrective Actions'!$A:$A,H51,'MCIA Corrective Actions'!N:N,"Yes"))</f>
        <v xml:space="preserve"> </v>
      </c>
      <c r="O51" s="1" t="str">
        <f>_xlfn.IFNA(VLOOKUP(H51,'MCIA Corrective Actions'!$A$2:$R$1092,6,FALSE)," ")</f>
        <v xml:space="preserve"> </v>
      </c>
      <c r="P51" s="1"/>
    </row>
    <row r="52" spans="1:16" x14ac:dyDescent="0.25">
      <c r="A52" s="1">
        <v>160</v>
      </c>
      <c r="B52" s="108">
        <f>VLOOKUP($A52,Table1[['#]:[Vessel]],4,FALSE)</f>
        <v>53</v>
      </c>
      <c r="C52" s="107">
        <f>VLOOKUP($A52,Table1[['#]:[Date]],3,FALSE)</f>
        <v>43749</v>
      </c>
      <c r="D52" s="3">
        <f>VLOOKUP($A52,Table1[['#]:[Hours]],7,FALSE)</f>
        <v>59.72</v>
      </c>
      <c r="E52" s="3" t="str">
        <f>VLOOKUP($A52,Table1[['#]:[System]],8,FALSE)&amp;" / "&amp;VLOOKUP($A52,Table1[['#]:[Subsystem]],9,FALSE)</f>
        <v>Spud System / Walking Mechanism</v>
      </c>
      <c r="F52" s="108">
        <f>VLOOKUP($A52,Table1[['#]:[Work Order '#]],10,FALSE)</f>
        <v>1193606</v>
      </c>
      <c r="G52" s="110" t="str">
        <f>VLOOKUP($A52,Table1[['#]:[Delay Log Notes]],11,FALSE)</f>
        <v>None</v>
      </c>
      <c r="H52" s="1" t="str">
        <f>_xlfn.IFNA(VLOOKUP(A52,'EDL Data'!$A$2:$M$1245,6,FALSE)," ")</f>
        <v>None</v>
      </c>
      <c r="I52" s="1" t="str">
        <f>_xlfn.IFNA(VLOOKUP(H52,'MCIA Cases'!$A$2:$R$1091,2,FALSE)," ")</f>
        <v xml:space="preserve"> </v>
      </c>
      <c r="J52" s="1" t="str">
        <f>_xlfn.IFNA(VLOOKUP(H52,'MCIA Cases'!$A$2:$R$1091,9,FALSE)," ")</f>
        <v xml:space="preserve"> </v>
      </c>
      <c r="K52" s="1" t="str">
        <f>_xlfn.IFNA(VLOOKUP(H52,'MCIA Cases'!$A$2:$R$1091,10,FALSE)," ")</f>
        <v xml:space="preserve"> </v>
      </c>
      <c r="L52" s="1" t="str">
        <f>_xlfn.IFNA(VLOOKUP(H52,'MCIA Cases'!$A$2:$R$1091,3,FALSE)," ")</f>
        <v xml:space="preserve"> </v>
      </c>
      <c r="M52" s="1" t="str">
        <f>IF(COUNTIF('MCIA Corrective Actions'!$A:$A,H52)=0," ",COUNTIF('MCIA Corrective Actions'!$A:$A,H52))</f>
        <v xml:space="preserve"> </v>
      </c>
      <c r="N52" s="1" t="str">
        <f>IF(COUNTIF('MCIA Corrective Actions'!$A:$A,H52)=0," ",COUNTIFS('MCIA Corrective Actions'!$A:$A,H52,'MCIA Corrective Actions'!N:N,"Yes"))</f>
        <v xml:space="preserve"> </v>
      </c>
      <c r="O52" s="1" t="str">
        <f>_xlfn.IFNA(VLOOKUP(H52,'MCIA Corrective Actions'!$A$2:$R$1092,6,FALSE)," ")</f>
        <v xml:space="preserve"> </v>
      </c>
      <c r="P52" s="1"/>
    </row>
    <row r="53" spans="1:16" x14ac:dyDescent="0.25">
      <c r="A53" s="1">
        <v>161</v>
      </c>
      <c r="B53" s="108">
        <f>VLOOKUP($A53,Table1[['#]:[Vessel]],4,FALSE)</f>
        <v>53</v>
      </c>
      <c r="C53" s="107">
        <f>VLOOKUP($A53,Table1[['#]:[Date]],3,FALSE)</f>
        <v>43757</v>
      </c>
      <c r="D53" s="3">
        <f>VLOOKUP($A53,Table1[['#]:[Hours]],7,FALSE)</f>
        <v>51.7</v>
      </c>
      <c r="E53" s="3" t="str">
        <f>VLOOKUP($A53,Table1[['#]:[System]],8,FALSE)&amp;" / "&amp;VLOOKUP($A53,Table1[['#]:[Subsystem]],9,FALSE)</f>
        <v>Crane Boom / Boom Winch</v>
      </c>
      <c r="F53" s="108" t="str">
        <f>VLOOKUP($A53,Table1[['#]:[Work Order '#]],10,FALSE)</f>
        <v>4795201             1730274</v>
      </c>
      <c r="G53" s="110" t="str">
        <f>VLOOKUP($A53,Table1[['#]:[Delay Log Notes]],11,FALSE)</f>
        <v>Boom issue; won’t boom down</v>
      </c>
      <c r="H53" s="1" t="str">
        <f>_xlfn.IFNA(VLOOKUP(A53,'EDL Data'!$A$2:$M$1245,6,FALSE)," ")</f>
        <v>None</v>
      </c>
      <c r="I53" s="1" t="str">
        <f>_xlfn.IFNA(VLOOKUP(H53,'MCIA Cases'!$A$2:$R$1091,2,FALSE)," ")</f>
        <v xml:space="preserve"> </v>
      </c>
      <c r="J53" s="1" t="str">
        <f>_xlfn.IFNA(VLOOKUP(H53,'MCIA Cases'!$A$2:$R$1091,9,FALSE)," ")</f>
        <v xml:space="preserve"> </v>
      </c>
      <c r="K53" s="1" t="str">
        <f>_xlfn.IFNA(VLOOKUP(H53,'MCIA Cases'!$A$2:$R$1091,10,FALSE)," ")</f>
        <v xml:space="preserve"> </v>
      </c>
      <c r="L53" s="1" t="str">
        <f>_xlfn.IFNA(VLOOKUP(H53,'MCIA Cases'!$A$2:$R$1091,3,FALSE)," ")</f>
        <v xml:space="preserve"> </v>
      </c>
      <c r="M53" s="1" t="str">
        <f>IF(COUNTIF('MCIA Corrective Actions'!$A:$A,H53)=0," ",COUNTIF('MCIA Corrective Actions'!$A:$A,H53))</f>
        <v xml:space="preserve"> </v>
      </c>
      <c r="N53" s="1" t="str">
        <f>IF(COUNTIF('MCIA Corrective Actions'!$A:$A,H53)=0," ",COUNTIFS('MCIA Corrective Actions'!$A:$A,H53,'MCIA Corrective Actions'!N:N,"Yes"))</f>
        <v xml:space="preserve"> </v>
      </c>
      <c r="O53" s="1" t="str">
        <f>_xlfn.IFNA(VLOOKUP(H53,'MCIA Corrective Actions'!$A$2:$R$1092,6,FALSE)," ")</f>
        <v xml:space="preserve"> </v>
      </c>
      <c r="P53" s="1"/>
    </row>
    <row r="54" spans="1:16" x14ac:dyDescent="0.25">
      <c r="A54" s="1">
        <v>162</v>
      </c>
      <c r="B54" s="108" t="str">
        <f>VLOOKUP($A54,Table1[['#]:[Vessel]],4,FALSE)</f>
        <v>Sugar Island</v>
      </c>
      <c r="C54" s="107">
        <f>VLOOKUP($A54,Table1[['#]:[Date]],3,FALSE)</f>
        <v>43758</v>
      </c>
      <c r="D54" s="3">
        <f>VLOOKUP($A54,Table1[['#]:[Hours]],7,FALSE)</f>
        <v>50.24</v>
      </c>
      <c r="E54" s="3" t="str">
        <f>VLOOKUP($A54,Table1[['#]:[System]],8,FALSE)&amp;" / "&amp;VLOOKUP($A54,Table1[['#]:[Subsystem]],9,FALSE)</f>
        <v>Jet Pump Eng / Deck Gen. / Heat Exchanger</v>
      </c>
      <c r="F54" s="108" t="str">
        <f>VLOOKUP($A54,Table1[['#]:[Work Order '#]],10,FALSE)</f>
        <v>None</v>
      </c>
      <c r="G54" s="110" t="str">
        <f>VLOOKUP($A54,Table1[['#]:[Delay Log Notes]],11,FALSE)</f>
        <v>None</v>
      </c>
      <c r="H54" s="1" t="str">
        <f>_xlfn.IFNA(VLOOKUP(A54,'EDL Data'!$A$2:$M$1245,6,FALSE)," ")</f>
        <v>None</v>
      </c>
      <c r="I54" s="1" t="str">
        <f>_xlfn.IFNA(VLOOKUP(H54,'MCIA Cases'!$A$2:$R$1091,2,FALSE)," ")</f>
        <v xml:space="preserve"> </v>
      </c>
      <c r="J54" s="1" t="str">
        <f>_xlfn.IFNA(VLOOKUP(H54,'MCIA Cases'!$A$2:$R$1091,9,FALSE)," ")</f>
        <v xml:space="preserve"> </v>
      </c>
      <c r="K54" s="1" t="str">
        <f>_xlfn.IFNA(VLOOKUP(H54,'MCIA Cases'!$A$2:$R$1091,10,FALSE)," ")</f>
        <v xml:space="preserve"> </v>
      </c>
      <c r="L54" s="1" t="str">
        <f>_xlfn.IFNA(VLOOKUP(H54,'MCIA Cases'!$A$2:$R$1091,3,FALSE)," ")</f>
        <v xml:space="preserve"> </v>
      </c>
      <c r="M54" s="1" t="str">
        <f>IF(COUNTIF('MCIA Corrective Actions'!$A:$A,H54)=0," ",COUNTIF('MCIA Corrective Actions'!$A:$A,H54))</f>
        <v xml:space="preserve"> </v>
      </c>
      <c r="N54" s="1" t="str">
        <f>IF(COUNTIF('MCIA Corrective Actions'!$A:$A,H54)=0," ",COUNTIFS('MCIA Corrective Actions'!$A:$A,H54,'MCIA Corrective Actions'!N:N,"Yes"))</f>
        <v xml:space="preserve"> </v>
      </c>
      <c r="O54" s="1" t="str">
        <f>_xlfn.IFNA(VLOOKUP(H54,'MCIA Corrective Actions'!$A$2:$R$1092,6,FALSE)," ")</f>
        <v xml:space="preserve"> </v>
      </c>
      <c r="P54" s="1"/>
    </row>
    <row r="55" spans="1:16" x14ac:dyDescent="0.25">
      <c r="A55" s="1">
        <v>163</v>
      </c>
      <c r="B55" s="108" t="str">
        <f>VLOOKUP($A55,Table1[['#]:[Vessel]],4,FALSE)</f>
        <v>Illinois</v>
      </c>
      <c r="C55" s="107">
        <f>VLOOKUP($A55,Table1[['#]:[Date]],3,FALSE)</f>
        <v>43761</v>
      </c>
      <c r="D55" s="3">
        <f>VLOOKUP($A55,Table1[['#]:[Hours]],7,FALSE)</f>
        <v>33.49</v>
      </c>
      <c r="E55" s="3" t="str">
        <f>VLOOKUP($A55,Table1[['#]:[System]],8,FALSE)&amp;" / "&amp;VLOOKUP($A55,Table1[['#]:[Subsystem]],9,FALSE)</f>
        <v>Main Pump / Engine/Motor</v>
      </c>
      <c r="F55" s="108">
        <f>VLOOKUP($A55,Table1[['#]:[Work Order '#]],10,FALSE)</f>
        <v>1730667</v>
      </c>
      <c r="G55" s="110" t="str">
        <f>VLOOKUP($A55,Table1[['#]:[Delay Log Notes]],11,FALSE)</f>
        <v>None</v>
      </c>
      <c r="H55" s="1" t="str">
        <f>_xlfn.IFNA(VLOOKUP(A55,'EDL Data'!$A$2:$M$1245,6,FALSE)," ")</f>
        <v>None</v>
      </c>
      <c r="I55" s="1" t="str">
        <f>_xlfn.IFNA(VLOOKUP(H55,'MCIA Cases'!$A$2:$R$1091,2,FALSE)," ")</f>
        <v xml:space="preserve"> </v>
      </c>
      <c r="J55" s="1" t="str">
        <f>_xlfn.IFNA(VLOOKUP(H55,'MCIA Cases'!$A$2:$R$1091,9,FALSE)," ")</f>
        <v xml:space="preserve"> </v>
      </c>
      <c r="K55" s="1" t="str">
        <f>_xlfn.IFNA(VLOOKUP(H55,'MCIA Cases'!$A$2:$R$1091,10,FALSE)," ")</f>
        <v xml:space="preserve"> </v>
      </c>
      <c r="L55" s="1" t="str">
        <f>_xlfn.IFNA(VLOOKUP(H55,'MCIA Cases'!$A$2:$R$1091,3,FALSE)," ")</f>
        <v xml:space="preserve"> </v>
      </c>
      <c r="M55" s="1" t="str">
        <f>IF(COUNTIF('MCIA Corrective Actions'!$A:$A,H55)=0," ",COUNTIF('MCIA Corrective Actions'!$A:$A,H55))</f>
        <v xml:space="preserve"> </v>
      </c>
      <c r="N55" s="1" t="str">
        <f>IF(COUNTIF('MCIA Corrective Actions'!$A:$A,H55)=0," ",COUNTIFS('MCIA Corrective Actions'!$A:$A,H55,'MCIA Corrective Actions'!N:N,"Yes"))</f>
        <v xml:space="preserve"> </v>
      </c>
      <c r="O55" s="1" t="str">
        <f>_xlfn.IFNA(VLOOKUP(H55,'MCIA Corrective Actions'!$A$2:$R$1092,6,FALSE)," ")</f>
        <v xml:space="preserve"> </v>
      </c>
      <c r="P55" s="1"/>
    </row>
    <row r="56" spans="1:16" ht="45" x14ac:dyDescent="0.25">
      <c r="A56" s="1">
        <v>164</v>
      </c>
      <c r="B56" s="108" t="str">
        <f>VLOOKUP($A56,Table1[['#]:[Vessel]],4,FALSE)</f>
        <v>Terrapin Island</v>
      </c>
      <c r="C56" s="107">
        <f>VLOOKUP($A56,Table1[['#]:[Date]],3,FALSE)</f>
        <v>43762</v>
      </c>
      <c r="D56" s="3">
        <f>VLOOKUP($A56,Table1[['#]:[Hours]],7,FALSE)</f>
        <v>29.1</v>
      </c>
      <c r="E56" s="3" t="str">
        <f>VLOOKUP($A56,Table1[['#]:[System]],8,FALSE)&amp;" / "&amp;VLOOKUP($A56,Table1[['#]:[Subsystem]],9,FALSE)</f>
        <v>Main Engine / Propulsion / Other</v>
      </c>
      <c r="F56" s="108">
        <f>VLOOKUP($A56,Table1[['#]:[Work Order '#]],10,FALSE)</f>
        <v>4182054</v>
      </c>
      <c r="G56" s="110" t="str">
        <f>VLOOKUP($A56,Table1[['#]:[Delay Log Notes]],11,FALSE)</f>
        <v>Engineers working on STBD Main Engine.     Update: anchored in Alpha Anchorage to let engineersdo repairs on STBD cam shaft</v>
      </c>
      <c r="H56" s="1" t="str">
        <f>_xlfn.IFNA(VLOOKUP(A56,'EDL Data'!$A$2:$M$1245,6,FALSE)," ")</f>
        <v>None</v>
      </c>
      <c r="I56" s="1" t="str">
        <f>_xlfn.IFNA(VLOOKUP(H56,'MCIA Cases'!$A$2:$R$1091,2,FALSE)," ")</f>
        <v xml:space="preserve"> </v>
      </c>
      <c r="J56" s="1" t="str">
        <f>_xlfn.IFNA(VLOOKUP(H56,'MCIA Cases'!$A$2:$R$1091,9,FALSE)," ")</f>
        <v xml:space="preserve"> </v>
      </c>
      <c r="K56" s="1" t="str">
        <f>_xlfn.IFNA(VLOOKUP(H56,'MCIA Cases'!$A$2:$R$1091,10,FALSE)," ")</f>
        <v xml:space="preserve"> </v>
      </c>
      <c r="L56" s="1" t="str">
        <f>_xlfn.IFNA(VLOOKUP(H56,'MCIA Cases'!$A$2:$R$1091,3,FALSE)," ")</f>
        <v xml:space="preserve"> </v>
      </c>
      <c r="M56" s="1" t="str">
        <f>IF(COUNTIF('MCIA Corrective Actions'!$A:$A,H56)=0," ",COUNTIF('MCIA Corrective Actions'!$A:$A,H56))</f>
        <v xml:space="preserve"> </v>
      </c>
      <c r="N56" s="1" t="str">
        <f>IF(COUNTIF('MCIA Corrective Actions'!$A:$A,H56)=0," ",COUNTIFS('MCIA Corrective Actions'!$A:$A,H56,'MCIA Corrective Actions'!N:N,"Yes"))</f>
        <v xml:space="preserve"> </v>
      </c>
      <c r="O56" s="1" t="str">
        <f>_xlfn.IFNA(VLOOKUP(H56,'MCIA Corrective Actions'!$A$2:$R$1092,6,FALSE)," ")</f>
        <v xml:space="preserve"> </v>
      </c>
      <c r="P56" s="1"/>
    </row>
    <row r="57" spans="1:16" x14ac:dyDescent="0.25">
      <c r="A57" s="1">
        <v>165</v>
      </c>
      <c r="B57" s="108" t="str">
        <f>VLOOKUP($A57,Table1[['#]:[Vessel]],4,FALSE)</f>
        <v>Sugar Island</v>
      </c>
      <c r="C57" s="107">
        <f>VLOOKUP($A57,Table1[['#]:[Date]],3,FALSE)</f>
        <v>43768</v>
      </c>
      <c r="D57" s="3">
        <f>VLOOKUP($A57,Table1[['#]:[Hours]],7,FALSE)</f>
        <v>147.28</v>
      </c>
      <c r="E57" s="3" t="str">
        <f>VLOOKUP($A57,Table1[['#]:[System]],8,FALSE)&amp;" / "&amp;VLOOKUP($A57,Table1[['#]:[Subsystem]],9,FALSE)</f>
        <v>Jet Pump Eng / Deck Gen. / Other</v>
      </c>
      <c r="F57" s="108" t="str">
        <f>VLOOKUP($A57,Table1[['#]:[Work Order '#]],10,FALSE)</f>
        <v>None</v>
      </c>
      <c r="G57" s="110" t="str">
        <f>VLOOKUP($A57,Table1[['#]:[Delay Log Notes]],11,FALSE)</f>
        <v>None</v>
      </c>
      <c r="H57" s="1" t="str">
        <f>_xlfn.IFNA(VLOOKUP(A57,'EDL Data'!$A$2:$M$1245,6,FALSE)," ")</f>
        <v>None</v>
      </c>
      <c r="I57" s="1" t="str">
        <f>_xlfn.IFNA(VLOOKUP(H57,'MCIA Cases'!$A$2:$R$1091,2,FALSE)," ")</f>
        <v xml:space="preserve"> </v>
      </c>
      <c r="J57" s="1" t="str">
        <f>_xlfn.IFNA(VLOOKUP(H57,'MCIA Cases'!$A$2:$R$1091,9,FALSE)," ")</f>
        <v xml:space="preserve"> </v>
      </c>
      <c r="K57" s="1" t="str">
        <f>_xlfn.IFNA(VLOOKUP(H57,'MCIA Cases'!$A$2:$R$1091,10,FALSE)," ")</f>
        <v xml:space="preserve"> </v>
      </c>
      <c r="L57" s="1" t="str">
        <f>_xlfn.IFNA(VLOOKUP(H57,'MCIA Cases'!$A$2:$R$1091,3,FALSE)," ")</f>
        <v xml:space="preserve"> </v>
      </c>
      <c r="M57" s="1" t="str">
        <f>IF(COUNTIF('MCIA Corrective Actions'!$A:$A,H57)=0," ",COUNTIF('MCIA Corrective Actions'!$A:$A,H57))</f>
        <v xml:space="preserve"> </v>
      </c>
      <c r="N57" s="1" t="str">
        <f>IF(COUNTIF('MCIA Corrective Actions'!$A:$A,H57)=0," ",COUNTIFS('MCIA Corrective Actions'!$A:$A,H57,'MCIA Corrective Actions'!N:N,"Yes"))</f>
        <v xml:space="preserve"> </v>
      </c>
      <c r="O57" s="1" t="str">
        <f>_xlfn.IFNA(VLOOKUP(H57,'MCIA Corrective Actions'!$A$2:$R$1092,6,FALSE)," ")</f>
        <v xml:space="preserve"> </v>
      </c>
      <c r="P57" s="1"/>
    </row>
    <row r="58" spans="1:16" x14ac:dyDescent="0.25">
      <c r="A58" s="1">
        <v>166</v>
      </c>
      <c r="B58" s="108" t="str">
        <f>VLOOKUP($A58,Table1[['#]:[Vessel]],4,FALSE)</f>
        <v>Ellis Island</v>
      </c>
      <c r="C58" s="107">
        <f>VLOOKUP($A58,Table1[['#]:[Date]],3,FALSE)</f>
        <v>43769</v>
      </c>
      <c r="D58" s="3">
        <f>VLOOKUP($A58,Table1[['#]:[Hours]],7,FALSE)</f>
        <v>614.48</v>
      </c>
      <c r="E58" s="3" t="str">
        <f>VLOOKUP($A58,Table1[['#]:[System]],8,FALSE)&amp;" / "&amp;VLOOKUP($A58,Table1[['#]:[Subsystem]],9,FALSE)</f>
        <v>Other / Hopper</v>
      </c>
      <c r="F58" s="108" t="str">
        <f>VLOOKUP($A58,Table1[['#]:[Work Order '#]],10,FALSE)</f>
        <v>None</v>
      </c>
      <c r="G58" s="110" t="str">
        <f>VLOOKUP($A58,Table1[['#]:[Delay Log Notes]],11,FALSE)</f>
        <v>STBD #5 Hopper door let go from brackets</v>
      </c>
      <c r="H58" s="1">
        <f>_xlfn.IFNA(VLOOKUP(A58,'EDL Data'!$A$2:$M$1245,6,FALSE)," ")</f>
        <v>319</v>
      </c>
      <c r="I58" s="1" t="str">
        <f>_xlfn.IFNA(VLOOKUP(H58,'MCIA Cases'!$A$2:$R$1091,2,FALSE)," ")</f>
        <v>191031 Ellis Bottom Dump Door #5</v>
      </c>
      <c r="J58" s="1">
        <f>_xlfn.IFNA(VLOOKUP(H58,'MCIA Cases'!$A$2:$R$1091,9,FALSE)," ")</f>
        <v>0</v>
      </c>
      <c r="K58" s="1">
        <f>_xlfn.IFNA(VLOOKUP(H58,'MCIA Cases'!$A$2:$R$1091,10,FALSE)," ")</f>
        <v>0</v>
      </c>
      <c r="L58" s="1" t="str">
        <f>_xlfn.IFNA(VLOOKUP(H58,'MCIA Cases'!$A$2:$R$1091,3,FALSE)," ")</f>
        <v>Jeremy Remme</v>
      </c>
      <c r="M58" s="1">
        <f>IF(COUNTIF('MCIA Corrective Actions'!$A:$A,H58)=0," ",COUNTIF('MCIA Corrective Actions'!$A:$A,H58))</f>
        <v>1</v>
      </c>
      <c r="N58" s="1">
        <f>IF(COUNTIF('MCIA Corrective Actions'!$A:$A,H58)=0," ",COUNTIFS('MCIA Corrective Actions'!$A:$A,H58,'MCIA Corrective Actions'!N:N,"Yes"))</f>
        <v>1</v>
      </c>
      <c r="O58" s="1" t="str">
        <f>_xlfn.IFNA(VLOOKUP(H58,'MCIA Corrective Actions'!$A$2:$R$1092,6,FALSE)," ")</f>
        <v>Jeremy Remme</v>
      </c>
      <c r="P58" s="1"/>
    </row>
    <row r="59" spans="1:16" x14ac:dyDescent="0.25">
      <c r="A59" s="1">
        <v>167</v>
      </c>
      <c r="B59" s="108">
        <f>VLOOKUP($A59,Table1[['#]:[Vessel]],4,FALSE)</f>
        <v>58</v>
      </c>
      <c r="C59" s="107">
        <f>VLOOKUP($A59,Table1[['#]:[Date]],3,FALSE)</f>
        <v>43775</v>
      </c>
      <c r="D59" s="3">
        <f>VLOOKUP($A59,Table1[['#]:[Hours]],7,FALSE)</f>
        <v>142.57</v>
      </c>
      <c r="E59" s="3" t="str">
        <f>VLOOKUP($A59,Table1[['#]:[System]],8,FALSE)&amp;" / "&amp;VLOOKUP($A59,Table1[['#]:[Subsystem]],9,FALSE)</f>
        <v>Crane Swing / Drive (motor, gear box)</v>
      </c>
      <c r="F59" s="108">
        <f>VLOOKUP($A59,Table1[['#]:[Work Order '#]],10,FALSE)</f>
        <v>1730905</v>
      </c>
      <c r="G59" s="110" t="str">
        <f>VLOOKUP($A59,Table1[['#]:[Delay Log Notes]],11,FALSE)</f>
        <v>none</v>
      </c>
      <c r="H59" s="1">
        <f>_xlfn.IFNA(VLOOKUP(A59,'EDL Data'!$A$2:$M$1245,6,FALSE)," ")</f>
        <v>320</v>
      </c>
      <c r="I59" s="1" t="str">
        <f>_xlfn.IFNA(VLOOKUP(H59,'MCIA Cases'!$A$2:$R$1091,2,FALSE)," ")</f>
        <v>DRG 58 #2 Swing pinion shaft bearing failure</v>
      </c>
      <c r="J59" s="1">
        <f>_xlfn.IFNA(VLOOKUP(H59,'MCIA Cases'!$A$2:$R$1091,9,FALSE)," ")</f>
        <v>0</v>
      </c>
      <c r="K59" s="1">
        <f>_xlfn.IFNA(VLOOKUP(H59,'MCIA Cases'!$A$2:$R$1091,10,FALSE)," ")</f>
        <v>0</v>
      </c>
      <c r="L59" s="1" t="str">
        <f>_xlfn.IFNA(VLOOKUP(H59,'MCIA Cases'!$A$2:$R$1091,3,FALSE)," ")</f>
        <v>Armand F Riehl</v>
      </c>
      <c r="M59" s="1">
        <f>IF(COUNTIF('MCIA Corrective Actions'!$A:$A,H59)=0," ",COUNTIF('MCIA Corrective Actions'!$A:$A,H59))</f>
        <v>3</v>
      </c>
      <c r="N59" s="1">
        <f>IF(COUNTIF('MCIA Corrective Actions'!$A:$A,H59)=0," ",COUNTIFS('MCIA Corrective Actions'!$A:$A,H59,'MCIA Corrective Actions'!N:N,"Yes"))</f>
        <v>3</v>
      </c>
      <c r="O59" s="1" t="str">
        <f>_xlfn.IFNA(VLOOKUP(H59,'MCIA Corrective Actions'!$A$2:$R$1092,6,FALSE)," ")</f>
        <v>Brian Goetchius</v>
      </c>
      <c r="P59" s="1"/>
    </row>
    <row r="60" spans="1:16" x14ac:dyDescent="0.25">
      <c r="A60" s="1">
        <v>168</v>
      </c>
      <c r="B60" s="108" t="str">
        <f>VLOOKUP($A60,Table1[['#]:[Vessel]],4,FALSE)</f>
        <v>Terrapin Island</v>
      </c>
      <c r="C60" s="107">
        <f>VLOOKUP($A60,Table1[['#]:[Date]],3,FALSE)</f>
        <v>43787</v>
      </c>
      <c r="D60" s="3">
        <f>VLOOKUP($A60,Table1[['#]:[Hours]],7,FALSE)</f>
        <v>77.430000000000007</v>
      </c>
      <c r="E60" s="3" t="str">
        <f>VLOOKUP($A60,Table1[['#]:[System]],8,FALSE)&amp;" / "&amp;VLOOKUP($A60,Table1[['#]:[Subsystem]],9,FALSE)</f>
        <v>Hydraulics / Other</v>
      </c>
      <c r="F60" s="108">
        <f>VLOOKUP($A60,Table1[['#]:[Work Order '#]],10,FALSE)</f>
        <v>4182079</v>
      </c>
      <c r="G60" s="110" t="str">
        <f>VLOOKUP($A60,Table1[['#]:[Delay Log Notes]],11,FALSE)</f>
        <v>Aft Ram sprung leak</v>
      </c>
      <c r="H60" s="1" t="str">
        <f>_xlfn.IFNA(VLOOKUP(A60,'EDL Data'!$A$2:$M$1245,6,FALSE)," ")</f>
        <v>None</v>
      </c>
      <c r="I60" s="1" t="str">
        <f>_xlfn.IFNA(VLOOKUP(H60,'MCIA Cases'!$A$2:$R$1091,2,FALSE)," ")</f>
        <v xml:space="preserve"> </v>
      </c>
      <c r="J60" s="1" t="str">
        <f>_xlfn.IFNA(VLOOKUP(H60,'MCIA Cases'!$A$2:$R$1091,9,FALSE)," ")</f>
        <v xml:space="preserve"> </v>
      </c>
      <c r="K60" s="1" t="str">
        <f>_xlfn.IFNA(VLOOKUP(H60,'MCIA Cases'!$A$2:$R$1091,10,FALSE)," ")</f>
        <v xml:space="preserve"> </v>
      </c>
      <c r="L60" s="1" t="str">
        <f>_xlfn.IFNA(VLOOKUP(H60,'MCIA Cases'!$A$2:$R$1091,3,FALSE)," ")</f>
        <v xml:space="preserve"> </v>
      </c>
      <c r="M60" s="1" t="str">
        <f>IF(COUNTIF('MCIA Corrective Actions'!$A:$A,H60)=0," ",COUNTIF('MCIA Corrective Actions'!$A:$A,H60))</f>
        <v xml:space="preserve"> </v>
      </c>
      <c r="N60" s="1" t="str">
        <f>IF(COUNTIF('MCIA Corrective Actions'!$A:$A,H60)=0," ",COUNTIFS('MCIA Corrective Actions'!$A:$A,H60,'MCIA Corrective Actions'!N:N,"Yes"))</f>
        <v xml:space="preserve"> </v>
      </c>
      <c r="O60" s="1" t="str">
        <f>_xlfn.IFNA(VLOOKUP(H60,'MCIA Corrective Actions'!$A$2:$R$1092,6,FALSE)," ")</f>
        <v xml:space="preserve"> </v>
      </c>
      <c r="P60" s="1"/>
    </row>
    <row r="61" spans="1:16" x14ac:dyDescent="0.25">
      <c r="A61" s="1">
        <v>169</v>
      </c>
      <c r="B61" s="108" t="str">
        <f>VLOOKUP($A61,Table1[['#]:[Vessel]],4,FALSE)</f>
        <v>Padre Island</v>
      </c>
      <c r="C61" s="107">
        <f>VLOOKUP($A61,Table1[['#]:[Date]],3,FALSE)</f>
        <v>43792</v>
      </c>
      <c r="D61" s="3">
        <f>VLOOKUP($A61,Table1[['#]:[Hours]],7,FALSE)</f>
        <v>52.84</v>
      </c>
      <c r="E61" s="3" t="str">
        <f>VLOOKUP($A61,Table1[['#]:[System]],8,FALSE)&amp;" / "&amp;VLOOKUP($A61,Table1[['#]:[Subsystem]],9,FALSE)</f>
        <v>Other / Other Mechanical</v>
      </c>
      <c r="F61" s="108" t="str">
        <f>VLOOKUP($A61,Table1[['#]:[Work Order '#]],10,FALSE)</f>
        <v>N/A</v>
      </c>
      <c r="G61" s="110" t="str">
        <f>VLOOKUP($A61,Table1[['#]:[Delay Log Notes]],11,FALSE)</f>
        <v>Hole</v>
      </c>
      <c r="H61" s="1" t="str">
        <f>_xlfn.IFNA(VLOOKUP(A61,'EDL Data'!$A$2:$M$1245,6,FALSE)," ")</f>
        <v>None</v>
      </c>
      <c r="I61" s="1" t="str">
        <f>_xlfn.IFNA(VLOOKUP(H61,'MCIA Cases'!$A$2:$R$1091,2,FALSE)," ")</f>
        <v xml:space="preserve"> </v>
      </c>
      <c r="J61" s="1" t="str">
        <f>_xlfn.IFNA(VLOOKUP(H61,'MCIA Cases'!$A$2:$R$1091,9,FALSE)," ")</f>
        <v xml:space="preserve"> </v>
      </c>
      <c r="K61" s="1" t="str">
        <f>_xlfn.IFNA(VLOOKUP(H61,'MCIA Cases'!$A$2:$R$1091,10,FALSE)," ")</f>
        <v xml:space="preserve"> </v>
      </c>
      <c r="L61" s="1" t="str">
        <f>_xlfn.IFNA(VLOOKUP(H61,'MCIA Cases'!$A$2:$R$1091,3,FALSE)," ")</f>
        <v xml:space="preserve"> </v>
      </c>
      <c r="M61" s="1" t="str">
        <f>IF(COUNTIF('MCIA Corrective Actions'!$A:$A,H61)=0," ",COUNTIF('MCIA Corrective Actions'!$A:$A,H61))</f>
        <v xml:space="preserve"> </v>
      </c>
      <c r="N61" s="1" t="str">
        <f>IF(COUNTIF('MCIA Corrective Actions'!$A:$A,H61)=0," ",COUNTIFS('MCIA Corrective Actions'!$A:$A,H61,'MCIA Corrective Actions'!N:N,"Yes"))</f>
        <v xml:space="preserve"> </v>
      </c>
      <c r="O61" s="1" t="str">
        <f>_xlfn.IFNA(VLOOKUP(H61,'MCIA Corrective Actions'!$A$2:$R$1092,6,FALSE)," ")</f>
        <v xml:space="preserve"> </v>
      </c>
      <c r="P61" s="1"/>
    </row>
    <row r="62" spans="1:16" x14ac:dyDescent="0.25">
      <c r="A62" s="1">
        <v>170</v>
      </c>
      <c r="B62" s="108" t="str">
        <f>VLOOKUP($A62,Table1[['#]:[Vessel]],4,FALSE)</f>
        <v>Illinois</v>
      </c>
      <c r="C62" s="107">
        <f>VLOOKUP($A62,Table1[['#]:[Date]],3,FALSE)</f>
        <v>43807</v>
      </c>
      <c r="D62" s="3">
        <f>VLOOKUP($A62,Table1[['#]:[Hours]],7,FALSE)</f>
        <v>94.08</v>
      </c>
      <c r="E62" s="3" t="str">
        <f>VLOOKUP($A62,Table1[['#]:[System]],8,FALSE)&amp;" / "&amp;VLOOKUP($A62,Table1[['#]:[Subsystem]],9,FALSE)</f>
        <v>Main Pump / Pump rebuild</v>
      </c>
      <c r="F62" s="108">
        <f>VLOOKUP($A62,Table1[['#]:[Work Order '#]],10,FALSE)</f>
        <v>4796036</v>
      </c>
      <c r="G62" s="110" t="str">
        <f>VLOOKUP($A62,Table1[['#]:[Delay Log Notes]],11,FALSE)</f>
        <v>Tow to Atlantic City and perform main pump job</v>
      </c>
      <c r="H62" s="1" t="str">
        <f>_xlfn.IFNA(VLOOKUP(A62,'EDL Data'!$A$2:$M$1245,6,FALSE)," ")</f>
        <v>None</v>
      </c>
      <c r="I62" s="1" t="str">
        <f>_xlfn.IFNA(VLOOKUP(H62,'MCIA Cases'!$A$2:$R$1091,2,FALSE)," ")</f>
        <v xml:space="preserve"> </v>
      </c>
      <c r="J62" s="1" t="str">
        <f>_xlfn.IFNA(VLOOKUP(H62,'MCIA Cases'!$A$2:$R$1091,9,FALSE)," ")</f>
        <v xml:space="preserve"> </v>
      </c>
      <c r="K62" s="1" t="str">
        <f>_xlfn.IFNA(VLOOKUP(H62,'MCIA Cases'!$A$2:$R$1091,10,FALSE)," ")</f>
        <v xml:space="preserve"> </v>
      </c>
      <c r="L62" s="1" t="str">
        <f>_xlfn.IFNA(VLOOKUP(H62,'MCIA Cases'!$A$2:$R$1091,3,FALSE)," ")</f>
        <v xml:space="preserve"> </v>
      </c>
      <c r="M62" s="1" t="str">
        <f>IF(COUNTIF('MCIA Corrective Actions'!$A:$A,H62)=0," ",COUNTIF('MCIA Corrective Actions'!$A:$A,H62))</f>
        <v xml:space="preserve"> </v>
      </c>
      <c r="N62" s="1" t="str">
        <f>IF(COUNTIF('MCIA Corrective Actions'!$A:$A,H62)=0," ",COUNTIFS('MCIA Corrective Actions'!$A:$A,H62,'MCIA Corrective Actions'!N:N,"Yes"))</f>
        <v xml:space="preserve"> </v>
      </c>
      <c r="O62" s="1" t="str">
        <f>_xlfn.IFNA(VLOOKUP(H62,'MCIA Corrective Actions'!$A$2:$R$1092,6,FALSE)," ")</f>
        <v xml:space="preserve"> </v>
      </c>
      <c r="P62" s="1"/>
    </row>
    <row r="63" spans="1:16" x14ac:dyDescent="0.25">
      <c r="A63" s="1">
        <v>171</v>
      </c>
      <c r="B63" s="108" t="str">
        <f>VLOOKUP($A63,Table1[['#]:[Vessel]],4,FALSE)</f>
        <v>Alaska</v>
      </c>
      <c r="C63" s="107">
        <f>VLOOKUP($A63,Table1[['#]:[Date]],3,FALSE)</f>
        <v>43809</v>
      </c>
      <c r="D63" s="3">
        <f>VLOOKUP($A63,Table1[['#]:[Hours]],7,FALSE)</f>
        <v>143.58000000000001</v>
      </c>
      <c r="E63" s="3" t="str">
        <f>VLOOKUP($A63,Table1[['#]:[System]],8,FALSE)&amp;" / "&amp;VLOOKUP($A63,Table1[['#]:[Subsystem]],9,FALSE)</f>
        <v>Spuds/Xmas Tree / Sheaves</v>
      </c>
      <c r="F63" s="108">
        <f>VLOOKUP($A63,Table1[['#]:[Work Order '#]],10,FALSE)</f>
        <v>4796445</v>
      </c>
      <c r="G63" s="110" t="str">
        <f>VLOOKUP($A63,Table1[['#]:[Delay Log Notes]],11,FALSE)</f>
        <v>None</v>
      </c>
      <c r="H63" s="1" t="s">
        <v>23</v>
      </c>
      <c r="I63" s="1" t="str">
        <f>_xlfn.IFNA(VLOOKUP(H63,'MCIA Cases'!$A$2:$R$1091,2,FALSE)," ")</f>
        <v xml:space="preserve"> </v>
      </c>
      <c r="J63" s="1" t="str">
        <f>_xlfn.IFNA(VLOOKUP(H63,'MCIA Cases'!$A$2:$R$1091,9,FALSE)," ")</f>
        <v xml:space="preserve"> </v>
      </c>
      <c r="K63" s="1" t="str">
        <f>_xlfn.IFNA(VLOOKUP(H63,'MCIA Cases'!$A$2:$R$1091,10,FALSE)," ")</f>
        <v xml:space="preserve"> </v>
      </c>
      <c r="L63" s="1" t="str">
        <f>_xlfn.IFNA(VLOOKUP(H63,'MCIA Cases'!$A$2:$R$1091,3,FALSE)," ")</f>
        <v xml:space="preserve"> </v>
      </c>
      <c r="M63" s="1" t="str">
        <f>IF(COUNTIF('MCIA Corrective Actions'!$A:$A,H63)=0," ",COUNTIF('MCIA Corrective Actions'!$A:$A,H63))</f>
        <v xml:space="preserve"> </v>
      </c>
      <c r="N63" s="1" t="str">
        <f>IF(COUNTIF('MCIA Corrective Actions'!$A:$A,H63)=0," ",COUNTIFS('MCIA Corrective Actions'!$A:$A,H63,'MCIA Corrective Actions'!N:N,"Yes"))</f>
        <v xml:space="preserve"> </v>
      </c>
      <c r="O63" s="1" t="str">
        <f>_xlfn.IFNA(VLOOKUP(H63,'MCIA Corrective Actions'!$A$2:$R$1092,6,FALSE)," ")</f>
        <v xml:space="preserve"> </v>
      </c>
      <c r="P63" s="1"/>
    </row>
    <row r="64" spans="1:16" x14ac:dyDescent="0.25">
      <c r="A64" s="1">
        <v>172</v>
      </c>
      <c r="B64" s="108" t="str">
        <f>VLOOKUP($A64,Table1[['#]:[Vessel]],4,FALSE)</f>
        <v>Carolina</v>
      </c>
      <c r="C64" s="107">
        <f>VLOOKUP($A64,Table1[['#]:[Date]],3,FALSE)</f>
        <v>43810</v>
      </c>
      <c r="D64" s="3">
        <f>VLOOKUP($A64,Table1[['#]:[Hours]],7,FALSE)</f>
        <v>85.5</v>
      </c>
      <c r="E64" s="3" t="str">
        <f>VLOOKUP($A64,Table1[['#]:[System]],8,FALSE)&amp;" / "&amp;VLOOKUP($A64,Table1[['#]:[Subsystem]],9,FALSE)</f>
        <v>Cutter / Motor (Cutter Shaft)</v>
      </c>
      <c r="F64" s="108" t="str">
        <f>VLOOKUP($A64,Table1[['#]:[Work Order '#]],10,FALSE)</f>
        <v>None</v>
      </c>
      <c r="G64" s="110" t="str">
        <f>VLOOKUP($A64,Table1[['#]:[Delay Log Notes]],11,FALSE)</f>
        <v>Replace PORT cutter motor</v>
      </c>
      <c r="H64" s="1">
        <v>326</v>
      </c>
      <c r="I64" s="1" t="str">
        <f>_xlfn.IFNA(VLOOKUP(H64,'MCIA Cases'!$A$2:$R$1091,2,FALSE)," ")</f>
        <v xml:space="preserve">Carolina Port Cutter Motor </v>
      </c>
      <c r="J64" s="1">
        <f>_xlfn.IFNA(VLOOKUP(H64,'MCIA Cases'!$A$2:$R$1091,9,FALSE)," ")</f>
        <v>0</v>
      </c>
      <c r="K64" s="1">
        <f>_xlfn.IFNA(VLOOKUP(H64,'MCIA Cases'!$A$2:$R$1091,10,FALSE)," ")</f>
        <v>0</v>
      </c>
      <c r="L64" s="1" t="str">
        <f>_xlfn.IFNA(VLOOKUP(H64,'MCIA Cases'!$A$2:$R$1091,3,FALSE)," ")</f>
        <v>Scott Baumann</v>
      </c>
      <c r="M64" s="1">
        <f>IF(COUNTIF('MCIA Corrective Actions'!$A:$A,H64)=0," ",COUNTIF('MCIA Corrective Actions'!$A:$A,H64))</f>
        <v>2</v>
      </c>
      <c r="N64" s="1">
        <f>IF(COUNTIF('MCIA Corrective Actions'!$A:$A,H64)=0," ",COUNTIFS('MCIA Corrective Actions'!$A:$A,H64,'MCIA Corrective Actions'!N:N,"Yes"))</f>
        <v>0</v>
      </c>
      <c r="O64" s="1" t="str">
        <f>_xlfn.IFNA(VLOOKUP(H64,'MCIA Corrective Actions'!$A$2:$R$1092,6,FALSE)," ")</f>
        <v>Jose Gracia</v>
      </c>
      <c r="P64" s="1"/>
    </row>
    <row r="65" spans="1:16" x14ac:dyDescent="0.25">
      <c r="A65" s="1">
        <v>173</v>
      </c>
      <c r="B65" s="108">
        <f>VLOOKUP($A65,Table1[['#]:[Vessel]],4,FALSE)</f>
        <v>58</v>
      </c>
      <c r="C65" s="107">
        <f>VLOOKUP($A65,Table1[['#]:[Date]],3,FALSE)</f>
        <v>43820</v>
      </c>
      <c r="D65" s="3">
        <f>VLOOKUP($A65,Table1[['#]:[Hours]],7,FALSE)</f>
        <v>59.57</v>
      </c>
      <c r="E65" s="3" t="str">
        <f>VLOOKUP($A65,Table1[['#]:[System]],8,FALSE)&amp;" / "&amp;VLOOKUP($A65,Table1[['#]:[Subsystem]],9,FALSE)</f>
        <v>Main / Aux Gen. / Main Generator Eng</v>
      </c>
      <c r="F65" s="108">
        <f>VLOOKUP($A65,Table1[['#]:[Work Order '#]],10,FALSE)</f>
        <v>4796635</v>
      </c>
      <c r="G65" s="110" t="str">
        <f>VLOOKUP($A65,Table1[['#]:[Delay Log Notes]],11,FALSE)</f>
        <v>none</v>
      </c>
      <c r="H65" s="1" t="str">
        <f>_xlfn.IFNA(VLOOKUP(A65,'EDL Data'!$A$2:$M$1245,6,FALSE)," ")</f>
        <v>None</v>
      </c>
      <c r="I65" s="1" t="str">
        <f>_xlfn.IFNA(VLOOKUP(H65,'MCIA Cases'!$A$2:$R$1091,2,FALSE)," ")</f>
        <v xml:space="preserve"> </v>
      </c>
      <c r="J65" s="1" t="str">
        <f>_xlfn.IFNA(VLOOKUP(H65,'MCIA Cases'!$A$2:$R$1091,9,FALSE)," ")</f>
        <v xml:space="preserve"> </v>
      </c>
      <c r="K65" s="1" t="str">
        <f>_xlfn.IFNA(VLOOKUP(H65,'MCIA Cases'!$A$2:$R$1091,10,FALSE)," ")</f>
        <v xml:space="preserve"> </v>
      </c>
      <c r="L65" s="1" t="str">
        <f>_xlfn.IFNA(VLOOKUP(H65,'MCIA Cases'!$A$2:$R$1091,3,FALSE)," ")</f>
        <v xml:space="preserve"> </v>
      </c>
      <c r="M65" s="1" t="str">
        <f>IF(COUNTIF('MCIA Corrective Actions'!$A:$A,H65)=0," ",COUNTIF('MCIA Corrective Actions'!$A:$A,H65))</f>
        <v xml:space="preserve"> </v>
      </c>
      <c r="N65" s="1" t="str">
        <f>IF(COUNTIF('MCIA Corrective Actions'!$A:$A,H65)=0," ",COUNTIFS('MCIA Corrective Actions'!$A:$A,H65,'MCIA Corrective Actions'!N:N,"Yes"))</f>
        <v xml:space="preserve"> </v>
      </c>
      <c r="O65" s="1" t="str">
        <f>_xlfn.IFNA(VLOOKUP(H65,'MCIA Corrective Actions'!$A$2:$R$1092,6,FALSE)," ")</f>
        <v xml:space="preserve"> </v>
      </c>
      <c r="P65" s="1"/>
    </row>
    <row r="66" spans="1:16" x14ac:dyDescent="0.25">
      <c r="A66" s="1">
        <v>174</v>
      </c>
      <c r="B66" s="108" t="str">
        <f>VLOOKUP($A66,Table1[['#]:[Vessel]],4,FALSE)</f>
        <v>Illinois</v>
      </c>
      <c r="C66" s="107">
        <f>VLOOKUP($A66,Table1[['#]:[Date]],3,FALSE)</f>
        <v>43821</v>
      </c>
      <c r="D66" s="3">
        <f>VLOOKUP($A66,Table1[['#]:[Hours]],7,FALSE)</f>
        <v>92</v>
      </c>
      <c r="E66" s="3" t="str">
        <f>VLOOKUP($A66,Table1[['#]:[System]],8,FALSE)&amp;" / "&amp;VLOOKUP($A66,Table1[['#]:[Subsystem]],9,FALSE)</f>
        <v>Ladder Pump / Gland Seal</v>
      </c>
      <c r="F66" s="108" t="str">
        <f>VLOOKUP($A66,Table1[['#]:[Work Order '#]],10,FALSE)</f>
        <v>0309740</v>
      </c>
      <c r="G66" s="110" t="str">
        <f>VLOOKUP($A66,Table1[['#]:[Delay Log Notes]],11,FALSE)</f>
        <v>Underway 2200</v>
      </c>
      <c r="H66" s="1" t="str">
        <f>_xlfn.IFNA(VLOOKUP(A66,'EDL Data'!$A$2:$M$1245,6,FALSE)," ")</f>
        <v>None</v>
      </c>
      <c r="I66" s="1" t="str">
        <f>_xlfn.IFNA(VLOOKUP(H66,'MCIA Cases'!$A$2:$R$1091,2,FALSE)," ")</f>
        <v xml:space="preserve"> </v>
      </c>
      <c r="J66" s="1" t="str">
        <f>_xlfn.IFNA(VLOOKUP(H66,'MCIA Cases'!$A$2:$R$1091,9,FALSE)," ")</f>
        <v xml:space="preserve"> </v>
      </c>
      <c r="K66" s="1" t="str">
        <f>_xlfn.IFNA(VLOOKUP(H66,'MCIA Cases'!$A$2:$R$1091,10,FALSE)," ")</f>
        <v xml:space="preserve"> </v>
      </c>
      <c r="L66" s="1" t="str">
        <f>_xlfn.IFNA(VLOOKUP(H66,'MCIA Cases'!$A$2:$R$1091,3,FALSE)," ")</f>
        <v xml:space="preserve"> </v>
      </c>
      <c r="M66" s="1" t="str">
        <f>IF(COUNTIF('MCIA Corrective Actions'!$A:$A,H66)=0," ",COUNTIF('MCIA Corrective Actions'!$A:$A,H66))</f>
        <v xml:space="preserve"> </v>
      </c>
      <c r="N66" s="1" t="str">
        <f>IF(COUNTIF('MCIA Corrective Actions'!$A:$A,H66)=0," ",COUNTIFS('MCIA Corrective Actions'!$A:$A,H66,'MCIA Corrective Actions'!N:N,"Yes"))</f>
        <v xml:space="preserve"> </v>
      </c>
      <c r="O66" s="1" t="str">
        <f>_xlfn.IFNA(VLOOKUP(H66,'MCIA Corrective Actions'!$A$2:$R$1092,6,FALSE)," ")</f>
        <v xml:space="preserve"> </v>
      </c>
      <c r="P66" s="1"/>
    </row>
    <row r="67" spans="1:16" x14ac:dyDescent="0.25">
      <c r="A67" s="1">
        <v>175</v>
      </c>
      <c r="B67" s="108" t="str">
        <f>VLOOKUP($A67,Table1[['#]:[Vessel]],4,FALSE)</f>
        <v>Carolina</v>
      </c>
      <c r="C67" s="107">
        <f>VLOOKUP($A67,Table1[['#]:[Date]],3,FALSE)</f>
        <v>43824</v>
      </c>
      <c r="D67" s="3">
        <f>VLOOKUP($A67,Table1[['#]:[Hours]],7,FALSE)</f>
        <v>144.88999999999999</v>
      </c>
      <c r="E67" s="3" t="str">
        <f>VLOOKUP($A67,Table1[['#]:[System]],8,FALSE)&amp;" / "&amp;VLOOKUP($A67,Table1[['#]:[Subsystem]],9,FALSE)</f>
        <v>Cutter / Motor (Cutter Shaft)</v>
      </c>
      <c r="F67" s="108" t="str">
        <f>VLOOKUP($A67,Table1[['#]:[Work Order '#]],10,FALSE)</f>
        <v>None</v>
      </c>
      <c r="G67" s="110" t="str">
        <f>VLOOKUP($A67,Table1[['#]:[Delay Log Notes]],11,FALSE)</f>
        <v>None</v>
      </c>
      <c r="H67" s="1" t="str">
        <f>_xlfn.IFNA(VLOOKUP(A67,'EDL Data'!$A$2:$M$1245,6,FALSE)," ")</f>
        <v>None</v>
      </c>
      <c r="I67" s="1" t="str">
        <f>_xlfn.IFNA(VLOOKUP(H67,'MCIA Cases'!$A$2:$R$1091,2,FALSE)," ")</f>
        <v xml:space="preserve"> </v>
      </c>
      <c r="J67" s="1" t="str">
        <f>_xlfn.IFNA(VLOOKUP(H67,'MCIA Cases'!$A$2:$R$1091,9,FALSE)," ")</f>
        <v xml:space="preserve"> </v>
      </c>
      <c r="K67" s="1" t="str">
        <f>_xlfn.IFNA(VLOOKUP(H67,'MCIA Cases'!$A$2:$R$1091,10,FALSE)," ")</f>
        <v xml:space="preserve"> </v>
      </c>
      <c r="L67" s="1" t="str">
        <f>_xlfn.IFNA(VLOOKUP(H67,'MCIA Cases'!$A$2:$R$1091,3,FALSE)," ")</f>
        <v xml:space="preserve"> </v>
      </c>
      <c r="M67" s="1" t="str">
        <f>IF(COUNTIF('MCIA Corrective Actions'!$A:$A,H67)=0," ",COUNTIF('MCIA Corrective Actions'!$A:$A,H67))</f>
        <v xml:space="preserve"> </v>
      </c>
      <c r="N67" s="1" t="str">
        <f>IF(COUNTIF('MCIA Corrective Actions'!$A:$A,H67)=0," ",COUNTIFS('MCIA Corrective Actions'!$A:$A,H67,'MCIA Corrective Actions'!N:N,"Yes"))</f>
        <v xml:space="preserve"> </v>
      </c>
      <c r="O67" s="1" t="str">
        <f>_xlfn.IFNA(VLOOKUP(H67,'MCIA Corrective Actions'!$A$2:$R$1092,6,FALSE)," ")</f>
        <v xml:space="preserve"> </v>
      </c>
      <c r="P67" s="1"/>
    </row>
    <row r="68" spans="1:16" x14ac:dyDescent="0.25">
      <c r="A68" s="1">
        <v>176</v>
      </c>
      <c r="B68" s="108" t="str">
        <f>VLOOKUP($A68,Table1[['#]:[Vessel]],4,FALSE)</f>
        <v>Alaska</v>
      </c>
      <c r="C68" s="107">
        <f>VLOOKUP($A68,Table1[['#]:[Date]],3,FALSE)</f>
        <v>43828</v>
      </c>
      <c r="D68" s="3">
        <f>VLOOKUP($A68,Table1[['#]:[Hours]],7,FALSE)</f>
        <v>59.14</v>
      </c>
      <c r="E68" s="3" t="str">
        <f>VLOOKUP($A68,Table1[['#]:[System]],8,FALSE)&amp;" / "&amp;VLOOKUP($A68,Table1[['#]:[Subsystem]],9,FALSE)</f>
        <v>Cutter / SCR Drive / MG Set</v>
      </c>
      <c r="F68" s="108">
        <f>VLOOKUP($A68,Table1[['#]:[Work Order '#]],10,FALSE)</f>
        <v>4796684</v>
      </c>
      <c r="G68" s="110" t="str">
        <f>VLOOKUP($A68,Table1[['#]:[Delay Log Notes]],11,FALSE)</f>
        <v>None</v>
      </c>
      <c r="H68" s="1" t="str">
        <f>_xlfn.IFNA(VLOOKUP(A68,'EDL Data'!$A$2:$M$1245,6,FALSE)," ")</f>
        <v>None</v>
      </c>
      <c r="I68" s="1" t="str">
        <f>_xlfn.IFNA(VLOOKUP(H68,'MCIA Cases'!$A$2:$R$1091,2,FALSE)," ")</f>
        <v xml:space="preserve"> </v>
      </c>
      <c r="J68" s="1" t="str">
        <f>_xlfn.IFNA(VLOOKUP(H68,'MCIA Cases'!$A$2:$R$1091,9,FALSE)," ")</f>
        <v xml:space="preserve"> </v>
      </c>
      <c r="K68" s="1" t="str">
        <f>_xlfn.IFNA(VLOOKUP(H68,'MCIA Cases'!$A$2:$R$1091,10,FALSE)," ")</f>
        <v xml:space="preserve"> </v>
      </c>
      <c r="L68" s="1" t="str">
        <f>_xlfn.IFNA(VLOOKUP(H68,'MCIA Cases'!$A$2:$R$1091,3,FALSE)," ")</f>
        <v xml:space="preserve"> </v>
      </c>
      <c r="M68" s="1" t="str">
        <f>IF(COUNTIF('MCIA Corrective Actions'!$A:$A,H68)=0," ",COUNTIF('MCIA Corrective Actions'!$A:$A,H68))</f>
        <v xml:space="preserve"> </v>
      </c>
      <c r="N68" s="1" t="str">
        <f>IF(COUNTIF('MCIA Corrective Actions'!$A:$A,H68)=0," ",COUNTIFS('MCIA Corrective Actions'!$A:$A,H68,'MCIA Corrective Actions'!N:N,"Yes"))</f>
        <v xml:space="preserve"> </v>
      </c>
      <c r="O68" s="1" t="str">
        <f>_xlfn.IFNA(VLOOKUP(H68,'MCIA Corrective Actions'!$A$2:$R$1092,6,FALSE)," ")</f>
        <v xml:space="preserve"> </v>
      </c>
      <c r="P68" s="1"/>
    </row>
    <row r="69" spans="1:16" ht="4.5" customHeight="1" x14ac:dyDescent="0.25">
      <c r="B69" s="139"/>
      <c r="C69" s="140"/>
      <c r="D69" s="141"/>
      <c r="E69" s="141"/>
      <c r="F69" s="139"/>
      <c r="G69" s="137"/>
      <c r="H69" s="138"/>
      <c r="I69" s="138"/>
      <c r="J69" s="138"/>
      <c r="K69" s="138"/>
      <c r="L69" s="138"/>
      <c r="M69" s="138"/>
      <c r="N69" s="138"/>
      <c r="O69" s="138"/>
      <c r="P69" s="138"/>
    </row>
    <row r="70" spans="1:16" x14ac:dyDescent="0.25">
      <c r="B70" s="127" t="str">
        <f>_xlfn.IFNA(VLOOKUP(VLOOKUP(H70,'MCIA Cases'!$A$2:$AB$1091,26,FALSE),Summary!$J$43:$K$264,2,FALSE)," ")</f>
        <v xml:space="preserve"> </v>
      </c>
      <c r="C70" s="107" t="str">
        <f>_xlfn.IFNA(VLOOKUP(H70,'MCIA Cases'!$A$2:$R$1091,15,FALSE)," ")</f>
        <v>Brian Goetchius</v>
      </c>
      <c r="H70" s="1">
        <v>279</v>
      </c>
      <c r="I70" s="1" t="str">
        <f>_xlfn.IFNA(VLOOKUP(H70,'MCIA Cases'!$A$2:$R$1091,2,FALSE)," ")</f>
        <v>DR 55 - Brake Band Actuator Foundation Failure</v>
      </c>
      <c r="J70" s="1">
        <f>_xlfn.IFNA(VLOOKUP(H70,'MCIA Cases'!$A$2:$R$1091,9,FALSE)," ")</f>
        <v>0</v>
      </c>
      <c r="K70" s="1">
        <f>_xlfn.IFNA(VLOOKUP(H70,'MCIA Cases'!$A$2:$R$1091,10,FALSE)," ")</f>
        <v>0</v>
      </c>
      <c r="L70" s="1" t="str">
        <f>_xlfn.IFNA(VLOOKUP(H70,'MCIA Cases'!$A$2:$R$1091,3,FALSE)," ")</f>
        <v>Andrew Larkin</v>
      </c>
      <c r="M70" s="1">
        <f>IF(COUNTIF('MCIA Corrective Actions'!$A:$A,H70)=0," ",COUNTIF('MCIA Corrective Actions'!$A:$A,H70))</f>
        <v>1</v>
      </c>
      <c r="N70" s="1">
        <f>IF(COUNTIF('MCIA Corrective Actions'!$A:$A,H70)=0," ",COUNTIFS('MCIA Corrective Actions'!$A:$A,H70,'MCIA Corrective Actions'!N:N,"Yes"))</f>
        <v>1</v>
      </c>
      <c r="O70" s="1" t="str">
        <f>_xlfn.IFNA(VLOOKUP(H70,'MCIA Corrective Actions'!$A$2:$R$1092,6,FALSE)," ")</f>
        <v>Brian Goetchius</v>
      </c>
      <c r="P70" s="1"/>
    </row>
    <row r="71" spans="1:16" x14ac:dyDescent="0.25">
      <c r="B71" s="127" t="str">
        <f>_xlfn.IFNA(VLOOKUP(VLOOKUP(H71,'MCIA Cases'!$A$2:$AB$1091,26,FALSE),Summary!$J$43:$K$264,2,FALSE)," ")</f>
        <v xml:space="preserve"> </v>
      </c>
      <c r="C71" s="107" t="str">
        <f>_xlfn.IFNA(VLOOKUP(H71,'MCIA Cases'!$A$2:$R$1091,15,FALSE)," ")</f>
        <v>Mike  Gerlach</v>
      </c>
      <c r="H71" s="1">
        <v>282</v>
      </c>
      <c r="I71" s="1" t="str">
        <f>_xlfn.IFNA(VLOOKUP(H71,'MCIA Cases'!$A$2:$R$1091,2,FALSE)," ")</f>
        <v>DB 186 Hull/Deck Damage</v>
      </c>
      <c r="J71" s="1">
        <f>_xlfn.IFNA(VLOOKUP(H71,'MCIA Cases'!$A$2:$R$1091,9,FALSE)," ")</f>
        <v>0</v>
      </c>
      <c r="K71" s="1">
        <f>_xlfn.IFNA(VLOOKUP(H71,'MCIA Cases'!$A$2:$R$1091,10,FALSE)," ")</f>
        <v>0</v>
      </c>
      <c r="L71" s="1" t="str">
        <f>_xlfn.IFNA(VLOOKUP(H71,'MCIA Cases'!$A$2:$R$1091,3,FALSE)," ")</f>
        <v>Mike  Gerlach</v>
      </c>
      <c r="M71" s="1">
        <f>IF(COUNTIF('MCIA Corrective Actions'!$A:$A,H71)=0," ",COUNTIF('MCIA Corrective Actions'!$A:$A,H71))</f>
        <v>2</v>
      </c>
      <c r="N71" s="1">
        <f>IF(COUNTIF('MCIA Corrective Actions'!$A:$A,H71)=0," ",COUNTIFS('MCIA Corrective Actions'!$A:$A,H71,'MCIA Corrective Actions'!N:N,"Yes"))</f>
        <v>0</v>
      </c>
      <c r="O71" s="1" t="str">
        <f>_xlfn.IFNA(VLOOKUP(H71,'MCIA Corrective Actions'!$A$2:$R$1092,6,FALSE)," ")</f>
        <v>David Rappe</v>
      </c>
      <c r="P71" s="1"/>
    </row>
    <row r="72" spans="1:16" x14ac:dyDescent="0.25">
      <c r="B72" s="127" t="str">
        <f>_xlfn.IFNA(VLOOKUP(VLOOKUP(H72,'MCIA Cases'!$A$2:$AB$1091,26,FALSE),Summary!$J$43:$K$264,2,FALSE)," ")</f>
        <v xml:space="preserve"> </v>
      </c>
      <c r="C72" s="107" t="str">
        <f>_xlfn.IFNA(VLOOKUP(H72,'MCIA Cases'!$A$2:$R$1091,15,FALSE)," ")</f>
        <v>Andrew Larkin</v>
      </c>
      <c r="H72" s="1">
        <v>283</v>
      </c>
      <c r="I72" s="1" t="str">
        <f>_xlfn.IFNA(VLOOKUP(H72,'MCIA Cases'!$A$2:$R$1091,2,FALSE)," ")</f>
        <v>Apache Tower Damage</v>
      </c>
      <c r="J72" s="1">
        <f>_xlfn.IFNA(VLOOKUP(H72,'MCIA Cases'!$A$2:$R$1091,9,FALSE)," ")</f>
        <v>0</v>
      </c>
      <c r="K72" s="1">
        <f>_xlfn.IFNA(VLOOKUP(H72,'MCIA Cases'!$A$2:$R$1091,10,FALSE)," ")</f>
        <v>0</v>
      </c>
      <c r="L72" s="1" t="str">
        <f>_xlfn.IFNA(VLOOKUP(H72,'MCIA Cases'!$A$2:$R$1091,3,FALSE)," ")</f>
        <v>Andrew Larkin</v>
      </c>
      <c r="M72" s="1">
        <f>IF(COUNTIF('MCIA Corrective Actions'!$A:$A,H72)=0," ",COUNTIF('MCIA Corrective Actions'!$A:$A,H72))</f>
        <v>3</v>
      </c>
      <c r="N72" s="1">
        <f>IF(COUNTIF('MCIA Corrective Actions'!$A:$A,H72)=0," ",COUNTIFS('MCIA Corrective Actions'!$A:$A,H72,'MCIA Corrective Actions'!N:N,"Yes"))</f>
        <v>0</v>
      </c>
      <c r="O72" s="1" t="str">
        <f>_xlfn.IFNA(VLOOKUP(H72,'MCIA Corrective Actions'!$A$2:$R$1092,6,FALSE)," ")</f>
        <v>Andrew Larkin</v>
      </c>
      <c r="P72" s="1"/>
    </row>
    <row r="73" spans="1:16" x14ac:dyDescent="0.25">
      <c r="B73" s="127" t="str">
        <f>_xlfn.IFNA(VLOOKUP(VLOOKUP(H73,'MCIA Cases'!$A$2:$AB$1091,26,FALSE),Summary!$J$43:$K$264,2,FALSE)," ")</f>
        <v xml:space="preserve"> </v>
      </c>
      <c r="C73" s="107" t="str">
        <f>_xlfn.IFNA(VLOOKUP(H73,'MCIA Cases'!$A$2:$R$1091,15,FALSE)," ")</f>
        <v>Mike Kraljevic</v>
      </c>
      <c r="H73" s="1">
        <v>290</v>
      </c>
      <c r="I73" s="1" t="str">
        <f>_xlfn.IFNA(VLOOKUP(H73,'MCIA Cases'!$A$2:$R$1091,2,FALSE)," ")</f>
        <v>DBM STBD M/E Foundation Failure</v>
      </c>
      <c r="J73" s="1">
        <f>_xlfn.IFNA(VLOOKUP(H73,'MCIA Cases'!$A$2:$R$1091,9,FALSE)," ")</f>
        <v>0</v>
      </c>
      <c r="K73" s="1">
        <f>_xlfn.IFNA(VLOOKUP(H73,'MCIA Cases'!$A$2:$R$1091,10,FALSE)," ")</f>
        <v>0</v>
      </c>
      <c r="L73" s="1" t="str">
        <f>_xlfn.IFNA(VLOOKUP(H73,'MCIA Cases'!$A$2:$R$1091,3,FALSE)," ")</f>
        <v>Jeremy Remme</v>
      </c>
      <c r="M73" s="1">
        <f>IF(COUNTIF('MCIA Corrective Actions'!$A:$A,H73)=0," ",COUNTIF('MCIA Corrective Actions'!$A:$A,H73))</f>
        <v>4</v>
      </c>
      <c r="N73" s="1">
        <f>IF(COUNTIF('MCIA Corrective Actions'!$A:$A,H73)=0," ",COUNTIFS('MCIA Corrective Actions'!$A:$A,H73,'MCIA Corrective Actions'!N:N,"Yes"))</f>
        <v>4</v>
      </c>
      <c r="O73" s="1" t="str">
        <f>_xlfn.IFNA(VLOOKUP(H73,'MCIA Corrective Actions'!$A$2:$R$1092,6,FALSE)," ")</f>
        <v>Jeremy Remme</v>
      </c>
      <c r="P73" s="1"/>
    </row>
    <row r="74" spans="1:16" x14ac:dyDescent="0.25">
      <c r="B74" s="127" t="str">
        <f>_xlfn.IFNA(VLOOKUP(VLOOKUP(H74,'MCIA Cases'!$A$2:$AB$1091,26,FALSE),Summary!$J$43:$K$264,2,FALSE)," ")</f>
        <v xml:space="preserve"> </v>
      </c>
      <c r="C74" s="107" t="str">
        <f>_xlfn.IFNA(VLOOKUP(H74,'MCIA Cases'!$A$2:$R$1091,15,FALSE)," ")</f>
        <v>Wade Eldridge</v>
      </c>
      <c r="H74" s="1">
        <v>291</v>
      </c>
      <c r="I74" s="1" t="str">
        <f>_xlfn.IFNA(VLOOKUP(H74,'MCIA Cases'!$A$2:$R$1091,2,FALSE)," ")</f>
        <v>Dredge 53 Fire</v>
      </c>
      <c r="J74" s="1">
        <f>_xlfn.IFNA(VLOOKUP(H74,'MCIA Cases'!$A$2:$R$1091,9,FALSE)," ")</f>
        <v>0</v>
      </c>
      <c r="K74" s="1">
        <f>_xlfn.IFNA(VLOOKUP(H74,'MCIA Cases'!$A$2:$R$1091,10,FALSE)," ")</f>
        <v>0</v>
      </c>
      <c r="L74" s="1" t="str">
        <f>_xlfn.IFNA(VLOOKUP(H74,'MCIA Cases'!$A$2:$R$1091,3,FALSE)," ")</f>
        <v>Michael Jimenez</v>
      </c>
      <c r="M74" s="1">
        <f>IF(COUNTIF('MCIA Corrective Actions'!$A:$A,H74)=0," ",COUNTIF('MCIA Corrective Actions'!$A:$A,H74))</f>
        <v>4</v>
      </c>
      <c r="N74" s="1">
        <f>IF(COUNTIF('MCIA Corrective Actions'!$A:$A,H74)=0," ",COUNTIFS('MCIA Corrective Actions'!$A:$A,H74,'MCIA Corrective Actions'!N:N,"Yes"))</f>
        <v>4</v>
      </c>
      <c r="O74" s="1" t="str">
        <f>_xlfn.IFNA(VLOOKUP(H74,'MCIA Corrective Actions'!$A$2:$R$1092,6,FALSE)," ")</f>
        <v>James C Gillespie</v>
      </c>
      <c r="P74" s="1"/>
    </row>
    <row r="75" spans="1:16" x14ac:dyDescent="0.25">
      <c r="B75" s="127" t="str">
        <f>_xlfn.IFNA(VLOOKUP(VLOOKUP(H75,'MCIA Cases'!$A$2:$AB$1091,26,FALSE),Summary!$J$43:$K$264,2,FALSE)," ")</f>
        <v xml:space="preserve"> </v>
      </c>
      <c r="C75" s="107" t="str">
        <f>_xlfn.IFNA(VLOOKUP(H75,'MCIA Cases'!$A$2:$R$1091,15,FALSE)," ")</f>
        <v>Andrew Larkin</v>
      </c>
      <c r="H75" s="1">
        <v>293</v>
      </c>
      <c r="I75" s="1" t="str">
        <f>_xlfn.IFNA(VLOOKUP(H75,'MCIA Cases'!$A$2:$R$1091,2,FALSE)," ")</f>
        <v xml:space="preserve">DR NY Main Engine PP1 Seal Failure </v>
      </c>
      <c r="J75" s="1">
        <f>_xlfn.IFNA(VLOOKUP(H75,'MCIA Cases'!$A$2:$R$1091,9,FALSE)," ")</f>
        <v>0</v>
      </c>
      <c r="K75" s="1">
        <f>_xlfn.IFNA(VLOOKUP(H75,'MCIA Cases'!$A$2:$R$1091,10,FALSE)," ")</f>
        <v>0</v>
      </c>
      <c r="L75" s="1" t="str">
        <f>_xlfn.IFNA(VLOOKUP(H75,'MCIA Cases'!$A$2:$R$1091,3,FALSE)," ")</f>
        <v>Andrew Larkin</v>
      </c>
      <c r="M75" s="1">
        <f>IF(COUNTIF('MCIA Corrective Actions'!$A:$A,H75)=0," ",COUNTIF('MCIA Corrective Actions'!$A:$A,H75))</f>
        <v>3</v>
      </c>
      <c r="N75" s="1">
        <f>IF(COUNTIF('MCIA Corrective Actions'!$A:$A,H75)=0," ",COUNTIFS('MCIA Corrective Actions'!$A:$A,H75,'MCIA Corrective Actions'!N:N,"Yes"))</f>
        <v>2</v>
      </c>
      <c r="O75" s="1" t="str">
        <f>_xlfn.IFNA(VLOOKUP(H75,'MCIA Corrective Actions'!$A$2:$R$1092,6,FALSE)," ")</f>
        <v>Jose Gracia</v>
      </c>
      <c r="P75" s="1"/>
    </row>
    <row r="76" spans="1:16" x14ac:dyDescent="0.25">
      <c r="B76" s="127" t="str">
        <f>_xlfn.IFNA(VLOOKUP(VLOOKUP(H76,'MCIA Cases'!$A$2:$AB$1091,26,FALSE),Summary!$J$43:$K$264,2,FALSE)," ")</f>
        <v xml:space="preserve"> </v>
      </c>
      <c r="C76" s="107" t="str">
        <f>_xlfn.IFNA(VLOOKUP(H76,'MCIA Cases'!$A$2:$R$1091,15,FALSE)," ")</f>
        <v>Jaclyn Abrams</v>
      </c>
      <c r="H76" s="1">
        <v>301</v>
      </c>
      <c r="I76" s="1" t="str">
        <f>_xlfn.IFNA(VLOOKUP(H76,'MCIA Cases'!$A$2:$R$1091,2,FALSE)," ")</f>
        <v>Dredge New York A-frame Damage</v>
      </c>
      <c r="J76" s="1">
        <f>_xlfn.IFNA(VLOOKUP(H76,'MCIA Cases'!$A$2:$R$1091,9,FALSE)," ")</f>
        <v>0</v>
      </c>
      <c r="K76" s="1">
        <f>_xlfn.IFNA(VLOOKUP(H76,'MCIA Cases'!$A$2:$R$1091,10,FALSE)," ")</f>
        <v>0</v>
      </c>
      <c r="L76" s="1" t="str">
        <f>_xlfn.IFNA(VLOOKUP(H76,'MCIA Cases'!$A$2:$R$1091,3,FALSE)," ")</f>
        <v>Jaclyn Abrams</v>
      </c>
      <c r="M76" s="1">
        <f>IF(COUNTIF('MCIA Corrective Actions'!$A:$A,H76)=0," ",COUNTIF('MCIA Corrective Actions'!$A:$A,H76))</f>
        <v>4</v>
      </c>
      <c r="N76" s="1">
        <f>IF(COUNTIF('MCIA Corrective Actions'!$A:$A,H76)=0," ",COUNTIFS('MCIA Corrective Actions'!$A:$A,H76,'MCIA Corrective Actions'!N:N,"Yes"))</f>
        <v>4</v>
      </c>
      <c r="O76" s="1" t="str">
        <f>_xlfn.IFNA(VLOOKUP(H76,'MCIA Corrective Actions'!$A$2:$R$1092,6,FALSE)," ")</f>
        <v>Andrew Larkin</v>
      </c>
      <c r="P76" s="1"/>
    </row>
    <row r="77" spans="1:16" x14ac:dyDescent="0.25">
      <c r="B77" s="127" t="s">
        <v>2400</v>
      </c>
      <c r="C77" s="107" t="str">
        <f>_xlfn.IFNA(VLOOKUP(H77,'MCIA Cases'!$A$2:$R$1091,15,FALSE)," ")</f>
        <v>James M Walker</v>
      </c>
      <c r="H77" s="1">
        <v>302</v>
      </c>
      <c r="I77" s="1" t="str">
        <f>_xlfn.IFNA(VLOOKUP(H77,'MCIA Cases'!$A$2:$R$1091,2,FALSE)," ")</f>
        <v>20190523 Ellis Island Hull Damage</v>
      </c>
      <c r="J77" s="1">
        <f>_xlfn.IFNA(VLOOKUP(H77,'MCIA Cases'!$A$2:$R$1091,9,FALSE)," ")</f>
        <v>0</v>
      </c>
      <c r="K77" s="1">
        <f>_xlfn.IFNA(VLOOKUP(H77,'MCIA Cases'!$A$2:$R$1091,10,FALSE)," ")</f>
        <v>0</v>
      </c>
      <c r="L77" s="1" t="str">
        <f>_xlfn.IFNA(VLOOKUP(H77,'MCIA Cases'!$A$2:$R$1091,3,FALSE)," ")</f>
        <v>James M Walker</v>
      </c>
      <c r="M77" s="1">
        <f>IF(COUNTIF('MCIA Corrective Actions'!$A:$A,H77)=0," ",COUNTIF('MCIA Corrective Actions'!$A:$A,H77))</f>
        <v>3</v>
      </c>
      <c r="N77" s="1">
        <f>IF(COUNTIF('MCIA Corrective Actions'!$A:$A,H77)=0," ",COUNTIFS('MCIA Corrective Actions'!$A:$A,H77,'MCIA Corrective Actions'!N:N,"Yes"))</f>
        <v>1</v>
      </c>
      <c r="O77" s="1" t="str">
        <f>_xlfn.IFNA(VLOOKUP(H77,'MCIA Corrective Actions'!$A$2:$R$1092,6,FALSE)," ")</f>
        <v>James M Walker</v>
      </c>
      <c r="P77" s="1"/>
    </row>
    <row r="78" spans="1:16" x14ac:dyDescent="0.25">
      <c r="B78" s="127" t="str">
        <f>_xlfn.IFNA(VLOOKUP(VLOOKUP(H78,'MCIA Cases'!$A$2:$AB$1091,26,FALSE),Summary!$J$43:$K$264,2,FALSE)," ")</f>
        <v xml:space="preserve"> </v>
      </c>
      <c r="C78" s="107" t="str">
        <f>_xlfn.IFNA(VLOOKUP(H78,'MCIA Cases'!$A$2:$R$1091,15,FALSE)," ")</f>
        <v>David Burlew</v>
      </c>
      <c r="H78" s="1">
        <v>308</v>
      </c>
      <c r="I78" s="1" t="str">
        <f>_xlfn.IFNA(VLOOKUP(H78,'MCIA Cases'!$A$2:$R$1091,2,FALSE)," ")</f>
        <v>Dredge 54 - Boom Damage</v>
      </c>
      <c r="J78" s="1">
        <f>_xlfn.IFNA(VLOOKUP(H78,'MCIA Cases'!$A$2:$R$1091,9,FALSE)," ")</f>
        <v>0</v>
      </c>
      <c r="K78" s="1">
        <f>_xlfn.IFNA(VLOOKUP(H78,'MCIA Cases'!$A$2:$R$1091,10,FALSE)," ")</f>
        <v>0</v>
      </c>
      <c r="L78" s="1" t="str">
        <f>_xlfn.IFNA(VLOOKUP(H78,'MCIA Cases'!$A$2:$R$1091,3,FALSE)," ")</f>
        <v>Armand F Riehl</v>
      </c>
      <c r="M78" s="1">
        <f>IF(COUNTIF('MCIA Corrective Actions'!$A:$A,H78)=0," ",COUNTIF('MCIA Corrective Actions'!$A:$A,H78))</f>
        <v>2</v>
      </c>
      <c r="N78" s="1">
        <f>IF(COUNTIF('MCIA Corrective Actions'!$A:$A,H78)=0," ",COUNTIFS('MCIA Corrective Actions'!$A:$A,H78,'MCIA Corrective Actions'!N:N,"Yes"))</f>
        <v>1</v>
      </c>
      <c r="O78" s="1" t="str">
        <f>_xlfn.IFNA(VLOOKUP(H78,'MCIA Corrective Actions'!$A$2:$R$1092,6,FALSE)," ")</f>
        <v>Andrew Larkin</v>
      </c>
      <c r="P78" s="1"/>
    </row>
    <row r="79" spans="1:16" x14ac:dyDescent="0.25">
      <c r="B79" s="127" t="str">
        <f>_xlfn.IFNA(VLOOKUP(VLOOKUP(H79,'MCIA Cases'!$A$2:$AB$1091,26,FALSE),Summary!$J$43:$K$264,2,FALSE)," ")</f>
        <v xml:space="preserve"> </v>
      </c>
      <c r="C79" s="107" t="str">
        <f>_xlfn.IFNA(VLOOKUP(H79,'MCIA Cases'!$A$2:$R$1091,15,FALSE)," ")</f>
        <v>Christopher Latino</v>
      </c>
      <c r="H79" s="1">
        <v>311</v>
      </c>
      <c r="I79" s="1" t="str">
        <f>_xlfn.IFNA(VLOOKUP(H79,'MCIA Cases'!$A$2:$R$1091,2,FALSE)," ")</f>
        <v>Calcasieu River Multibeam Head Damage</v>
      </c>
      <c r="J79" s="1">
        <f>_xlfn.IFNA(VLOOKUP(H79,'MCIA Cases'!$A$2:$R$1091,9,FALSE)," ")</f>
        <v>0</v>
      </c>
      <c r="K79" s="1">
        <f>_xlfn.IFNA(VLOOKUP(H79,'MCIA Cases'!$A$2:$R$1091,10,FALSE)," ")</f>
        <v>0</v>
      </c>
      <c r="L79" s="1" t="str">
        <f>_xlfn.IFNA(VLOOKUP(H79,'MCIA Cases'!$A$2:$R$1091,3,FALSE)," ")</f>
        <v>Claire Bradford</v>
      </c>
      <c r="M79" s="1">
        <f>IF(COUNTIF('MCIA Corrective Actions'!$A:$A,H79)=0," ",COUNTIF('MCIA Corrective Actions'!$A:$A,H79))</f>
        <v>6</v>
      </c>
      <c r="N79" s="1">
        <f>IF(COUNTIF('MCIA Corrective Actions'!$A:$A,H79)=0," ",COUNTIFS('MCIA Corrective Actions'!$A:$A,H79,'MCIA Corrective Actions'!N:N,"Yes"))</f>
        <v>5</v>
      </c>
      <c r="O79" s="1" t="str">
        <f>_xlfn.IFNA(VLOOKUP(H79,'MCIA Corrective Actions'!$A$2:$R$1092,6,FALSE)," ")</f>
        <v>Armand F Riehl</v>
      </c>
      <c r="P79" s="1"/>
    </row>
    <row r="80" spans="1:16" x14ac:dyDescent="0.25">
      <c r="B80" s="127" t="s">
        <v>2386</v>
      </c>
      <c r="C80" s="107" t="str">
        <f>_xlfn.IFNA(VLOOKUP(H80,'MCIA Cases'!$A$2:$R$1091,15,FALSE)," ")</f>
        <v>Brian Goetchius</v>
      </c>
      <c r="H80" s="1">
        <v>314</v>
      </c>
      <c r="I80" s="1" t="str">
        <f>_xlfn.IFNA(VLOOKUP(H80,'MCIA Cases'!$A$2:$R$1091,2,FALSE)," ")</f>
        <v>DR 58 - Boom Point Sheave Bearing Failure</v>
      </c>
      <c r="J80" s="1">
        <f>_xlfn.IFNA(VLOOKUP(H80,'MCIA Cases'!$A$2:$R$1091,9,FALSE)," ")</f>
        <v>0</v>
      </c>
      <c r="K80" s="1">
        <f>_xlfn.IFNA(VLOOKUP(H80,'MCIA Cases'!$A$2:$R$1091,10,FALSE)," ")</f>
        <v>0</v>
      </c>
      <c r="L80" s="1" t="str">
        <f>_xlfn.IFNA(VLOOKUP(H80,'MCIA Cases'!$A$2:$R$1091,3,FALSE)," ")</f>
        <v>Andrew Larkin</v>
      </c>
      <c r="M80" s="1">
        <f>IF(COUNTIF('MCIA Corrective Actions'!$A:$A,H80)=0," ",COUNTIF('MCIA Corrective Actions'!$A:$A,H80))</f>
        <v>3</v>
      </c>
      <c r="N80" s="1">
        <f>IF(COUNTIF('MCIA Corrective Actions'!$A:$A,H80)=0," ",COUNTIFS('MCIA Corrective Actions'!$A:$A,H80,'MCIA Corrective Actions'!N:N,"Yes"))</f>
        <v>2</v>
      </c>
      <c r="O80" s="1" t="str">
        <f>_xlfn.IFNA(VLOOKUP(H80,'MCIA Corrective Actions'!$A$2:$R$1092,6,FALSE)," ")</f>
        <v>Brian Goetchius</v>
      </c>
      <c r="P80" s="1"/>
    </row>
    <row r="81" spans="2:16" x14ac:dyDescent="0.25">
      <c r="B81" s="127" t="str">
        <f>_xlfn.IFNA(VLOOKUP(VLOOKUP(H81,'MCIA Cases'!$A$2:$AB$1091,26,FALSE),Summary!$J$43:$K$264,2,FALSE)," ")</f>
        <v xml:space="preserve"> </v>
      </c>
      <c r="C81" s="107" t="str">
        <f>_xlfn.IFNA(VLOOKUP(H81,'MCIA Cases'!$A$2:$R$1091,15,FALSE)," ")</f>
        <v>Andrew Larkin</v>
      </c>
      <c r="H81" s="1">
        <v>316</v>
      </c>
      <c r="I81" s="1" t="str">
        <f>_xlfn.IFNA(VLOOKUP(H81,'MCIA Cases'!$A$2:$R$1091,2,FALSE)," ")</f>
        <v>DR 54 - Broken Spud Adjustment Bolts</v>
      </c>
      <c r="J81" s="1">
        <f>_xlfn.IFNA(VLOOKUP(H81,'MCIA Cases'!$A$2:$R$1091,9,FALSE)," ")</f>
        <v>0</v>
      </c>
      <c r="K81" s="1">
        <f>_xlfn.IFNA(VLOOKUP(H81,'MCIA Cases'!$A$2:$R$1091,10,FALSE)," ")</f>
        <v>0</v>
      </c>
      <c r="L81" s="1" t="str">
        <f>_xlfn.IFNA(VLOOKUP(H81,'MCIA Cases'!$A$2:$R$1091,3,FALSE)," ")</f>
        <v>Andrew Larkin</v>
      </c>
      <c r="M81" s="1">
        <f>IF(COUNTIF('MCIA Corrective Actions'!$A:$A,H81)=0," ",COUNTIF('MCIA Corrective Actions'!$A:$A,H81))</f>
        <v>4</v>
      </c>
      <c r="N81" s="1">
        <f>IF(COUNTIF('MCIA Corrective Actions'!$A:$A,H81)=0," ",COUNTIFS('MCIA Corrective Actions'!$A:$A,H81,'MCIA Corrective Actions'!N:N,"Yes"))</f>
        <v>3</v>
      </c>
      <c r="O81" s="1" t="str">
        <f>_xlfn.IFNA(VLOOKUP(H81,'MCIA Corrective Actions'!$A$2:$R$1092,6,FALSE)," ")</f>
        <v>Brian Goetchius</v>
      </c>
      <c r="P81" s="1"/>
    </row>
    <row r="82" spans="2:16" x14ac:dyDescent="0.25">
      <c r="B82" s="127" t="str">
        <f>_xlfn.IFNA(VLOOKUP(VLOOKUP(H82,'MCIA Cases'!$A$2:$AB$1091,26,FALSE),Summary!$J$43:$K$264,2,FALSE)," ")</f>
        <v xml:space="preserve"> </v>
      </c>
      <c r="C82" s="107" t="str">
        <f>_xlfn.IFNA(VLOOKUP(H82,'MCIA Cases'!$A$2:$R$1091,15,FALSE)," ")</f>
        <v>Sherif Abdelgafar</v>
      </c>
      <c r="H82" s="1">
        <v>323</v>
      </c>
      <c r="I82" s="1" t="str">
        <f>_xlfn.IFNA(VLOOKUP(H82,'MCIA Cases'!$A$2:$R$1091,2,FALSE)," ")</f>
        <v>Unloader 398 Failure</v>
      </c>
      <c r="J82" s="1">
        <f>_xlfn.IFNA(VLOOKUP(H82,'MCIA Cases'!$A$2:$R$1091,9,FALSE)," ")</f>
        <v>0</v>
      </c>
      <c r="K82" s="1">
        <f>_xlfn.IFNA(VLOOKUP(H82,'MCIA Cases'!$A$2:$R$1091,10,FALSE)," ")</f>
        <v>0</v>
      </c>
      <c r="L82" s="1" t="str">
        <f>_xlfn.IFNA(VLOOKUP(H82,'MCIA Cases'!$A$2:$R$1091,3,FALSE)," ")</f>
        <v>Andrew Larkin</v>
      </c>
      <c r="M82" s="1">
        <f>IF(COUNTIF('MCIA Corrective Actions'!$A:$A,H82)=0," ",COUNTIF('MCIA Corrective Actions'!$A:$A,H82))</f>
        <v>3</v>
      </c>
      <c r="N82" s="1">
        <f>IF(COUNTIF('MCIA Corrective Actions'!$A:$A,H82)=0," ",COUNTIFS('MCIA Corrective Actions'!$A:$A,H82,'MCIA Corrective Actions'!N:N,"Yes"))</f>
        <v>1</v>
      </c>
      <c r="O82" s="1" t="str">
        <f>_xlfn.IFNA(VLOOKUP(H82,'MCIA Corrective Actions'!$A$2:$R$1092,6,FALSE)," ")</f>
        <v>Harold E Valentine</v>
      </c>
      <c r="P82" s="1"/>
    </row>
    <row r="83" spans="2:16" x14ac:dyDescent="0.25">
      <c r="B83" s="127" t="str">
        <f>_xlfn.IFNA(VLOOKUP(VLOOKUP(H83,'MCIA Cases'!$A$2:$AB$1091,26,FALSE),Summary!$J$43:$K$264,2,FALSE)," ")</f>
        <v xml:space="preserve"> </v>
      </c>
      <c r="C83" s="107" t="str">
        <f>_xlfn.IFNA(VLOOKUP(H83,'MCIA Cases'!$A$2:$R$1091,15,FALSE)," ")</f>
        <v>Sherry Turner</v>
      </c>
      <c r="H83" s="1">
        <v>324</v>
      </c>
      <c r="I83" s="1" t="str">
        <f>_xlfn.IFNA(VLOOKUP(H83,'MCIA Cases'!$A$2:$R$1091,2,FALSE)," ")</f>
        <v>Dredge Illinois Fuel Spill</v>
      </c>
      <c r="J83" s="1">
        <f>_xlfn.IFNA(VLOOKUP(H83,'MCIA Cases'!$A$2:$R$1091,9,FALSE)," ")</f>
        <v>0</v>
      </c>
      <c r="K83" s="1">
        <f>_xlfn.IFNA(VLOOKUP(H83,'MCIA Cases'!$A$2:$R$1091,10,FALSE)," ")</f>
        <v>0</v>
      </c>
      <c r="L83" s="1" t="str">
        <f>_xlfn.IFNA(VLOOKUP(H83,'MCIA Cases'!$A$2:$R$1091,3,FALSE)," ")</f>
        <v>Sherry Turner</v>
      </c>
      <c r="M83" s="1">
        <f>IF(COUNTIF('MCIA Corrective Actions'!$A:$A,H83)=0," ",COUNTIF('MCIA Corrective Actions'!$A:$A,H83))</f>
        <v>1</v>
      </c>
      <c r="N83" s="1">
        <f>IF(COUNTIF('MCIA Corrective Actions'!$A:$A,H83)=0," ",COUNTIFS('MCIA Corrective Actions'!$A:$A,H83,'MCIA Corrective Actions'!N:N,"Yes"))</f>
        <v>1</v>
      </c>
      <c r="O83" s="1" t="str">
        <f>_xlfn.IFNA(VLOOKUP(H83,'MCIA Corrective Actions'!$A$2:$R$1092,6,FALSE)," ")</f>
        <v>Keith Pearse</v>
      </c>
      <c r="P83" s="1"/>
    </row>
    <row r="84" spans="2:16" x14ac:dyDescent="0.25">
      <c r="B84" s="127" t="s">
        <v>2</v>
      </c>
      <c r="C84" s="107" t="str">
        <f>_xlfn.IFNA(VLOOKUP(H84,'MCIA Cases'!$A$2:$R$1091,15,FALSE)," ")</f>
        <v>Tim Riehl</v>
      </c>
      <c r="H84" s="1">
        <v>327</v>
      </c>
      <c r="I84" s="1" t="str">
        <f>_xlfn.IFNA(VLOOKUP(H84,'MCIA Cases'!$A$2:$R$1091,2,FALSE)," ")</f>
        <v>Alaska Christmas Tree Failure</v>
      </c>
      <c r="J84" s="1">
        <f>_xlfn.IFNA(VLOOKUP(H84,'MCIA Cases'!$A$2:$R$1091,9,FALSE)," ")</f>
        <v>0</v>
      </c>
      <c r="K84" s="1">
        <f>_xlfn.IFNA(VLOOKUP(H84,'MCIA Cases'!$A$2:$R$1091,10,FALSE)," ")</f>
        <v>0</v>
      </c>
      <c r="L84" s="1" t="str">
        <f>_xlfn.IFNA(VLOOKUP(H84,'MCIA Cases'!$A$2:$R$1091,3,FALSE)," ")</f>
        <v>Tim Riehl</v>
      </c>
      <c r="M84" s="1">
        <f>IF(COUNTIF('MCIA Corrective Actions'!$A:$A,H84)=0," ",COUNTIF('MCIA Corrective Actions'!$A:$A,H84))</f>
        <v>1</v>
      </c>
      <c r="N84" s="1">
        <f>IF(COUNTIF('MCIA Corrective Actions'!$A:$A,H84)=0," ",COUNTIFS('MCIA Corrective Actions'!$A:$A,H84,'MCIA Corrective Actions'!N:N,"Yes"))</f>
        <v>1</v>
      </c>
      <c r="O84" s="1" t="str">
        <f>_xlfn.IFNA(VLOOKUP(H84,'MCIA Corrective Actions'!$A$2:$R$1092,6,FALSE)," ")</f>
        <v>Tim Riehl</v>
      </c>
      <c r="P84" s="1"/>
    </row>
    <row r="85" spans="2:16" x14ac:dyDescent="0.25">
      <c r="B85" s="127" t="str">
        <f>_xlfn.IFNA(VLOOKUP(VLOOKUP(H85,'MCIA Cases'!$A$2:$AB$1091,26,FALSE),Summary!$J$43:$K$264,2,FALSE)," ")</f>
        <v xml:space="preserve"> </v>
      </c>
      <c r="C85" s="107" t="str">
        <f>_xlfn.IFNA(VLOOKUP(H85,'MCIA Cases'!$A$2:$R$1091,15,FALSE)," ")</f>
        <v>Andrew Larkin</v>
      </c>
      <c r="H85" s="1">
        <v>328</v>
      </c>
      <c r="I85" s="1" t="str">
        <f>_xlfn.IFNA(VLOOKUP(H85,'MCIA Cases'!$A$2:$R$1091,2,FALSE)," ")</f>
        <v>DR 55 Fuel Spill</v>
      </c>
      <c r="J85" s="1">
        <f>_xlfn.IFNA(VLOOKUP(H85,'MCIA Cases'!$A$2:$R$1091,9,FALSE)," ")</f>
        <v>0</v>
      </c>
      <c r="K85" s="1">
        <f>_xlfn.IFNA(VLOOKUP(H85,'MCIA Cases'!$A$2:$R$1091,10,FALSE)," ")</f>
        <v>0</v>
      </c>
      <c r="L85" s="1" t="str">
        <f>_xlfn.IFNA(VLOOKUP(H85,'MCIA Cases'!$A$2:$R$1091,3,FALSE)," ")</f>
        <v>Andrew Larkin</v>
      </c>
      <c r="M85" s="1">
        <f>IF(COUNTIF('MCIA Corrective Actions'!$A:$A,H85)=0," ",COUNTIF('MCIA Corrective Actions'!$A:$A,H85))</f>
        <v>3</v>
      </c>
      <c r="N85" s="1">
        <f>IF(COUNTIF('MCIA Corrective Actions'!$A:$A,H85)=0," ",COUNTIFS('MCIA Corrective Actions'!$A:$A,H85,'MCIA Corrective Actions'!N:N,"Yes"))</f>
        <v>1</v>
      </c>
      <c r="O85" s="1" t="str">
        <f>_xlfn.IFNA(VLOOKUP(H85,'MCIA Corrective Actions'!$A$2:$R$1092,6,FALSE)," ")</f>
        <v>Brian Goetchius</v>
      </c>
      <c r="P85" s="1"/>
    </row>
    <row r="86" spans="2:16" x14ac:dyDescent="0.25">
      <c r="B86" s="127" t="str">
        <f>_xlfn.IFNA(VLOOKUP(VLOOKUP(H86,'MCIA Cases'!$A$2:$AB$1091,26,FALSE),Summary!$J$43:$K$264,2,FALSE)," ")</f>
        <v xml:space="preserve"> </v>
      </c>
      <c r="C86" s="107" t="str">
        <f>_xlfn.IFNA(VLOOKUP(H86,'MCIA Cases'!$A$2:$R$1091,15,FALSE)," ")</f>
        <v>Terry Wright</v>
      </c>
      <c r="H86" s="1">
        <v>329</v>
      </c>
      <c r="I86" s="1" t="str">
        <f>_xlfn.IFNA(VLOOKUP(H86,'MCIA Cases'!$A$2:$R$1091,2,FALSE)," ")</f>
        <v>UWP Blown Out Seal Dredge Illinois</v>
      </c>
      <c r="J86" s="1">
        <f>_xlfn.IFNA(VLOOKUP(H86,'MCIA Cases'!$A$2:$R$1091,9,FALSE)," ")</f>
        <v>0</v>
      </c>
      <c r="K86" s="1">
        <f>_xlfn.IFNA(VLOOKUP(H86,'MCIA Cases'!$A$2:$R$1091,10,FALSE)," ")</f>
        <v>0</v>
      </c>
      <c r="L86" s="1" t="str">
        <f>_xlfn.IFNA(VLOOKUP(H86,'MCIA Cases'!$A$2:$R$1091,3,FALSE)," ")</f>
        <v>Terry Wright</v>
      </c>
      <c r="M86" s="1">
        <f>IF(COUNTIF('MCIA Corrective Actions'!$A:$A,H86)=0," ",COUNTIF('MCIA Corrective Actions'!$A:$A,H86))</f>
        <v>1</v>
      </c>
      <c r="N86" s="1">
        <f>IF(COUNTIF('MCIA Corrective Actions'!$A:$A,H86)=0," ",COUNTIFS('MCIA Corrective Actions'!$A:$A,H86,'MCIA Corrective Actions'!N:N,"Yes"))</f>
        <v>0</v>
      </c>
      <c r="O86" s="1" t="str">
        <f>_xlfn.IFNA(VLOOKUP(H86,'MCIA Corrective Actions'!$A$2:$R$1092,6,FALSE)," ")</f>
        <v>Terry Wright</v>
      </c>
      <c r="P86" s="1"/>
    </row>
    <row r="87" spans="2:16" x14ac:dyDescent="0.25">
      <c r="B87" s="127" t="str">
        <f>_xlfn.IFNA(VLOOKUP(VLOOKUP(H87,'MCIA Cases'!$A$2:$AB$1091,26,FALSE),Summary!$J$43:$K$264,2,FALSE)," ")</f>
        <v xml:space="preserve"> </v>
      </c>
      <c r="C87" s="107" t="str">
        <f>_xlfn.IFNA(VLOOKUP(H87,'MCIA Cases'!$A$2:$R$1091,15,FALSE)," ")</f>
        <v>Bill Baumann</v>
      </c>
      <c r="H87" s="1">
        <v>331</v>
      </c>
      <c r="I87" s="1" t="str">
        <f>_xlfn.IFNA(VLOOKUP(H87,'MCIA Cases'!$A$2:$R$1091,2,FALSE)," ")</f>
        <v>Carolina cutter tailshaft / coupling failure</v>
      </c>
      <c r="J87" s="1">
        <f>_xlfn.IFNA(VLOOKUP(H87,'MCIA Cases'!$A$2:$R$1091,9,FALSE)," ")</f>
        <v>0</v>
      </c>
      <c r="K87" s="1">
        <f>_xlfn.IFNA(VLOOKUP(H87,'MCIA Cases'!$A$2:$R$1091,10,FALSE)," ")</f>
        <v>0</v>
      </c>
      <c r="L87" s="1" t="str">
        <f>_xlfn.IFNA(VLOOKUP(H87,'MCIA Cases'!$A$2:$R$1091,3,FALSE)," ")</f>
        <v>Bill Baumann</v>
      </c>
      <c r="M87" s="1">
        <f>IF(COUNTIF('MCIA Corrective Actions'!$A:$A,H87)=0," ",COUNTIF('MCIA Corrective Actions'!$A:$A,H87))</f>
        <v>3</v>
      </c>
      <c r="N87" s="1">
        <f>IF(COUNTIF('MCIA Corrective Actions'!$A:$A,H87)=0," ",COUNTIFS('MCIA Corrective Actions'!$A:$A,H87,'MCIA Corrective Actions'!N:N,"Yes"))</f>
        <v>0</v>
      </c>
      <c r="O87" s="1" t="str">
        <f>_xlfn.IFNA(VLOOKUP(H87,'MCIA Corrective Actions'!$A$2:$R$1092,6,FALSE)," ")</f>
        <v>Steven W  Becker</v>
      </c>
      <c r="P87" s="1"/>
    </row>
    <row r="88" spans="2:16" x14ac:dyDescent="0.25">
      <c r="B88" s="127" t="str">
        <f>_xlfn.IFNA(VLOOKUP(VLOOKUP(H88,'MCIA Cases'!$A$2:$AB$1091,26,FALSE),Summary!$J$43:$K$264,2,FALSE)," ")</f>
        <v xml:space="preserve"> </v>
      </c>
      <c r="C88" s="107" t="str">
        <f>_xlfn.IFNA(VLOOKUP(H88,'MCIA Cases'!$A$2:$R$1091,15,FALSE)," ")</f>
        <v>Terry Wright</v>
      </c>
      <c r="H88" s="1">
        <v>332</v>
      </c>
      <c r="I88" s="1" t="str">
        <f>_xlfn.IFNA(VLOOKUP(H88,'MCIA Cases'!$A$2:$R$1091,2,FALSE)," ")</f>
        <v>Swing Motor Failure Dredge Illinois</v>
      </c>
      <c r="J88" s="1">
        <f>_xlfn.IFNA(VLOOKUP(H88,'MCIA Cases'!$A$2:$R$1091,9,FALSE)," ")</f>
        <v>0</v>
      </c>
      <c r="K88" s="1">
        <f>_xlfn.IFNA(VLOOKUP(H88,'MCIA Cases'!$A$2:$R$1091,10,FALSE)," ")</f>
        <v>0</v>
      </c>
      <c r="L88" s="1" t="str">
        <f>_xlfn.IFNA(VLOOKUP(H88,'MCIA Cases'!$A$2:$R$1091,3,FALSE)," ")</f>
        <v>Terry Wright</v>
      </c>
      <c r="M88" s="1">
        <f>IF(COUNTIF('MCIA Corrective Actions'!$A:$A,H88)=0," ",COUNTIF('MCIA Corrective Actions'!$A:$A,H88))</f>
        <v>1</v>
      </c>
      <c r="N88" s="1">
        <f>IF(COUNTIF('MCIA Corrective Actions'!$A:$A,H88)=0," ",COUNTIFS('MCIA Corrective Actions'!$A:$A,H88,'MCIA Corrective Actions'!N:N,"Yes"))</f>
        <v>0</v>
      </c>
      <c r="O88" s="1" t="str">
        <f>_xlfn.IFNA(VLOOKUP(H88,'MCIA Corrective Actions'!$A$2:$R$1092,6,FALSE)," ")</f>
        <v>Jose Gracia</v>
      </c>
      <c r="P88" s="1"/>
    </row>
    <row r="89" spans="2:16" x14ac:dyDescent="0.25">
      <c r="B89" s="127" t="s">
        <v>22</v>
      </c>
      <c r="C89" s="107" t="str">
        <f>_xlfn.IFNA(VLOOKUP(H89,'MCIA Cases'!$A$2:$R$1091,15,FALSE)," ")</f>
        <v>Mike Kraljevic</v>
      </c>
      <c r="H89" s="1">
        <v>333</v>
      </c>
      <c r="I89" s="1" t="str">
        <f>_xlfn.IFNA(VLOOKUP(H89,'MCIA Cases'!$A$2:$R$1091,2,FALSE)," ")</f>
        <v>Terrapin Trunnion slide</v>
      </c>
      <c r="J89" s="1">
        <f>_xlfn.IFNA(VLOOKUP(H89,'MCIA Cases'!$A$2:$R$1091,9,FALSE)," ")</f>
        <v>0</v>
      </c>
      <c r="K89" s="1">
        <f>_xlfn.IFNA(VLOOKUP(H89,'MCIA Cases'!$A$2:$R$1091,10,FALSE)," ")</f>
        <v>0</v>
      </c>
      <c r="L89" s="1" t="str">
        <f>_xlfn.IFNA(VLOOKUP(H89,'MCIA Cases'!$A$2:$R$1091,3,FALSE)," ")</f>
        <v>Mike Kraljevic</v>
      </c>
      <c r="M89" s="1" t="str">
        <f>IF(COUNTIF('MCIA Corrective Actions'!$A:$A,H89)=0," ",COUNTIF('MCIA Corrective Actions'!$A:$A,H89))</f>
        <v xml:space="preserve"> </v>
      </c>
      <c r="N89" s="1" t="str">
        <f>IF(COUNTIF('MCIA Corrective Actions'!$A:$A,H89)=0," ",COUNTIFS('MCIA Corrective Actions'!$A:$A,H89,'MCIA Corrective Actions'!N:N,"Yes"))</f>
        <v xml:space="preserve"> </v>
      </c>
      <c r="O89" s="1" t="str">
        <f>_xlfn.IFNA(VLOOKUP(H89,'MCIA Corrective Actions'!$A$2:$R$1092,6,FALSE)," ")</f>
        <v xml:space="preserve"> </v>
      </c>
      <c r="P89" s="1"/>
    </row>
    <row r="90" spans="2:16" x14ac:dyDescent="0.25">
      <c r="P90" s="1"/>
    </row>
    <row r="91" spans="2:16" x14ac:dyDescent="0.25">
      <c r="P91" s="1"/>
    </row>
  </sheetData>
  <autoFilter ref="B3:P3" xr:uid="{00000000-0009-0000-0000-000007000000}"/>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P86"/>
  <sheetViews>
    <sheetView workbookViewId="0">
      <pane ySplit="3" topLeftCell="A4" activePane="bottomLeft" state="frozen"/>
      <selection activeCell="I56" sqref="I56"/>
      <selection pane="bottomLeft" activeCell="I56" sqref="I56"/>
    </sheetView>
  </sheetViews>
  <sheetFormatPr defaultRowHeight="15" x14ac:dyDescent="0.25"/>
  <cols>
    <col min="1" max="1" width="7.7109375" style="1" hidden="1" customWidth="1"/>
    <col min="2" max="2" width="14.28515625" style="108" bestFit="1" customWidth="1"/>
    <col min="3" max="3" width="10.140625" style="107" bestFit="1" customWidth="1"/>
    <col min="4" max="4" width="9" style="3" bestFit="1" customWidth="1"/>
    <col min="5" max="5" width="46.28515625" style="1" bestFit="1" customWidth="1"/>
    <col min="6" max="6" width="20.85546875" style="109" bestFit="1" customWidth="1"/>
    <col min="7" max="7" width="50.5703125" style="7" customWidth="1"/>
    <col min="8" max="8" width="17.85546875" style="105" bestFit="1" customWidth="1"/>
    <col min="9" max="9" width="43.28515625" bestFit="1" customWidth="1"/>
    <col min="10" max="10" width="11" customWidth="1"/>
    <col min="11" max="11" width="16.5703125" bestFit="1" customWidth="1"/>
    <col min="12" max="12" width="19.140625" bestFit="1" customWidth="1"/>
    <col min="13" max="13" width="12.28515625" customWidth="1"/>
    <col min="14" max="14" width="14.28515625" customWidth="1"/>
    <col min="15" max="15" width="19.140625" bestFit="1" customWidth="1"/>
    <col min="16" max="16" width="13.140625" customWidth="1"/>
  </cols>
  <sheetData>
    <row r="1" spans="1:16" x14ac:dyDescent="0.25">
      <c r="E1" s="11" t="s">
        <v>608</v>
      </c>
    </row>
    <row r="3" spans="1:16" ht="60" x14ac:dyDescent="0.25">
      <c r="A3" s="113" t="s">
        <v>625</v>
      </c>
      <c r="B3" s="114" t="s">
        <v>588</v>
      </c>
      <c r="C3" s="115" t="s">
        <v>656</v>
      </c>
      <c r="D3" s="116" t="s">
        <v>590</v>
      </c>
      <c r="E3" s="113" t="s">
        <v>591</v>
      </c>
      <c r="F3" s="114" t="s">
        <v>592</v>
      </c>
      <c r="G3" s="113" t="s">
        <v>605</v>
      </c>
      <c r="H3" s="113" t="s">
        <v>1276</v>
      </c>
      <c r="I3" s="113" t="s">
        <v>1277</v>
      </c>
      <c r="J3" s="113" t="s">
        <v>657</v>
      </c>
      <c r="K3" s="113" t="s">
        <v>652</v>
      </c>
      <c r="L3" s="113" t="s">
        <v>655</v>
      </c>
      <c r="M3" s="113" t="s">
        <v>653</v>
      </c>
      <c r="N3" s="113" t="s">
        <v>654</v>
      </c>
      <c r="O3" s="113" t="s">
        <v>2273</v>
      </c>
      <c r="P3" s="113" t="s">
        <v>660</v>
      </c>
    </row>
    <row r="4" spans="1:16" x14ac:dyDescent="0.25">
      <c r="A4" s="1">
        <v>177</v>
      </c>
      <c r="B4" s="108">
        <f>VLOOKUP($A4,Table1[['#]:[Vessel]],4,FALSE)</f>
        <v>55</v>
      </c>
      <c r="C4" s="107">
        <f>VLOOKUP($A4,Table1[['#]:[Date]],3,FALSE)</f>
        <v>43831</v>
      </c>
      <c r="D4" s="3">
        <f>VLOOKUP($A4,Table1[['#]:[Hours]],7,FALSE)</f>
        <v>24.5</v>
      </c>
      <c r="E4" s="3" t="str">
        <f>VLOOKUP($A4,Table1[['#]:[System]],8,FALSE)&amp;" / "&amp;VLOOKUP($A4,Table1[['#]:[Subsystem]],9,FALSE)</f>
        <v>Main / Aux. Generators / Main Generator</v>
      </c>
      <c r="F4" s="108" t="str">
        <f>VLOOKUP($A4,Table1[['#]:[Work Order '#]],10,FALSE)</f>
        <v>None</v>
      </c>
      <c r="G4" s="110" t="str">
        <f>VLOOKUP($A4,Table1[['#]:[Delay Log Notes]],11,FALSE)</f>
        <v>Crane Drive trip out, troubleshoot electrical crane</v>
      </c>
      <c r="H4" s="105" t="s">
        <v>611</v>
      </c>
      <c r="I4" s="1" t="str">
        <f>_xlfn.IFNA(VLOOKUP(H4,'MCIA Cases'!$A$2:$R$1091,2,FALSE)," ")</f>
        <v xml:space="preserve"> </v>
      </c>
      <c r="J4" s="1" t="str">
        <f>_xlfn.IFNA(VLOOKUP(H4,'MCIA Cases'!$A$2:$R$1091,9,FALSE)," ")</f>
        <v xml:space="preserve"> </v>
      </c>
      <c r="K4" s="1" t="str">
        <f>_xlfn.IFNA(VLOOKUP(H4,'MCIA Cases'!$A$2:$R$1091,10,FALSE)," ")</f>
        <v xml:space="preserve"> </v>
      </c>
      <c r="L4" s="1" t="str">
        <f>_xlfn.IFNA(VLOOKUP(H4,'MCIA Cases'!$A$2:$R$1091,3,FALSE)," ")</f>
        <v xml:space="preserve"> </v>
      </c>
      <c r="M4" s="1" t="str">
        <f>IF(COUNTIF('MCIA Corrective Actions'!$A:$A,H4)=0," ",COUNTIF('MCIA Corrective Actions'!$A:$A,H4))</f>
        <v xml:space="preserve"> </v>
      </c>
      <c r="N4" s="1" t="str">
        <f>IF(COUNTIF('MCIA Corrective Actions'!$A:$A,H4)=0," ",COUNTIFS('MCIA Corrective Actions'!$A:$A,H4,'MCIA Corrective Actions'!N:N,"Yes"))</f>
        <v xml:space="preserve"> </v>
      </c>
      <c r="O4" s="1" t="str">
        <f>_xlfn.IFNA(VLOOKUP(H4,'MCIA Corrective Actions'!$A$2:$R$1092,6,FALSE)," ")</f>
        <v xml:space="preserve"> </v>
      </c>
      <c r="P4" s="1"/>
    </row>
    <row r="5" spans="1:16" x14ac:dyDescent="0.25">
      <c r="A5" s="1">
        <v>178</v>
      </c>
      <c r="B5" s="108" t="str">
        <f>VLOOKUP($A5,Table1[['#]:[Vessel]],4,FALSE)</f>
        <v>Carolina</v>
      </c>
      <c r="C5" s="107">
        <f>VLOOKUP($A5,Table1[['#]:[Date]],3,FALSE)</f>
        <v>43831</v>
      </c>
      <c r="D5" s="3">
        <f>VLOOKUP($A5,Table1[['#]:[Hours]],7,FALSE)</f>
        <v>174.2</v>
      </c>
      <c r="E5" s="3" t="str">
        <f>VLOOKUP($A5,Table1[['#]:[System]],8,FALSE)&amp;" / "&amp;VLOOKUP($A5,Table1[['#]:[Subsystem]],9,FALSE)</f>
        <v>Cutter / SCR Drive / MG Set</v>
      </c>
      <c r="F5" s="108">
        <f>VLOOKUP($A5,Table1[['#]:[Work Order '#]],10,FALSE)</f>
        <v>1733897</v>
      </c>
      <c r="G5" s="110" t="str">
        <f>VLOOKUP($A5,Table1[['#]:[Delay Log Notes]],11,FALSE)</f>
        <v>troubleshoot, replace SCR drive</v>
      </c>
      <c r="H5" s="105" t="s">
        <v>611</v>
      </c>
      <c r="I5" s="1" t="str">
        <f>_xlfn.IFNA(VLOOKUP(H5,'MCIA Cases'!$A$2:$R$1091,2,FALSE)," ")</f>
        <v xml:space="preserve"> </v>
      </c>
      <c r="J5" s="1" t="str">
        <f>_xlfn.IFNA(VLOOKUP(H5,'MCIA Cases'!$A$2:$R$1091,9,FALSE)," ")</f>
        <v xml:space="preserve"> </v>
      </c>
      <c r="K5" s="1" t="str">
        <f>_xlfn.IFNA(VLOOKUP(H5,'MCIA Cases'!$A$2:$R$1091,10,FALSE)," ")</f>
        <v xml:space="preserve"> </v>
      </c>
      <c r="L5" s="1" t="str">
        <f>_xlfn.IFNA(VLOOKUP(H5,'MCIA Cases'!$A$2:$R$1091,3,FALSE)," ")</f>
        <v xml:space="preserve"> </v>
      </c>
      <c r="M5" s="1" t="str">
        <f>IF(COUNTIF('MCIA Corrective Actions'!$A:$A,H5)=0," ",COUNTIF('MCIA Corrective Actions'!$A:$A,H5))</f>
        <v xml:space="preserve"> </v>
      </c>
      <c r="N5" s="1" t="str">
        <f>IF(COUNTIF('MCIA Corrective Actions'!$A:$A,H5)=0," ",COUNTIFS('MCIA Corrective Actions'!$A:$A,H5,'MCIA Corrective Actions'!N:N,"Yes"))</f>
        <v xml:space="preserve"> </v>
      </c>
      <c r="O5" s="1" t="str">
        <f>_xlfn.IFNA(VLOOKUP(H5,'MCIA Corrective Actions'!$A$2:$R$1092,6,FALSE)," ")</f>
        <v xml:space="preserve"> </v>
      </c>
      <c r="P5" s="1"/>
    </row>
    <row r="6" spans="1:16" x14ac:dyDescent="0.25">
      <c r="A6" s="1">
        <v>179</v>
      </c>
      <c r="B6" s="108" t="str">
        <f>VLOOKUP($A6,Table1[['#]:[Vessel]],4,FALSE)</f>
        <v>Illinois</v>
      </c>
      <c r="C6" s="107">
        <f>VLOOKUP($A6,Table1[['#]:[Date]],3,FALSE)</f>
        <v>43831</v>
      </c>
      <c r="D6" s="3">
        <f>VLOOKUP($A6,Table1[['#]:[Hours]],7,FALSE)</f>
        <v>194.5</v>
      </c>
      <c r="E6" s="3" t="str">
        <f>VLOOKUP($A6,Table1[['#]:[System]],8,FALSE)&amp;" / "&amp;VLOOKUP($A6,Table1[['#]:[Subsystem]],9,FALSE)</f>
        <v>Swing System / Winch System</v>
      </c>
      <c r="F6" s="108" t="str">
        <f>VLOOKUP($A6,Table1[['#]:[Work Order '#]],10,FALSE)</f>
        <v>0309750</v>
      </c>
      <c r="G6" s="110" t="str">
        <f>VLOOKUP($A6,Table1[['#]:[Delay Log Notes]],11,FALSE)</f>
        <v>None</v>
      </c>
      <c r="H6" s="105" t="s">
        <v>611</v>
      </c>
      <c r="I6" s="1" t="str">
        <f>_xlfn.IFNA(VLOOKUP(H6,'MCIA Cases'!$A$2:$R$1091,2,FALSE)," ")</f>
        <v xml:space="preserve"> </v>
      </c>
      <c r="J6" s="1" t="str">
        <f>_xlfn.IFNA(VLOOKUP(H6,'MCIA Cases'!$A$2:$R$1091,9,FALSE)," ")</f>
        <v xml:space="preserve"> </v>
      </c>
      <c r="K6" s="1" t="str">
        <f>_xlfn.IFNA(VLOOKUP(H6,'MCIA Cases'!$A$2:$R$1091,10,FALSE)," ")</f>
        <v xml:space="preserve"> </v>
      </c>
      <c r="L6" s="1" t="str">
        <f>_xlfn.IFNA(VLOOKUP(H6,'MCIA Cases'!$A$2:$R$1091,3,FALSE)," ")</f>
        <v xml:space="preserve"> </v>
      </c>
      <c r="M6" s="1" t="str">
        <f>IF(COUNTIF('MCIA Corrective Actions'!$A:$A,H6)=0," ",COUNTIF('MCIA Corrective Actions'!$A:$A,H6))</f>
        <v xml:space="preserve"> </v>
      </c>
      <c r="N6" s="1" t="str">
        <f>IF(COUNTIF('MCIA Corrective Actions'!$A:$A,H6)=0," ",COUNTIFS('MCIA Corrective Actions'!$A:$A,H6,'MCIA Corrective Actions'!N:N,"Yes"))</f>
        <v xml:space="preserve"> </v>
      </c>
      <c r="O6" s="1" t="str">
        <f>_xlfn.IFNA(VLOOKUP(H6,'MCIA Corrective Actions'!$A$2:$R$1092,6,FALSE)," ")</f>
        <v xml:space="preserve"> </v>
      </c>
      <c r="P6" s="1"/>
    </row>
    <row r="7" spans="1:16" x14ac:dyDescent="0.25">
      <c r="A7" s="1">
        <v>180</v>
      </c>
      <c r="B7" s="108" t="str">
        <f>VLOOKUP($A7,Table1[['#]:[Vessel]],4,FALSE)</f>
        <v>Carolina</v>
      </c>
      <c r="C7" s="107">
        <f>VLOOKUP($A7,Table1[['#]:[Date]],3,FALSE)</f>
        <v>43833</v>
      </c>
      <c r="D7" s="3">
        <f>VLOOKUP($A7,Table1[['#]:[Hours]],7,FALSE)</f>
        <v>32.22</v>
      </c>
      <c r="E7" s="3" t="str">
        <f>VLOOKUP($A7,Table1[['#]:[System]],8,FALSE)&amp;" / "&amp;VLOOKUP($A7,Table1[['#]:[Subsystem]],9,FALSE)</f>
        <v>Cutter / Motor (Cutter Shaft)</v>
      </c>
      <c r="F7" s="108">
        <f>VLOOKUP($A7,Table1[['#]:[Work Order '#]],10,FALSE)</f>
        <v>4038564</v>
      </c>
      <c r="G7" s="110" t="str">
        <f>VLOOKUP($A7,Table1[['#]:[Delay Log Notes]],11,FALSE)</f>
        <v>Replace PORT cutter motor</v>
      </c>
      <c r="H7" s="105" t="s">
        <v>611</v>
      </c>
      <c r="I7" s="1" t="str">
        <f>_xlfn.IFNA(VLOOKUP(H7,'MCIA Cases'!$A$2:$R$1091,2,FALSE)," ")</f>
        <v xml:space="preserve"> </v>
      </c>
      <c r="J7" s="1" t="str">
        <f>_xlfn.IFNA(VLOOKUP(H7,'MCIA Cases'!$A$2:$R$1091,9,FALSE)," ")</f>
        <v xml:space="preserve"> </v>
      </c>
      <c r="K7" s="1" t="str">
        <f>_xlfn.IFNA(VLOOKUP(H7,'MCIA Cases'!$A$2:$R$1091,10,FALSE)," ")</f>
        <v xml:space="preserve"> </v>
      </c>
      <c r="L7" s="1" t="str">
        <f>_xlfn.IFNA(VLOOKUP(H7,'MCIA Cases'!$A$2:$R$1091,3,FALSE)," ")</f>
        <v xml:space="preserve"> </v>
      </c>
      <c r="M7" s="1" t="str">
        <f>IF(COUNTIF('MCIA Corrective Actions'!$A:$A,H7)=0," ",COUNTIF('MCIA Corrective Actions'!$A:$A,H7))</f>
        <v xml:space="preserve"> </v>
      </c>
      <c r="N7" s="1" t="str">
        <f>IF(COUNTIF('MCIA Corrective Actions'!$A:$A,H7)=0," ",COUNTIFS('MCIA Corrective Actions'!$A:$A,H7,'MCIA Corrective Actions'!N:N,"Yes"))</f>
        <v xml:space="preserve"> </v>
      </c>
      <c r="O7" s="1" t="str">
        <f>_xlfn.IFNA(VLOOKUP(H7,'MCIA Corrective Actions'!$A$2:$R$1092,6,FALSE)," ")</f>
        <v xml:space="preserve"> </v>
      </c>
      <c r="P7" s="1"/>
    </row>
    <row r="8" spans="1:16" x14ac:dyDescent="0.25">
      <c r="A8" s="1">
        <v>181</v>
      </c>
      <c r="B8" s="108">
        <f>VLOOKUP($A8,Table1[['#]:[Vessel]],4,FALSE)</f>
        <v>53</v>
      </c>
      <c r="C8" s="107">
        <f>VLOOKUP($A8,Table1[['#]:[Date]],3,FALSE)</f>
        <v>43835</v>
      </c>
      <c r="D8" s="3">
        <f>VLOOKUP($A8,Table1[['#]:[Hours]],7,FALSE)</f>
        <v>31.35</v>
      </c>
      <c r="E8" s="3" t="str">
        <f>VLOOKUP($A8,Table1[['#]:[System]],8,FALSE)&amp;" / "&amp;VLOOKUP($A8,Table1[['#]:[Subsystem]],9,FALSE)</f>
        <v>Spud System / Spud Winch</v>
      </c>
      <c r="F8" s="108">
        <f>VLOOKUP($A8,Table1[['#]:[Work Order '#]],10,FALSE)</f>
        <v>4796836</v>
      </c>
      <c r="G8" s="110" t="str">
        <f>VLOOKUP($A8,Table1[['#]:[Delay Log Notes]],11,FALSE)</f>
        <v>troubleshoot and repair motor on port spud</v>
      </c>
      <c r="H8" s="105" t="s">
        <v>610</v>
      </c>
      <c r="I8" s="1" t="str">
        <f>_xlfn.IFNA(VLOOKUP(H8,'MCIA Cases'!$A$2:$R$1091,2,FALSE)," ")</f>
        <v xml:space="preserve"> </v>
      </c>
      <c r="J8" s="1" t="str">
        <f>_xlfn.IFNA(VLOOKUP(H8,'MCIA Cases'!$A$2:$R$1091,9,FALSE)," ")</f>
        <v xml:space="preserve"> </v>
      </c>
      <c r="K8" s="1" t="str">
        <f>_xlfn.IFNA(VLOOKUP(H8,'MCIA Cases'!$A$2:$R$1091,10,FALSE)," ")</f>
        <v xml:space="preserve"> </v>
      </c>
      <c r="L8" s="1" t="str">
        <f>_xlfn.IFNA(VLOOKUP(H8,'MCIA Cases'!$A$2:$R$1091,3,FALSE)," ")</f>
        <v xml:space="preserve"> </v>
      </c>
      <c r="M8" s="1" t="str">
        <f>IF(COUNTIF('MCIA Corrective Actions'!$A:$A,H8)=0," ",COUNTIF('MCIA Corrective Actions'!$A:$A,H8))</f>
        <v xml:space="preserve"> </v>
      </c>
      <c r="N8" s="1" t="str">
        <f>IF(COUNTIF('MCIA Corrective Actions'!$A:$A,H8)=0," ",COUNTIFS('MCIA Corrective Actions'!$A:$A,H8,'MCIA Corrective Actions'!N:N,"Yes"))</f>
        <v xml:space="preserve"> </v>
      </c>
      <c r="O8" s="1" t="str">
        <f>_xlfn.IFNA(VLOOKUP(H8,'MCIA Corrective Actions'!$A$2:$R$1092,6,FALSE)," ")</f>
        <v xml:space="preserve"> </v>
      </c>
      <c r="P8" s="1"/>
    </row>
    <row r="9" spans="1:16" x14ac:dyDescent="0.25">
      <c r="A9" s="1">
        <v>182</v>
      </c>
      <c r="B9" s="108" t="str">
        <f>VLOOKUP($A9,Table1[['#]:[Vessel]],4,FALSE)</f>
        <v>Texas</v>
      </c>
      <c r="C9" s="107">
        <f>VLOOKUP($A9,Table1[['#]:[Date]],3,FALSE)</f>
        <v>43837</v>
      </c>
      <c r="D9" s="3">
        <f>VLOOKUP($A9,Table1[['#]:[Hours]],7,FALSE)</f>
        <v>70.900000000000006</v>
      </c>
      <c r="E9" s="3" t="str">
        <f>VLOOKUP($A9,Table1[['#]:[System]],8,FALSE)&amp;" / "&amp;VLOOKUP($A9,Table1[['#]:[Subsystem]],9,FALSE)</f>
        <v>Swing System / SCR Drive</v>
      </c>
      <c r="F9" s="108" t="str">
        <f>VLOOKUP($A9,Table1[['#]:[Work Order '#]],10,FALSE)</f>
        <v>None</v>
      </c>
      <c r="G9" s="110" t="str">
        <f>VLOOKUP($A9,Table1[['#]:[Delay Log Notes]],11,FALSE)</f>
        <v>None</v>
      </c>
      <c r="H9" s="105" t="s">
        <v>611</v>
      </c>
      <c r="I9" s="1" t="str">
        <f>_xlfn.IFNA(VLOOKUP(H9,'MCIA Cases'!$A$2:$R$1091,2,FALSE)," ")</f>
        <v xml:space="preserve"> </v>
      </c>
      <c r="J9" s="1" t="str">
        <f>_xlfn.IFNA(VLOOKUP(H9,'MCIA Cases'!$A$2:$R$1091,9,FALSE)," ")</f>
        <v xml:space="preserve"> </v>
      </c>
      <c r="K9" s="1" t="str">
        <f>_xlfn.IFNA(VLOOKUP(H9,'MCIA Cases'!$A$2:$R$1091,10,FALSE)," ")</f>
        <v xml:space="preserve"> </v>
      </c>
      <c r="L9" s="1" t="str">
        <f>_xlfn.IFNA(VLOOKUP(H9,'MCIA Cases'!$A$2:$R$1091,3,FALSE)," ")</f>
        <v xml:space="preserve"> </v>
      </c>
      <c r="M9" s="1" t="str">
        <f>IF(COUNTIF('MCIA Corrective Actions'!$A:$A,H9)=0," ",COUNTIF('MCIA Corrective Actions'!$A:$A,H9))</f>
        <v xml:space="preserve"> </v>
      </c>
      <c r="N9" s="1" t="str">
        <f>IF(COUNTIF('MCIA Corrective Actions'!$A:$A,H9)=0," ",COUNTIFS('MCIA Corrective Actions'!$A:$A,H9,'MCIA Corrective Actions'!N:N,"Yes"))</f>
        <v xml:space="preserve"> </v>
      </c>
      <c r="O9" s="1" t="str">
        <f>_xlfn.IFNA(VLOOKUP(H9,'MCIA Corrective Actions'!$A$2:$R$1092,6,FALSE)," ")</f>
        <v xml:space="preserve"> </v>
      </c>
      <c r="P9" s="1"/>
    </row>
    <row r="10" spans="1:16" x14ac:dyDescent="0.25">
      <c r="A10" s="1">
        <v>183</v>
      </c>
      <c r="B10" s="108" t="str">
        <f>VLOOKUP($A10,Table1[['#]:[Vessel]],4,FALSE)</f>
        <v>Terrapin Island</v>
      </c>
      <c r="C10" s="107">
        <f>VLOOKUP($A10,Table1[['#]:[Date]],3,FALSE)</f>
        <v>43837</v>
      </c>
      <c r="D10" s="3">
        <f>VLOOKUP($A10,Table1[['#]:[Hours]],7,FALSE)</f>
        <v>44.51</v>
      </c>
      <c r="E10" s="3" t="str">
        <f>VLOOKUP($A10,Table1[['#]:[System]],8,FALSE)&amp;" / "&amp;VLOOKUP($A10,Table1[['#]:[Subsystem]],9,FALSE)</f>
        <v>Trunnion Hoist / Other</v>
      </c>
      <c r="F10" s="108">
        <f>VLOOKUP($A10,Table1[['#]:[Work Order '#]],10,FALSE)</f>
        <v>418315</v>
      </c>
      <c r="G10" s="110" t="str">
        <f>VLOOKUP($A10,Table1[['#]:[Delay Log Notes]],11,FALSE)</f>
        <v>Port trunnion slide being taken off</v>
      </c>
      <c r="H10" s="105" t="s">
        <v>610</v>
      </c>
      <c r="I10" s="1" t="str">
        <f>_xlfn.IFNA(VLOOKUP(H10,'MCIA Cases'!$A$2:$R$1091,2,FALSE)," ")</f>
        <v xml:space="preserve"> </v>
      </c>
      <c r="J10" s="1" t="str">
        <f>_xlfn.IFNA(VLOOKUP(H10,'MCIA Cases'!$A$2:$R$1091,9,FALSE)," ")</f>
        <v xml:space="preserve"> </v>
      </c>
      <c r="K10" s="1" t="str">
        <f>_xlfn.IFNA(VLOOKUP(H10,'MCIA Cases'!$A$2:$R$1091,10,FALSE)," ")</f>
        <v xml:space="preserve"> </v>
      </c>
      <c r="L10" s="1" t="str">
        <f>_xlfn.IFNA(VLOOKUP(H10,'MCIA Cases'!$A$2:$R$1091,3,FALSE)," ")</f>
        <v xml:space="preserve"> </v>
      </c>
      <c r="M10" s="1" t="str">
        <f>IF(COUNTIF('MCIA Corrective Actions'!$A:$A,H10)=0," ",COUNTIF('MCIA Corrective Actions'!$A:$A,H10))</f>
        <v xml:space="preserve"> </v>
      </c>
      <c r="N10" s="1" t="str">
        <f>IF(COUNTIF('MCIA Corrective Actions'!$A:$A,H10)=0," ",COUNTIFS('MCIA Corrective Actions'!$A:$A,H10,'MCIA Corrective Actions'!N:N,"Yes"))</f>
        <v xml:space="preserve"> </v>
      </c>
      <c r="O10" s="1" t="str">
        <f>_xlfn.IFNA(VLOOKUP(H10,'MCIA Corrective Actions'!$A$2:$R$1092,6,FALSE)," ")</f>
        <v xml:space="preserve"> </v>
      </c>
      <c r="P10" s="1"/>
    </row>
    <row r="11" spans="1:16" x14ac:dyDescent="0.25">
      <c r="A11" s="1">
        <v>184</v>
      </c>
      <c r="B11" s="108" t="str">
        <f>VLOOKUP($A11,Table1[['#]:[Vessel]],4,FALSE)</f>
        <v>Carolina</v>
      </c>
      <c r="C11" s="107">
        <f>VLOOKUP($A11,Table1[['#]:[Date]],3,FALSE)</f>
        <v>43853</v>
      </c>
      <c r="D11" s="3">
        <f>VLOOKUP($A11,Table1[['#]:[Hours]],7,FALSE)</f>
        <v>48.22</v>
      </c>
      <c r="E11" s="3" t="str">
        <f>VLOOKUP($A11,Table1[['#]:[System]],8,FALSE)&amp;" / "&amp;VLOOKUP($A11,Table1[['#]:[Subsystem]],9,FALSE)</f>
        <v>Cutter / SCR Drive / MG Set</v>
      </c>
      <c r="F11" s="108">
        <f>VLOOKUP($A11,Table1[['#]:[Work Order '#]],10,FALSE)</f>
        <v>4038575</v>
      </c>
      <c r="G11" s="110" t="str">
        <f>VLOOKUP($A11,Table1[['#]:[Delay Log Notes]],11,FALSE)</f>
        <v>port cutter drive</v>
      </c>
      <c r="H11" s="105" t="s">
        <v>611</v>
      </c>
      <c r="I11" s="1" t="str">
        <f>_xlfn.IFNA(VLOOKUP(H11,'MCIA Cases'!$A$2:$R$1091,2,FALSE)," ")</f>
        <v xml:space="preserve"> </v>
      </c>
      <c r="J11" s="1" t="str">
        <f>_xlfn.IFNA(VLOOKUP(H11,'MCIA Cases'!$A$2:$R$1091,9,FALSE)," ")</f>
        <v xml:space="preserve"> </v>
      </c>
      <c r="K11" s="1" t="str">
        <f>_xlfn.IFNA(VLOOKUP(H11,'MCIA Cases'!$A$2:$R$1091,10,FALSE)," ")</f>
        <v xml:space="preserve"> </v>
      </c>
      <c r="L11" s="1" t="str">
        <f>_xlfn.IFNA(VLOOKUP(H11,'MCIA Cases'!$A$2:$R$1091,3,FALSE)," ")</f>
        <v xml:space="preserve"> </v>
      </c>
      <c r="M11" s="1" t="str">
        <f>IF(COUNTIF('MCIA Corrective Actions'!$A:$A,H11)=0," ",COUNTIF('MCIA Corrective Actions'!$A:$A,H11))</f>
        <v xml:space="preserve"> </v>
      </c>
      <c r="N11" s="1" t="str">
        <f>IF(COUNTIF('MCIA Corrective Actions'!$A:$A,H11)=0," ",COUNTIFS('MCIA Corrective Actions'!$A:$A,H11,'MCIA Corrective Actions'!N:N,"Yes"))</f>
        <v xml:space="preserve"> </v>
      </c>
      <c r="O11" s="1" t="str">
        <f>_xlfn.IFNA(VLOOKUP(H11,'MCIA Corrective Actions'!$A$2:$R$1092,6,FALSE)," ")</f>
        <v xml:space="preserve"> </v>
      </c>
      <c r="P11" s="1"/>
    </row>
    <row r="12" spans="1:16" x14ac:dyDescent="0.25">
      <c r="A12" s="1">
        <v>185</v>
      </c>
      <c r="B12" s="108" t="str">
        <f>VLOOKUP($A12,Table1[['#]:[Vessel]],4,FALSE)</f>
        <v>Carolina</v>
      </c>
      <c r="C12" s="107">
        <f>VLOOKUP($A12,Table1[['#]:[Date]],3,FALSE)</f>
        <v>43858</v>
      </c>
      <c r="D12" s="3">
        <f>VLOOKUP($A12,Table1[['#]:[Hours]],7,FALSE)</f>
        <v>124.44</v>
      </c>
      <c r="E12" s="3" t="str">
        <f>VLOOKUP($A12,Table1[['#]:[System]],8,FALSE)&amp;" / "&amp;VLOOKUP($A12,Table1[['#]:[Subsystem]],9,FALSE)</f>
        <v>Cutter / Bearings/Shafts</v>
      </c>
      <c r="F12" s="108">
        <f>VLOOKUP($A12,Table1[['#]:[Work Order '#]],10,FALSE)</f>
        <v>4038583</v>
      </c>
      <c r="G12" s="110" t="str">
        <f>VLOOKUP($A12,Table1[['#]:[Delay Log Notes]],11,FALSE)</f>
        <v>cutterhead coupling broke</v>
      </c>
      <c r="H12" s="105">
        <v>331</v>
      </c>
      <c r="I12" s="1" t="str">
        <f>_xlfn.IFNA(VLOOKUP(H12,'MCIA Cases'!$A$2:$R$1091,2,FALSE)," ")</f>
        <v>Carolina cutter tailshaft / coupling failure</v>
      </c>
      <c r="J12" s="1">
        <f>_xlfn.IFNA(VLOOKUP(H12,'MCIA Cases'!$A$2:$R$1091,9,FALSE)," ")</f>
        <v>0</v>
      </c>
      <c r="K12" s="1">
        <f>_xlfn.IFNA(VLOOKUP(H12,'MCIA Cases'!$A$2:$R$1091,10,FALSE)," ")</f>
        <v>0</v>
      </c>
      <c r="L12" s="1" t="str">
        <f>_xlfn.IFNA(VLOOKUP(H12,'MCIA Cases'!$A$2:$R$1091,3,FALSE)," ")</f>
        <v>Bill Baumann</v>
      </c>
      <c r="M12" s="1">
        <f>IF(COUNTIF('MCIA Corrective Actions'!$A:$A,H12)=0," ",COUNTIF('MCIA Corrective Actions'!$A:$A,H12))</f>
        <v>3</v>
      </c>
      <c r="N12" s="1">
        <f>IF(COUNTIF('MCIA Corrective Actions'!$A:$A,H12)=0," ",COUNTIFS('MCIA Corrective Actions'!$A:$A,H12,'MCIA Corrective Actions'!N:N,"Yes"))</f>
        <v>0</v>
      </c>
      <c r="O12" s="1" t="str">
        <f>_xlfn.IFNA(VLOOKUP(H12,'MCIA Corrective Actions'!$A$2:$R$1092,6,FALSE)," ")</f>
        <v>Steven W  Becker</v>
      </c>
      <c r="P12" s="1"/>
    </row>
    <row r="13" spans="1:16" x14ac:dyDescent="0.25">
      <c r="A13" s="1">
        <v>186</v>
      </c>
      <c r="B13" s="108" t="str">
        <f>VLOOKUP($A13,Table1[['#]:[Vessel]],4,FALSE)</f>
        <v>Alaska</v>
      </c>
      <c r="C13" s="107">
        <f>VLOOKUP($A13,Table1[['#]:[Date]],3,FALSE)</f>
        <v>43897</v>
      </c>
      <c r="D13" s="3">
        <f>VLOOKUP($A13,Table1[['#]:[Hours]],7,FALSE)</f>
        <v>48.8</v>
      </c>
      <c r="E13" s="3" t="str">
        <f>VLOOKUP($A13,Table1[['#]:[System]],8,FALSE)&amp;" / "&amp;VLOOKUP($A13,Table1[['#]:[Subsystem]],9,FALSE)</f>
        <v>Main Pump / Pump Leak</v>
      </c>
      <c r="F13" s="108">
        <f>VLOOKUP($A13,Table1[['#]:[Work Order '#]],10,FALSE)</f>
        <v>1728652</v>
      </c>
      <c r="G13" s="110" t="str">
        <f>VLOOKUP($A13,Table1[['#]:[Delay Log Notes]],11,FALSE)</f>
        <v>Leak on rock box</v>
      </c>
      <c r="H13" s="105" t="s">
        <v>611</v>
      </c>
      <c r="I13" s="1" t="str">
        <f>_xlfn.IFNA(VLOOKUP(H13,'MCIA Cases'!$A$2:$R$1091,2,FALSE)," ")</f>
        <v xml:space="preserve"> </v>
      </c>
      <c r="J13" s="1" t="str">
        <f>_xlfn.IFNA(VLOOKUP(H13,'MCIA Cases'!$A$2:$R$1091,9,FALSE)," ")</f>
        <v xml:space="preserve"> </v>
      </c>
      <c r="K13" s="1" t="str">
        <f>_xlfn.IFNA(VLOOKUP(H13,'MCIA Cases'!$A$2:$R$1091,10,FALSE)," ")</f>
        <v xml:space="preserve"> </v>
      </c>
      <c r="L13" s="1" t="str">
        <f>_xlfn.IFNA(VLOOKUP(H13,'MCIA Cases'!$A$2:$R$1091,3,FALSE)," ")</f>
        <v xml:space="preserve"> </v>
      </c>
      <c r="M13" s="1" t="str">
        <f>IF(COUNTIF('MCIA Corrective Actions'!$A:$A,H13)=0," ",COUNTIF('MCIA Corrective Actions'!$A:$A,H13))</f>
        <v xml:space="preserve"> </v>
      </c>
      <c r="N13" s="1" t="str">
        <f>IF(COUNTIF('MCIA Corrective Actions'!$A:$A,H13)=0," ",COUNTIFS('MCIA Corrective Actions'!$A:$A,H13,'MCIA Corrective Actions'!N:N,"Yes"))</f>
        <v xml:space="preserve"> </v>
      </c>
      <c r="O13" s="1" t="str">
        <f>_xlfn.IFNA(VLOOKUP(H13,'MCIA Corrective Actions'!$A$2:$R$1092,6,FALSE)," ")</f>
        <v xml:space="preserve"> </v>
      </c>
      <c r="P13" s="1"/>
    </row>
    <row r="14" spans="1:16" x14ac:dyDescent="0.25">
      <c r="A14" s="1">
        <v>187</v>
      </c>
      <c r="B14" s="108" t="str">
        <f>VLOOKUP($A14,Table1[['#]:[Vessel]],4,FALSE)</f>
        <v>Dodge Island</v>
      </c>
      <c r="C14" s="107">
        <f>VLOOKUP($A14,Table1[['#]:[Date]],3,FALSE)</f>
        <v>43900</v>
      </c>
      <c r="D14" s="3">
        <f>VLOOKUP($A14,Table1[['#]:[Hours]],7,FALSE)</f>
        <v>45.8</v>
      </c>
      <c r="E14" s="3" t="str">
        <f>VLOOKUP($A14,Table1[['#]:[System]],8,FALSE)&amp;" / "&amp;VLOOKUP($A14,Table1[['#]:[Subsystem]],9,FALSE)</f>
        <v>Dredge Pump Engine / Other</v>
      </c>
      <c r="F14" s="108" t="str">
        <f>VLOOKUP($A14,Table1[['#]:[Work Order '#]],10,FALSE)</f>
        <v>None</v>
      </c>
      <c r="G14" s="110" t="str">
        <f>VLOOKUP($A14,Table1[['#]:[Delay Log Notes]],11,FALSE)</f>
        <v>Throttle Issues</v>
      </c>
      <c r="H14" s="105" t="s">
        <v>610</v>
      </c>
      <c r="I14" s="1" t="str">
        <f>_xlfn.IFNA(VLOOKUP(H14,'MCIA Cases'!$A$2:$R$1091,2,FALSE)," ")</f>
        <v xml:space="preserve"> </v>
      </c>
      <c r="J14" s="1" t="str">
        <f>_xlfn.IFNA(VLOOKUP(H14,'MCIA Cases'!$A$2:$R$1091,9,FALSE)," ")</f>
        <v xml:space="preserve"> </v>
      </c>
      <c r="K14" s="1" t="str">
        <f>_xlfn.IFNA(VLOOKUP(H14,'MCIA Cases'!$A$2:$R$1091,10,FALSE)," ")</f>
        <v xml:space="preserve"> </v>
      </c>
      <c r="L14" s="1" t="str">
        <f>_xlfn.IFNA(VLOOKUP(H14,'MCIA Cases'!$A$2:$R$1091,3,FALSE)," ")</f>
        <v xml:space="preserve"> </v>
      </c>
      <c r="M14" s="1" t="str">
        <f>IF(COUNTIF('MCIA Corrective Actions'!$A:$A,H14)=0," ",COUNTIF('MCIA Corrective Actions'!$A:$A,H14))</f>
        <v xml:space="preserve"> </v>
      </c>
      <c r="N14" s="1" t="str">
        <f>IF(COUNTIF('MCIA Corrective Actions'!$A:$A,H14)=0," ",COUNTIFS('MCIA Corrective Actions'!$A:$A,H14,'MCIA Corrective Actions'!N:N,"Yes"))</f>
        <v xml:space="preserve"> </v>
      </c>
      <c r="O14" s="1" t="str">
        <f>_xlfn.IFNA(VLOOKUP(H14,'MCIA Corrective Actions'!$A$2:$R$1092,6,FALSE)," ")</f>
        <v xml:space="preserve"> </v>
      </c>
      <c r="P14" s="1"/>
    </row>
    <row r="15" spans="1:16" ht="30" x14ac:dyDescent="0.25">
      <c r="A15" s="1">
        <v>188</v>
      </c>
      <c r="B15" s="108">
        <f>VLOOKUP($A15,Table1[['#]:[Vessel]],4,FALSE)</f>
        <v>55</v>
      </c>
      <c r="C15" s="107">
        <f>VLOOKUP($A15,Table1[['#]:[Date]],3,FALSE)</f>
        <v>43901</v>
      </c>
      <c r="D15" s="3">
        <f>VLOOKUP($A15,Table1[['#]:[Hours]],7,FALSE)</f>
        <v>44.94</v>
      </c>
      <c r="E15" s="3" t="str">
        <f>VLOOKUP($A15,Table1[['#]:[System]],8,FALSE)&amp;" / "&amp;VLOOKUP($A15,Table1[['#]:[Subsystem]],9,FALSE)</f>
        <v>Main / Aux. Generators / Main Generator Eng</v>
      </c>
      <c r="F15" s="108" t="str">
        <f>VLOOKUP($A15,Table1[['#]:[Work Order '#]],10,FALSE)</f>
        <v>None</v>
      </c>
      <c r="G15" s="110" t="str">
        <f>VLOOKUP($A15,Table1[['#]:[Delay Log Notes]],11,FALSE)</f>
        <v>electrical problem with main engine cooling water pump</v>
      </c>
      <c r="H15" s="105" t="s">
        <v>611</v>
      </c>
      <c r="I15" s="1" t="str">
        <f>_xlfn.IFNA(VLOOKUP(H15,'MCIA Cases'!$A$2:$R$1091,2,FALSE)," ")</f>
        <v xml:space="preserve"> </v>
      </c>
      <c r="J15" s="1" t="str">
        <f>_xlfn.IFNA(VLOOKUP(H15,'MCIA Cases'!$A$2:$R$1091,9,FALSE)," ")</f>
        <v xml:space="preserve"> </v>
      </c>
      <c r="K15" s="1" t="str">
        <f>_xlfn.IFNA(VLOOKUP(H15,'MCIA Cases'!$A$2:$R$1091,10,FALSE)," ")</f>
        <v xml:space="preserve"> </v>
      </c>
      <c r="L15" s="1" t="str">
        <f>_xlfn.IFNA(VLOOKUP(H15,'MCIA Cases'!$A$2:$R$1091,3,FALSE)," ")</f>
        <v xml:space="preserve"> </v>
      </c>
      <c r="M15" s="1" t="str">
        <f>IF(COUNTIF('MCIA Corrective Actions'!$A:$A,H15)=0," ",COUNTIF('MCIA Corrective Actions'!$A:$A,H15))</f>
        <v xml:space="preserve"> </v>
      </c>
      <c r="N15" s="1" t="str">
        <f>IF(COUNTIF('MCIA Corrective Actions'!$A:$A,H15)=0," ",COUNTIFS('MCIA Corrective Actions'!$A:$A,H15,'MCIA Corrective Actions'!N:N,"Yes"))</f>
        <v xml:space="preserve"> </v>
      </c>
      <c r="O15" s="1" t="str">
        <f>_xlfn.IFNA(VLOOKUP(H15,'MCIA Corrective Actions'!$A$2:$R$1092,6,FALSE)," ")</f>
        <v xml:space="preserve"> </v>
      </c>
      <c r="P15" s="1"/>
    </row>
    <row r="16" spans="1:16" x14ac:dyDescent="0.25">
      <c r="A16" s="1">
        <v>189</v>
      </c>
      <c r="B16" s="108" t="str">
        <f>VLOOKUP($A16,Table1[['#]:[Vessel]],4,FALSE)</f>
        <v>Ellis Island</v>
      </c>
      <c r="C16" s="107">
        <f>VLOOKUP($A16,Table1[['#]:[Date]],3,FALSE)</f>
        <v>43901</v>
      </c>
      <c r="D16" s="3">
        <f>VLOOKUP($A16,Table1[['#]:[Hours]],7,FALSE)</f>
        <v>29.1</v>
      </c>
      <c r="E16" s="3" t="str">
        <f>VLOOKUP($A16,Table1[['#]:[System]],8,FALSE)&amp;" / "&amp;VLOOKUP($A16,Table1[['#]:[Subsystem]],9,FALSE)</f>
        <v>Drag Head Hoist / Brake Assembly</v>
      </c>
      <c r="F16" s="108" t="str">
        <f>VLOOKUP($A16,Table1[['#]:[Work Order '#]],10,FALSE)</f>
        <v>None</v>
      </c>
      <c r="G16" s="110" t="str">
        <f>VLOOKUP($A16,Table1[['#]:[Delay Log Notes]],11,FALSE)</f>
        <v>None</v>
      </c>
      <c r="H16" s="105" t="s">
        <v>610</v>
      </c>
      <c r="I16" s="1" t="str">
        <f>_xlfn.IFNA(VLOOKUP(H16,'MCIA Cases'!$A$2:$R$1091,2,FALSE)," ")</f>
        <v xml:space="preserve"> </v>
      </c>
      <c r="J16" s="1" t="str">
        <f>_xlfn.IFNA(VLOOKUP(H16,'MCIA Cases'!$A$2:$R$1091,9,FALSE)," ")</f>
        <v xml:space="preserve"> </v>
      </c>
      <c r="K16" s="1" t="str">
        <f>_xlfn.IFNA(VLOOKUP(H16,'MCIA Cases'!$A$2:$R$1091,10,FALSE)," ")</f>
        <v xml:space="preserve"> </v>
      </c>
      <c r="L16" s="1" t="str">
        <f>_xlfn.IFNA(VLOOKUP(H16,'MCIA Cases'!$A$2:$R$1091,3,FALSE)," ")</f>
        <v xml:space="preserve"> </v>
      </c>
      <c r="M16" s="1" t="str">
        <f>IF(COUNTIF('MCIA Corrective Actions'!$A:$A,H16)=0," ",COUNTIF('MCIA Corrective Actions'!$A:$A,H16))</f>
        <v xml:space="preserve"> </v>
      </c>
      <c r="N16" s="1" t="str">
        <f>IF(COUNTIF('MCIA Corrective Actions'!$A:$A,H16)=0," ",COUNTIFS('MCIA Corrective Actions'!$A:$A,H16,'MCIA Corrective Actions'!N:N,"Yes"))</f>
        <v xml:space="preserve"> </v>
      </c>
      <c r="O16" s="1" t="str">
        <f>_xlfn.IFNA(VLOOKUP(H16,'MCIA Corrective Actions'!$A$2:$R$1092,6,FALSE)," ")</f>
        <v xml:space="preserve"> </v>
      </c>
      <c r="P16" s="1"/>
    </row>
    <row r="17" spans="1:16" x14ac:dyDescent="0.25">
      <c r="A17" s="1">
        <v>190</v>
      </c>
      <c r="B17" s="108" t="str">
        <f>VLOOKUP($A17,Table1[['#]:[Vessel]],4,FALSE)</f>
        <v>Dodge Island</v>
      </c>
      <c r="C17" s="107">
        <f>VLOOKUP($A17,Table1[['#]:[Date]],3,FALSE)</f>
        <v>43913</v>
      </c>
      <c r="D17" s="3">
        <f>VLOOKUP($A17,Table1[['#]:[Hours]],7,FALSE)</f>
        <v>26.3</v>
      </c>
      <c r="E17" s="3" t="str">
        <f>VLOOKUP($A17,Table1[['#]:[System]],8,FALSE)&amp;" / "&amp;VLOOKUP($A17,Table1[['#]:[Subsystem]],9,FALSE)</f>
        <v>Dredge Pump / Other</v>
      </c>
      <c r="F17" s="108">
        <f>VLOOKUP($A17,Table1[['#]:[Work Order '#]],10,FALSE)</f>
        <v>4070790</v>
      </c>
      <c r="G17" s="110" t="str">
        <f>VLOOKUP($A17,Table1[['#]:[Delay Log Notes]],11,FALSE)</f>
        <v>Wiring Harness</v>
      </c>
      <c r="H17" s="105" t="s">
        <v>610</v>
      </c>
      <c r="I17" s="1" t="str">
        <f>_xlfn.IFNA(VLOOKUP(H17,'MCIA Cases'!$A$2:$R$1091,2,FALSE)," ")</f>
        <v xml:space="preserve"> </v>
      </c>
      <c r="J17" s="1" t="str">
        <f>_xlfn.IFNA(VLOOKUP(H17,'MCIA Cases'!$A$2:$R$1091,9,FALSE)," ")</f>
        <v xml:space="preserve"> </v>
      </c>
      <c r="K17" s="1" t="str">
        <f>_xlfn.IFNA(VLOOKUP(H17,'MCIA Cases'!$A$2:$R$1091,10,FALSE)," ")</f>
        <v xml:space="preserve"> </v>
      </c>
      <c r="L17" s="1" t="str">
        <f>_xlfn.IFNA(VLOOKUP(H17,'MCIA Cases'!$A$2:$R$1091,3,FALSE)," ")</f>
        <v xml:space="preserve"> </v>
      </c>
      <c r="M17" s="1" t="str">
        <f>IF(COUNTIF('MCIA Corrective Actions'!$A:$A,H17)=0," ",COUNTIF('MCIA Corrective Actions'!$A:$A,H17))</f>
        <v xml:space="preserve"> </v>
      </c>
      <c r="N17" s="1" t="str">
        <f>IF(COUNTIF('MCIA Corrective Actions'!$A:$A,H17)=0," ",COUNTIFS('MCIA Corrective Actions'!$A:$A,H17,'MCIA Corrective Actions'!N:N,"Yes"))</f>
        <v xml:space="preserve"> </v>
      </c>
      <c r="O17" s="1" t="str">
        <f>_xlfn.IFNA(VLOOKUP(H17,'MCIA Corrective Actions'!$A$2:$R$1092,6,FALSE)," ")</f>
        <v xml:space="preserve"> </v>
      </c>
      <c r="P17" s="1"/>
    </row>
    <row r="18" spans="1:16" ht="30" x14ac:dyDescent="0.25">
      <c r="A18" s="1">
        <v>191</v>
      </c>
      <c r="B18" s="108" t="str">
        <f>VLOOKUP($A18,Table1[['#]:[Vessel]],4,FALSE)</f>
        <v>Texas</v>
      </c>
      <c r="C18" s="107">
        <f>VLOOKUP($A18,Table1[['#]:[Date]],3,FALSE)</f>
        <v>43948</v>
      </c>
      <c r="D18" s="3">
        <f>VLOOKUP($A18,Table1[['#]:[Hours]],7,FALSE)</f>
        <v>42.03</v>
      </c>
      <c r="E18" s="3" t="str">
        <f>VLOOKUP($A18,Table1[['#]:[System]],8,FALSE)&amp;" / "&amp;VLOOKUP($A18,Table1[['#]:[Subsystem]],9,FALSE)</f>
        <v>Main Pump / Engine/Motor</v>
      </c>
      <c r="F18" s="108" t="str">
        <f>VLOOKUP($A18,Table1[['#]:[Work Order '#]],10,FALSE)</f>
        <v>0792089</v>
      </c>
      <c r="G18" s="110" t="str">
        <f>VLOOKUP($A18,Table1[['#]:[Delay Log Notes]],11,FALSE)</f>
        <v>BOTH MAIN PUMP ENGINES SHUT DOWN DUE TO MAIN PUMP BEARING FAILURE</v>
      </c>
      <c r="H18" s="105" t="s">
        <v>611</v>
      </c>
      <c r="I18" s="1" t="str">
        <f>_xlfn.IFNA(VLOOKUP(H18,'MCIA Cases'!$A$2:$R$1091,2,FALSE)," ")</f>
        <v xml:space="preserve"> </v>
      </c>
      <c r="J18" s="1" t="str">
        <f>_xlfn.IFNA(VLOOKUP(H18,'MCIA Cases'!$A$2:$R$1091,9,FALSE)," ")</f>
        <v xml:space="preserve"> </v>
      </c>
      <c r="K18" s="1" t="str">
        <f>_xlfn.IFNA(VLOOKUP(H18,'MCIA Cases'!$A$2:$R$1091,10,FALSE)," ")</f>
        <v xml:space="preserve"> </v>
      </c>
      <c r="L18" s="1" t="str">
        <f>_xlfn.IFNA(VLOOKUP(H18,'MCIA Cases'!$A$2:$R$1091,3,FALSE)," ")</f>
        <v xml:space="preserve"> </v>
      </c>
      <c r="M18" s="1" t="str">
        <f>IF(COUNTIF('MCIA Corrective Actions'!$A:$A,H18)=0," ",COUNTIF('MCIA Corrective Actions'!$A:$A,H18))</f>
        <v xml:space="preserve"> </v>
      </c>
      <c r="N18" s="1" t="str">
        <f>IF(COUNTIF('MCIA Corrective Actions'!$A:$A,H18)=0," ",COUNTIFS('MCIA Corrective Actions'!$A:$A,H18,'MCIA Corrective Actions'!N:N,"Yes"))</f>
        <v xml:space="preserve"> </v>
      </c>
      <c r="O18" s="1" t="str">
        <f>_xlfn.IFNA(VLOOKUP(H18,'MCIA Corrective Actions'!$A$2:$R$1092,6,FALSE)," ")</f>
        <v xml:space="preserve"> </v>
      </c>
      <c r="P18" s="1"/>
    </row>
    <row r="19" spans="1:16" ht="45" x14ac:dyDescent="0.25">
      <c r="A19" s="1">
        <v>192</v>
      </c>
      <c r="B19" s="108" t="str">
        <f>VLOOKUP($A19,Table1[['#]:[Vessel]],4,FALSE)</f>
        <v>Texas</v>
      </c>
      <c r="C19" s="107">
        <f>VLOOKUP($A19,Table1[['#]:[Date]],3,FALSE)</f>
        <v>43952</v>
      </c>
      <c r="D19" s="3">
        <f>VLOOKUP($A19,Table1[['#]:[Hours]],7,FALSE)</f>
        <v>40.909999999999997</v>
      </c>
      <c r="E19" s="3" t="str">
        <f>VLOOKUP($A19,Table1[['#]:[System]],8,FALSE)&amp;" / "&amp;VLOOKUP($A19,Table1[['#]:[Subsystem]],9,FALSE)</f>
        <v>Main Pump / Bearings/Shafts</v>
      </c>
      <c r="F19" s="108" t="str">
        <f>VLOOKUP($A19,Table1[['#]:[Work Order '#]],10,FALSE)</f>
        <v>0792090</v>
      </c>
      <c r="G19" s="110" t="str">
        <f>VLOOKUP($A19,Table1[['#]:[Delay Log Notes]],11,FALSE)</f>
        <v>Repairing Main pump bearing shaft - underway for dig site at 19:50-arrived at dig site at 01:00.hauling gears malfunctioning.</v>
      </c>
      <c r="H19" s="105" t="s">
        <v>611</v>
      </c>
      <c r="I19" s="1" t="str">
        <f>_xlfn.IFNA(VLOOKUP(H19,'MCIA Cases'!$A$2:$R$1091,2,FALSE)," ")</f>
        <v xml:space="preserve"> </v>
      </c>
      <c r="J19" s="1" t="str">
        <f>_xlfn.IFNA(VLOOKUP(H19,'MCIA Cases'!$A$2:$R$1091,9,FALSE)," ")</f>
        <v xml:space="preserve"> </v>
      </c>
      <c r="K19" s="1" t="str">
        <f>_xlfn.IFNA(VLOOKUP(H19,'MCIA Cases'!$A$2:$R$1091,10,FALSE)," ")</f>
        <v xml:space="preserve"> </v>
      </c>
      <c r="L19" s="1" t="str">
        <f>_xlfn.IFNA(VLOOKUP(H19,'MCIA Cases'!$A$2:$R$1091,3,FALSE)," ")</f>
        <v xml:space="preserve"> </v>
      </c>
      <c r="M19" s="1" t="str">
        <f>IF(COUNTIF('MCIA Corrective Actions'!$A:$A,H19)=0," ",COUNTIF('MCIA Corrective Actions'!$A:$A,H19))</f>
        <v xml:space="preserve"> </v>
      </c>
      <c r="N19" s="1" t="str">
        <f>IF(COUNTIF('MCIA Corrective Actions'!$A:$A,H19)=0," ",COUNTIFS('MCIA Corrective Actions'!$A:$A,H19,'MCIA Corrective Actions'!N:N,"Yes"))</f>
        <v xml:space="preserve"> </v>
      </c>
      <c r="O19" s="1" t="str">
        <f>_xlfn.IFNA(VLOOKUP(H19,'MCIA Corrective Actions'!$A$2:$R$1092,6,FALSE)," ")</f>
        <v xml:space="preserve"> </v>
      </c>
      <c r="P19" s="1"/>
    </row>
    <row r="20" spans="1:16" x14ac:dyDescent="0.25">
      <c r="A20" s="1">
        <v>193</v>
      </c>
      <c r="B20" s="108" t="str">
        <f>VLOOKUP($A20,Table1[['#]:[Vessel]],4,FALSE)</f>
        <v>Carolina</v>
      </c>
      <c r="C20" s="107">
        <f>VLOOKUP($A20,Table1[['#]:[Date]],3,FALSE)</f>
        <v>43964</v>
      </c>
      <c r="D20" s="3">
        <f>VLOOKUP($A20,Table1[['#]:[Hours]],7,FALSE)</f>
        <v>101.66</v>
      </c>
      <c r="E20" s="3" t="str">
        <f>VLOOKUP($A20,Table1[['#]:[System]],8,FALSE)&amp;" / "&amp;VLOOKUP($A20,Table1[['#]:[Subsystem]],9,FALSE)</f>
        <v>Cutter / SCR Drive / MG Set</v>
      </c>
      <c r="F20" s="108" t="str">
        <f>VLOOKUP($A20,Table1[['#]:[Work Order '#]],10,FALSE)</f>
        <v>None</v>
      </c>
      <c r="G20" s="110" t="str">
        <f>VLOOKUP($A20,Table1[['#]:[Delay Log Notes]],11,FALSE)</f>
        <v>Cutter drive running high temp</v>
      </c>
      <c r="H20" s="105">
        <v>347</v>
      </c>
      <c r="I20" s="1" t="str">
        <f>_xlfn.IFNA(VLOOKUP(H20,'MCIA Cases'!$A$2:$R$1091,2,FALSE)," ")</f>
        <v>Dredge Carolina Cutter Thrust Bearing Failure</v>
      </c>
      <c r="J20" s="1">
        <f>_xlfn.IFNA(VLOOKUP(H20,'MCIA Cases'!$A$2:$R$1091,9,FALSE)," ")</f>
        <v>0</v>
      </c>
      <c r="K20" s="1">
        <f>_xlfn.IFNA(VLOOKUP(H20,'MCIA Cases'!$A$2:$R$1091,10,FALSE)," ")</f>
        <v>0</v>
      </c>
      <c r="L20" s="1" t="str">
        <f>_xlfn.IFNA(VLOOKUP(H20,'MCIA Cases'!$A$2:$R$1091,3,FALSE)," ")</f>
        <v>Bill Baumann</v>
      </c>
      <c r="M20" s="1">
        <f>IF(COUNTIF('MCIA Corrective Actions'!$A:$A,H20)=0," ",COUNTIF('MCIA Corrective Actions'!$A:$A,H20))</f>
        <v>7</v>
      </c>
      <c r="N20" s="1">
        <f>IF(COUNTIF('MCIA Corrective Actions'!$A:$A,H20)=0," ",COUNTIFS('MCIA Corrective Actions'!$A:$A,H20,'MCIA Corrective Actions'!N:N,"Yes"))</f>
        <v>6</v>
      </c>
      <c r="O20" s="1" t="str">
        <f>_xlfn.IFNA(VLOOKUP(H20,'MCIA Corrective Actions'!$A$2:$R$1092,6,FALSE)," ")</f>
        <v>Bill Baumann</v>
      </c>
      <c r="P20" s="1"/>
    </row>
    <row r="21" spans="1:16" ht="30" x14ac:dyDescent="0.25">
      <c r="A21" s="1">
        <v>194</v>
      </c>
      <c r="B21" s="108">
        <f>VLOOKUP($A21,Table1[['#]:[Vessel]],4,FALSE)</f>
        <v>54</v>
      </c>
      <c r="C21" s="107">
        <f>VLOOKUP($A21,Table1[['#]:[Date]],3,FALSE)</f>
        <v>43965</v>
      </c>
      <c r="D21" s="3">
        <f>VLOOKUP($A21,Table1[['#]:[Hours]],7,FALSE)</f>
        <v>29.91</v>
      </c>
      <c r="E21" s="3" t="str">
        <f>VLOOKUP($A21,Table1[['#]:[System]],8,FALSE)&amp;" / "&amp;VLOOKUP($A21,Table1[['#]:[Subsystem]],9,FALSE)</f>
        <v>Crane Boom / Boom Winch</v>
      </c>
      <c r="F21" s="108">
        <f>VLOOKUP($A21,Table1[['#]:[Work Order '#]],10,FALSE)</f>
        <v>4799710</v>
      </c>
      <c r="G21" s="110" t="str">
        <f>VLOOKUP($A21,Table1[['#]:[Delay Log Notes]],11,FALSE)</f>
        <v>Shut down. Inspect boom hoist drum assembly. Realign gears and replace bolts</v>
      </c>
      <c r="H21" s="105">
        <v>366</v>
      </c>
      <c r="I21" s="1" t="str">
        <f>_xlfn.IFNA(VLOOKUP(H21,'MCIA Cases'!$A$2:$R$1091,2,FALSE)," ")</f>
        <v>DR 54 - Boom Heel Pin</v>
      </c>
      <c r="J21" s="1">
        <f>_xlfn.IFNA(VLOOKUP(H21,'MCIA Cases'!$A$2:$R$1091,9,FALSE)," ")</f>
        <v>0</v>
      </c>
      <c r="K21" s="1">
        <f>_xlfn.IFNA(VLOOKUP(H21,'MCIA Cases'!$A$2:$R$1091,10,FALSE)," ")</f>
        <v>0</v>
      </c>
      <c r="L21" s="1" t="str">
        <f>_xlfn.IFNA(VLOOKUP(H21,'MCIA Cases'!$A$2:$R$1091,3,FALSE)," ")</f>
        <v>Andrew Larkin</v>
      </c>
      <c r="M21" s="1" t="str">
        <f>IF(COUNTIF('MCIA Corrective Actions'!$A:$A,H21)=0," ",COUNTIF('MCIA Corrective Actions'!$A:$A,H21))</f>
        <v xml:space="preserve"> </v>
      </c>
      <c r="N21" s="1" t="str">
        <f>IF(COUNTIF('MCIA Corrective Actions'!$A:$A,H21)=0," ",COUNTIFS('MCIA Corrective Actions'!$A:$A,H21,'MCIA Corrective Actions'!N:N,"Yes"))</f>
        <v xml:space="preserve"> </v>
      </c>
      <c r="O21" s="1" t="str">
        <f>_xlfn.IFNA(VLOOKUP(H21,'MCIA Corrective Actions'!$A$2:$R$1092,6,FALSE)," ")</f>
        <v xml:space="preserve"> </v>
      </c>
      <c r="P21" s="1"/>
    </row>
    <row r="22" spans="1:16" x14ac:dyDescent="0.25">
      <c r="A22" s="1">
        <v>195</v>
      </c>
      <c r="B22" s="108" t="str">
        <f>VLOOKUP($A22,Table1[['#]:[Vessel]],4,FALSE)</f>
        <v>Carolina</v>
      </c>
      <c r="C22" s="107">
        <f>VLOOKUP($A22,Table1[['#]:[Date]],3,FALSE)</f>
        <v>43985</v>
      </c>
      <c r="D22" s="3">
        <f>VLOOKUP($A22,Table1[['#]:[Hours]],7,FALSE)</f>
        <v>47.29</v>
      </c>
      <c r="E22" s="3" t="str">
        <f>VLOOKUP($A22,Table1[['#]:[System]],8,FALSE)&amp;" / "&amp;VLOOKUP($A22,Table1[['#]:[Subsystem]],9,FALSE)</f>
        <v>Ladder Pump / Shaft</v>
      </c>
      <c r="F22" s="108" t="str">
        <f>VLOOKUP($A22,Table1[['#]:[Work Order '#]],10,FALSE)</f>
        <v>None</v>
      </c>
      <c r="G22" s="110" t="str">
        <f>VLOOKUP($A22,Table1[['#]:[Delay Log Notes]],11,FALSE)</f>
        <v>None</v>
      </c>
      <c r="H22" s="105">
        <v>355</v>
      </c>
      <c r="I22" s="1" t="str">
        <f>_xlfn.IFNA(VLOOKUP(H22,'MCIA Cases'!$A$2:$R$1091,2,FALSE)," ")</f>
        <v>Carolina UWPS coupling failure</v>
      </c>
      <c r="J22" s="1">
        <f>_xlfn.IFNA(VLOOKUP(H22,'MCIA Cases'!$A$2:$R$1091,9,FALSE)," ")</f>
        <v>0</v>
      </c>
      <c r="K22" s="1">
        <f>_xlfn.IFNA(VLOOKUP(H22,'MCIA Cases'!$A$2:$R$1091,10,FALSE)," ")</f>
        <v>0</v>
      </c>
      <c r="L22" s="1" t="str">
        <f>_xlfn.IFNA(VLOOKUP(H22,'MCIA Cases'!$A$2:$R$1091,3,FALSE)," ")</f>
        <v>Kurt Hill</v>
      </c>
      <c r="M22" s="1">
        <f>IF(COUNTIF('MCIA Corrective Actions'!$A:$A,H22)=0," ",COUNTIF('MCIA Corrective Actions'!$A:$A,H22))</f>
        <v>5</v>
      </c>
      <c r="N22" s="1">
        <f>IF(COUNTIF('MCIA Corrective Actions'!$A:$A,H22)=0," ",COUNTIFS('MCIA Corrective Actions'!$A:$A,H22,'MCIA Corrective Actions'!N:N,"Yes"))</f>
        <v>4</v>
      </c>
      <c r="O22" s="1" t="str">
        <f>_xlfn.IFNA(VLOOKUP(H22,'MCIA Corrective Actions'!$A$2:$R$1092,6,FALSE)," ")</f>
        <v>Thomas C Hoag</v>
      </c>
      <c r="P22" s="1"/>
    </row>
    <row r="23" spans="1:16" x14ac:dyDescent="0.25">
      <c r="A23" s="1">
        <v>196</v>
      </c>
      <c r="B23" s="108" t="str">
        <f>VLOOKUP($A23,Table1[['#]:[Vessel]],4,FALSE)</f>
        <v>Carolina</v>
      </c>
      <c r="C23" s="107">
        <f>VLOOKUP($A23,Table1[['#]:[Date]],3,FALSE)</f>
        <v>44001</v>
      </c>
      <c r="D23" s="3">
        <f>VLOOKUP($A23,Table1[['#]:[Hours]],7,FALSE)</f>
        <v>143.19</v>
      </c>
      <c r="E23" s="3" t="str">
        <f>VLOOKUP($A23,Table1[['#]:[System]],8,FALSE)&amp;" / "&amp;VLOOKUP($A23,Table1[['#]:[Subsystem]],9,FALSE)</f>
        <v>Main Pump / Bearings/Shafts</v>
      </c>
      <c r="F23" s="108" t="str">
        <f>VLOOKUP($A23,Table1[['#]:[Work Order '#]],10,FALSE)</f>
        <v>None</v>
      </c>
      <c r="G23" s="110" t="str">
        <f>VLOOKUP($A23,Table1[['#]:[Delay Log Notes]],11,FALSE)</f>
        <v>None</v>
      </c>
      <c r="H23" s="105">
        <v>354</v>
      </c>
      <c r="I23" s="1" t="str">
        <f>_xlfn.IFNA(VLOOKUP(H23,'MCIA Cases'!$A$2:$R$1091,2,FALSE)," ")</f>
        <v>Carolina Port Main pump drive coupling failure</v>
      </c>
      <c r="J23" s="1">
        <f>_xlfn.IFNA(VLOOKUP(H23,'MCIA Cases'!$A$2:$R$1091,9,FALSE)," ")</f>
        <v>0</v>
      </c>
      <c r="K23" s="1">
        <f>_xlfn.IFNA(VLOOKUP(H23,'MCIA Cases'!$A$2:$R$1091,10,FALSE)," ")</f>
        <v>0</v>
      </c>
      <c r="L23" s="1" t="str">
        <f>_xlfn.IFNA(VLOOKUP(H23,'MCIA Cases'!$A$2:$R$1091,3,FALSE)," ")</f>
        <v>Kurt Hill</v>
      </c>
      <c r="M23" s="1">
        <f>IF(COUNTIF('MCIA Corrective Actions'!$A:$A,H23)=0," ",COUNTIF('MCIA Corrective Actions'!$A:$A,H23))</f>
        <v>5</v>
      </c>
      <c r="N23" s="1">
        <f>IF(COUNTIF('MCIA Corrective Actions'!$A:$A,H23)=0," ",COUNTIFS('MCIA Corrective Actions'!$A:$A,H23,'MCIA Corrective Actions'!N:N,"Yes"))</f>
        <v>3</v>
      </c>
      <c r="O23" s="1" t="str">
        <f>_xlfn.IFNA(VLOOKUP(H23,'MCIA Corrective Actions'!$A$2:$R$1092,6,FALSE)," ")</f>
        <v>Jose Gracia</v>
      </c>
      <c r="P23" s="1"/>
    </row>
    <row r="24" spans="1:16" x14ac:dyDescent="0.25">
      <c r="A24" s="1">
        <v>197</v>
      </c>
      <c r="B24" s="108" t="str">
        <f>VLOOKUP($A24,Table1[['#]:[Vessel]],4,FALSE)</f>
        <v>Texas</v>
      </c>
      <c r="C24" s="107">
        <f>VLOOKUP($A24,Table1[['#]:[Date]],3,FALSE)</f>
        <v>44038</v>
      </c>
      <c r="D24" s="3">
        <f>VLOOKUP($A24,Table1[['#]:[Hours]],7,FALSE)</f>
        <v>67.198888888873626</v>
      </c>
      <c r="E24" s="3" t="str">
        <f>VLOOKUP($A24,Table1[['#]:[System]],8,FALSE)&amp;" / "&amp;VLOOKUP($A24,Table1[['#]:[Subsystem]],9,FALSE)</f>
        <v>Ladder Pump / Pump Leak</v>
      </c>
      <c r="F24" s="108">
        <f>VLOOKUP($A24,Table1[['#]:[Work Order '#]],10,FALSE)</f>
        <v>4801646</v>
      </c>
      <c r="G24" s="110" t="str">
        <f>VLOOKUP($A24,Table1[['#]:[Delay Log Notes]],11,FALSE)</f>
        <v>None</v>
      </c>
      <c r="H24" s="105" t="s">
        <v>611</v>
      </c>
      <c r="I24" s="1" t="str">
        <f>_xlfn.IFNA(VLOOKUP(H24,'MCIA Cases'!$A$2:$R$1091,2,FALSE)," ")</f>
        <v xml:space="preserve"> </v>
      </c>
      <c r="J24" s="1" t="str">
        <f>_xlfn.IFNA(VLOOKUP(H24,'MCIA Cases'!$A$2:$R$1091,9,FALSE)," ")</f>
        <v xml:space="preserve"> </v>
      </c>
      <c r="K24" s="1" t="str">
        <f>_xlfn.IFNA(VLOOKUP(H24,'MCIA Cases'!$A$2:$R$1091,10,FALSE)," ")</f>
        <v xml:space="preserve"> </v>
      </c>
      <c r="L24" s="1" t="str">
        <f>_xlfn.IFNA(VLOOKUP(H24,'MCIA Cases'!$A$2:$R$1091,3,FALSE)," ")</f>
        <v xml:space="preserve"> </v>
      </c>
      <c r="M24" s="1" t="str">
        <f>IF(COUNTIF('MCIA Corrective Actions'!$A:$A,H24)=0," ",COUNTIF('MCIA Corrective Actions'!$A:$A,H24))</f>
        <v xml:space="preserve"> </v>
      </c>
      <c r="N24" s="1" t="str">
        <f>IF(COUNTIF('MCIA Corrective Actions'!$A:$A,H24)=0," ",COUNTIFS('MCIA Corrective Actions'!$A:$A,H24,'MCIA Corrective Actions'!N:N,"Yes"))</f>
        <v xml:space="preserve"> </v>
      </c>
      <c r="O24" s="1" t="str">
        <f>_xlfn.IFNA(VLOOKUP(H24,'MCIA Corrective Actions'!$A$2:$R$1092,6,FALSE)," ")</f>
        <v xml:space="preserve"> </v>
      </c>
      <c r="P24" s="1"/>
    </row>
    <row r="25" spans="1:16" x14ac:dyDescent="0.25">
      <c r="A25" s="1">
        <v>198</v>
      </c>
      <c r="B25" s="108" t="str">
        <f>VLOOKUP($A25,Table1[['#]:[Vessel]],4,FALSE)</f>
        <v>Carolina</v>
      </c>
      <c r="C25" s="107">
        <f>VLOOKUP($A25,Table1[['#]:[Date]],3,FALSE)</f>
        <v>44050</v>
      </c>
      <c r="D25" s="3">
        <f>VLOOKUP($A25,Table1[['#]:[Hours]],7,FALSE)</f>
        <v>46.077500000072177</v>
      </c>
      <c r="E25" s="3" t="str">
        <f>VLOOKUP($A25,Table1[['#]:[System]],8,FALSE)&amp;" / "&amp;VLOOKUP($A25,Table1[['#]:[Subsystem]],9,FALSE)</f>
        <v>Electrical System / PLC / Automation</v>
      </c>
      <c r="F25" s="108">
        <f>VLOOKUP($A25,Table1[['#]:[Work Order '#]],10,FALSE)</f>
        <v>4038753</v>
      </c>
      <c r="G25" s="110" t="str">
        <f>VLOOKUP($A25,Table1[['#]:[Delay Log Notes]],11,FALSE)</f>
        <v>None</v>
      </c>
      <c r="H25" s="105" t="s">
        <v>611</v>
      </c>
      <c r="I25" s="1" t="str">
        <f>_xlfn.IFNA(VLOOKUP(H25,'MCIA Cases'!$A$2:$R$1091,2,FALSE)," ")</f>
        <v xml:space="preserve"> </v>
      </c>
      <c r="J25" s="1" t="str">
        <f>_xlfn.IFNA(VLOOKUP(H25,'MCIA Cases'!$A$2:$R$1091,9,FALSE)," ")</f>
        <v xml:space="preserve"> </v>
      </c>
      <c r="K25" s="1" t="str">
        <f>_xlfn.IFNA(VLOOKUP(H25,'MCIA Cases'!$A$2:$R$1091,10,FALSE)," ")</f>
        <v xml:space="preserve"> </v>
      </c>
      <c r="L25" s="1" t="str">
        <f>_xlfn.IFNA(VLOOKUP(H25,'MCIA Cases'!$A$2:$R$1091,3,FALSE)," ")</f>
        <v xml:space="preserve"> </v>
      </c>
      <c r="M25" s="1" t="str">
        <f>IF(COUNTIF('MCIA Corrective Actions'!$A:$A,H25)=0," ",COUNTIF('MCIA Corrective Actions'!$A:$A,H25))</f>
        <v xml:space="preserve"> </v>
      </c>
      <c r="N25" s="1" t="str">
        <f>IF(COUNTIF('MCIA Corrective Actions'!$A:$A,H25)=0," ",COUNTIFS('MCIA Corrective Actions'!$A:$A,H25,'MCIA Corrective Actions'!N:N,"Yes"))</f>
        <v xml:space="preserve"> </v>
      </c>
      <c r="O25" s="1" t="str">
        <f>_xlfn.IFNA(VLOOKUP(H25,'MCIA Corrective Actions'!$A$2:$R$1092,6,FALSE)," ")</f>
        <v xml:space="preserve"> </v>
      </c>
      <c r="P25" s="1"/>
    </row>
    <row r="26" spans="1:16" x14ac:dyDescent="0.25">
      <c r="A26" s="1">
        <v>199</v>
      </c>
      <c r="B26" s="108">
        <f>VLOOKUP($A26,Table1[['#]:[Vessel]],4,FALSE)</f>
        <v>53</v>
      </c>
      <c r="C26" s="107">
        <f>VLOOKUP($A26,Table1[['#]:[Date]],3,FALSE)</f>
        <v>44061</v>
      </c>
      <c r="D26" s="3">
        <f>VLOOKUP($A26,Table1[['#]:[Hours]],7,FALSE)</f>
        <v>23.999722222157288</v>
      </c>
      <c r="E26" s="3" t="str">
        <f>VLOOKUP($A26,Table1[['#]:[System]],8,FALSE)&amp;" / "&amp;VLOOKUP($A26,Table1[['#]:[Subsystem]],9,FALSE)</f>
        <v>Crane Swing / Swing Circle (rollers, etc.)</v>
      </c>
      <c r="F26" s="108" t="str">
        <f>VLOOKUP($A26,Table1[['#]:[Work Order '#]],10,FALSE)</f>
        <v>None</v>
      </c>
      <c r="G26" s="110" t="str">
        <f>VLOOKUP($A26,Table1[['#]:[Delay Log Notes]],11,FALSE)</f>
        <v>down for swinging bush repairs</v>
      </c>
      <c r="H26" s="105" t="s">
        <v>611</v>
      </c>
      <c r="I26" s="1" t="str">
        <f>_xlfn.IFNA(VLOOKUP(H26,'MCIA Cases'!$A$2:$R$1091,2,FALSE)," ")</f>
        <v xml:space="preserve"> </v>
      </c>
      <c r="J26" s="1" t="str">
        <f>_xlfn.IFNA(VLOOKUP(H26,'MCIA Cases'!$A$2:$R$1091,9,FALSE)," ")</f>
        <v xml:space="preserve"> </v>
      </c>
      <c r="K26" s="1" t="str">
        <f>_xlfn.IFNA(VLOOKUP(H26,'MCIA Cases'!$A$2:$R$1091,10,FALSE)," ")</f>
        <v xml:space="preserve"> </v>
      </c>
      <c r="L26" s="1" t="str">
        <f>_xlfn.IFNA(VLOOKUP(H26,'MCIA Cases'!$A$2:$R$1091,3,FALSE)," ")</f>
        <v xml:space="preserve"> </v>
      </c>
      <c r="M26" s="1" t="str">
        <f>IF(COUNTIF('MCIA Corrective Actions'!$A:$A,H26)=0," ",COUNTIF('MCIA Corrective Actions'!$A:$A,H26))</f>
        <v xml:space="preserve"> </v>
      </c>
      <c r="N26" s="1" t="str">
        <f>IF(COUNTIF('MCIA Corrective Actions'!$A:$A,H26)=0," ",COUNTIFS('MCIA Corrective Actions'!$A:$A,H26,'MCIA Corrective Actions'!N:N,"Yes"))</f>
        <v xml:space="preserve"> </v>
      </c>
      <c r="O26" s="1" t="str">
        <f>_xlfn.IFNA(VLOOKUP(H26,'MCIA Corrective Actions'!$A$2:$R$1092,6,FALSE)," ")</f>
        <v xml:space="preserve"> </v>
      </c>
      <c r="P26" s="1"/>
    </row>
    <row r="27" spans="1:16" x14ac:dyDescent="0.25">
      <c r="A27" s="1">
        <v>200</v>
      </c>
      <c r="B27" s="108" t="str">
        <f>VLOOKUP($A27,Table1[['#]:[Vessel]],4,FALSE)</f>
        <v>Ellis Island</v>
      </c>
      <c r="C27" s="107">
        <f>VLOOKUP($A27,Table1[['#]:[Date]],3,FALSE)</f>
        <v>44063</v>
      </c>
      <c r="D27" s="3">
        <f>VLOOKUP($A27,Table1[['#]:[Hours]],7,FALSE)</f>
        <v>201.77</v>
      </c>
      <c r="E27" s="3" t="str">
        <f>VLOOKUP($A27,Table1[['#]:[System]],8,FALSE)&amp;" / "&amp;VLOOKUP($A27,Table1[['#]:[Subsystem]],9,FALSE)</f>
        <v>Main Engine / Propulsion / Gearbox</v>
      </c>
      <c r="F27" s="108" t="str">
        <f>VLOOKUP($A27,Table1[['#]:[Work Order '#]],10,FALSE)</f>
        <v>None</v>
      </c>
      <c r="G27" s="110" t="str">
        <f>VLOOKUP($A27,Table1[['#]:[Delay Log Notes]],11,FALSE)</f>
        <v>Gearbox Troubleshooting</v>
      </c>
      <c r="H27" s="105" t="s">
        <v>611</v>
      </c>
      <c r="I27" s="1" t="str">
        <f>_xlfn.IFNA(VLOOKUP(H27,'MCIA Cases'!$A$2:$R$1091,2,FALSE)," ")</f>
        <v xml:space="preserve"> </v>
      </c>
      <c r="J27" s="1" t="str">
        <f>_xlfn.IFNA(VLOOKUP(H27,'MCIA Cases'!$A$2:$R$1091,9,FALSE)," ")</f>
        <v xml:space="preserve"> </v>
      </c>
      <c r="K27" s="1" t="str">
        <f>_xlfn.IFNA(VLOOKUP(H27,'MCIA Cases'!$A$2:$R$1091,10,FALSE)," ")</f>
        <v xml:space="preserve"> </v>
      </c>
      <c r="L27" s="1" t="str">
        <f>_xlfn.IFNA(VLOOKUP(H27,'MCIA Cases'!$A$2:$R$1091,3,FALSE)," ")</f>
        <v xml:space="preserve"> </v>
      </c>
      <c r="M27" s="1" t="str">
        <f>IF(COUNTIF('MCIA Corrective Actions'!$A:$A,H27)=0," ",COUNTIF('MCIA Corrective Actions'!$A:$A,H27))</f>
        <v xml:space="preserve"> </v>
      </c>
      <c r="N27" s="1" t="str">
        <f>IF(COUNTIF('MCIA Corrective Actions'!$A:$A,H27)=0," ",COUNTIFS('MCIA Corrective Actions'!$A:$A,H27,'MCIA Corrective Actions'!N:N,"Yes"))</f>
        <v xml:space="preserve"> </v>
      </c>
      <c r="O27" s="1" t="str">
        <f>_xlfn.IFNA(VLOOKUP(H27,'MCIA Corrective Actions'!$A$2:$R$1092,6,FALSE)," ")</f>
        <v xml:space="preserve"> </v>
      </c>
      <c r="P27" s="1"/>
    </row>
    <row r="28" spans="1:16" x14ac:dyDescent="0.25">
      <c r="A28" s="1">
        <v>201</v>
      </c>
      <c r="B28" s="108" t="str">
        <f>VLOOKUP($A28,Table1[['#]:[Vessel]],4,FALSE)</f>
        <v>Texas</v>
      </c>
      <c r="C28" s="107">
        <f>VLOOKUP($A28,Table1[['#]:[Date]],3,FALSE)</f>
        <v>44065</v>
      </c>
      <c r="D28" s="3">
        <f>VLOOKUP($A28,Table1[['#]:[Hours]],7,FALSE)</f>
        <v>40.062500000058208</v>
      </c>
      <c r="E28" s="3" t="str">
        <f>VLOOKUP($A28,Table1[['#]:[System]],8,FALSE)&amp;" / "&amp;VLOOKUP($A28,Table1[['#]:[Subsystem]],9,FALSE)</f>
        <v>Cutter / Motor</v>
      </c>
      <c r="F28" s="108">
        <f>VLOOKUP($A28,Table1[['#]:[Work Order '#]],10,FALSE)</f>
        <v>792338</v>
      </c>
      <c r="G28" s="110" t="str">
        <f>VLOOKUP($A28,Table1[['#]:[Delay Log Notes]],11,FALSE)</f>
        <v>tow dredge in for repairs- Cutter mottor cooler</v>
      </c>
      <c r="H28" s="105" t="s">
        <v>611</v>
      </c>
      <c r="I28" s="1" t="str">
        <f>_xlfn.IFNA(VLOOKUP(H28,'MCIA Cases'!$A$2:$R$1091,2,FALSE)," ")</f>
        <v xml:space="preserve"> </v>
      </c>
      <c r="J28" s="1" t="str">
        <f>_xlfn.IFNA(VLOOKUP(H28,'MCIA Cases'!$A$2:$R$1091,9,FALSE)," ")</f>
        <v xml:space="preserve"> </v>
      </c>
      <c r="K28" s="1" t="str">
        <f>_xlfn.IFNA(VLOOKUP(H28,'MCIA Cases'!$A$2:$R$1091,10,FALSE)," ")</f>
        <v xml:space="preserve"> </v>
      </c>
      <c r="L28" s="1" t="str">
        <f>_xlfn.IFNA(VLOOKUP(H28,'MCIA Cases'!$A$2:$R$1091,3,FALSE)," ")</f>
        <v xml:space="preserve"> </v>
      </c>
      <c r="M28" s="1" t="str">
        <f>IF(COUNTIF('MCIA Corrective Actions'!$A:$A,H28)=0," ",COUNTIF('MCIA Corrective Actions'!$A:$A,H28))</f>
        <v xml:space="preserve"> </v>
      </c>
      <c r="N28" s="1" t="str">
        <f>IF(COUNTIF('MCIA Corrective Actions'!$A:$A,H28)=0," ",COUNTIFS('MCIA Corrective Actions'!$A:$A,H28,'MCIA Corrective Actions'!N:N,"Yes"))</f>
        <v xml:space="preserve"> </v>
      </c>
      <c r="O28" s="1" t="str">
        <f>_xlfn.IFNA(VLOOKUP(H28,'MCIA Corrective Actions'!$A$2:$R$1092,6,FALSE)," ")</f>
        <v xml:space="preserve"> </v>
      </c>
      <c r="P28" s="1"/>
    </row>
    <row r="29" spans="1:16" x14ac:dyDescent="0.25">
      <c r="A29" s="1">
        <v>202</v>
      </c>
      <c r="B29" s="108" t="str">
        <f>VLOOKUP($A29,Table1[['#]:[Vessel]],4,FALSE)</f>
        <v>Carolina</v>
      </c>
      <c r="C29" s="107">
        <f>VLOOKUP($A29,Table1[['#]:[Date]],3,FALSE)</f>
        <v>44065</v>
      </c>
      <c r="D29" s="3">
        <f>VLOOKUP($A29,Table1[['#]:[Hours]],7,FALSE)</f>
        <v>27.066388889041264</v>
      </c>
      <c r="E29" s="3" t="str">
        <f>VLOOKUP($A29,Table1[['#]:[System]],8,FALSE)&amp;" / "&amp;VLOOKUP($A29,Table1[['#]:[Subsystem]],9,FALSE)</f>
        <v>Cutter / Bearing / Shaft</v>
      </c>
      <c r="F29" s="108">
        <f>VLOOKUP($A29,Table1[['#]:[Work Order '#]],10,FALSE)</f>
        <v>4038781</v>
      </c>
      <c r="G29" s="110" t="str">
        <f>VLOOKUP($A29,Table1[['#]:[Delay Log Notes]],11,FALSE)</f>
        <v>lost service water</v>
      </c>
      <c r="H29" s="105">
        <v>361</v>
      </c>
      <c r="I29" s="1" t="str">
        <f>_xlfn.IFNA(VLOOKUP(H29,'MCIA Cases'!$A$2:$R$1091,2,FALSE)," ")</f>
        <v>Carolina Plugged Service water line</v>
      </c>
      <c r="J29" s="1">
        <f>_xlfn.IFNA(VLOOKUP(H29,'MCIA Cases'!$A$2:$R$1091,9,FALSE)," ")</f>
        <v>0</v>
      </c>
      <c r="K29" s="1">
        <f>_xlfn.IFNA(VLOOKUP(H29,'MCIA Cases'!$A$2:$R$1091,10,FALSE)," ")</f>
        <v>0</v>
      </c>
      <c r="L29" s="1" t="str">
        <f>_xlfn.IFNA(VLOOKUP(H29,'MCIA Cases'!$A$2:$R$1091,3,FALSE)," ")</f>
        <v>Scott Baumann</v>
      </c>
      <c r="M29" s="1">
        <f>IF(COUNTIF('MCIA Corrective Actions'!$A:$A,H29)=0," ",COUNTIF('MCIA Corrective Actions'!$A:$A,H29))</f>
        <v>5</v>
      </c>
      <c r="N29" s="1">
        <f>IF(COUNTIF('MCIA Corrective Actions'!$A:$A,H29)=0," ",COUNTIFS('MCIA Corrective Actions'!$A:$A,H29,'MCIA Corrective Actions'!N:N,"Yes"))</f>
        <v>3</v>
      </c>
      <c r="O29" s="1" t="str">
        <f>_xlfn.IFNA(VLOOKUP(H29,'MCIA Corrective Actions'!$A$2:$R$1092,6,FALSE)," ")</f>
        <v>Tim Riehl</v>
      </c>
      <c r="P29" s="1"/>
    </row>
    <row r="30" spans="1:16" x14ac:dyDescent="0.25">
      <c r="A30" s="1">
        <v>203</v>
      </c>
      <c r="B30" s="108">
        <f>VLOOKUP($A30,Table1[['#]:[Vessel]],4,FALSE)</f>
        <v>54</v>
      </c>
      <c r="C30" s="107">
        <f>VLOOKUP($A30,Table1[['#]:[Date]],3,FALSE)</f>
        <v>44066</v>
      </c>
      <c r="D30" s="3">
        <f>VLOOKUP($A30,Table1[['#]:[Hours]],7,FALSE)</f>
        <v>117.29638888884801</v>
      </c>
      <c r="E30" s="3" t="str">
        <f>VLOOKUP($A30,Table1[['#]:[System]],8,FALSE)&amp;" / "&amp;VLOOKUP($A30,Table1[['#]:[Subsystem]],9,FALSE)</f>
        <v>Main Hoist / Holder</v>
      </c>
      <c r="F30" s="108">
        <f>VLOOKUP($A30,Table1[['#]:[Work Order '#]],10,FALSE)</f>
        <v>4251786</v>
      </c>
      <c r="G30" s="110" t="str">
        <f>VLOOKUP($A30,Table1[['#]:[Delay Log Notes]],11,FALSE)</f>
        <v>going to S I yard for repairs</v>
      </c>
      <c r="H30" s="105" t="s">
        <v>611</v>
      </c>
      <c r="I30" s="1" t="str">
        <f>_xlfn.IFNA(VLOOKUP(H30,'MCIA Cases'!$A$2:$R$1091,2,FALSE)," ")</f>
        <v xml:space="preserve"> </v>
      </c>
      <c r="J30" s="1" t="str">
        <f>_xlfn.IFNA(VLOOKUP(H30,'MCIA Cases'!$A$2:$R$1091,9,FALSE)," ")</f>
        <v xml:space="preserve"> </v>
      </c>
      <c r="K30" s="1" t="str">
        <f>_xlfn.IFNA(VLOOKUP(H30,'MCIA Cases'!$A$2:$R$1091,10,FALSE)," ")</f>
        <v xml:space="preserve"> </v>
      </c>
      <c r="L30" s="1" t="str">
        <f>_xlfn.IFNA(VLOOKUP(H30,'MCIA Cases'!$A$2:$R$1091,3,FALSE)," ")</f>
        <v xml:space="preserve"> </v>
      </c>
      <c r="M30" s="1" t="str">
        <f>IF(COUNTIF('MCIA Corrective Actions'!$A:$A,H30)=0," ",COUNTIF('MCIA Corrective Actions'!$A:$A,H30))</f>
        <v xml:space="preserve"> </v>
      </c>
      <c r="N30" s="1" t="str">
        <f>IF(COUNTIF('MCIA Corrective Actions'!$A:$A,H30)=0," ",COUNTIFS('MCIA Corrective Actions'!$A:$A,H30,'MCIA Corrective Actions'!N:N,"Yes"))</f>
        <v xml:space="preserve"> </v>
      </c>
      <c r="O30" s="1" t="str">
        <f>_xlfn.IFNA(VLOOKUP(H30,'MCIA Corrective Actions'!$A$2:$R$1092,6,FALSE)," ")</f>
        <v xml:space="preserve"> </v>
      </c>
      <c r="P30" s="1"/>
    </row>
    <row r="31" spans="1:16" x14ac:dyDescent="0.25">
      <c r="A31" s="1">
        <v>204</v>
      </c>
      <c r="B31" s="108" t="str">
        <f>VLOOKUP($A31,Table1[['#]:[Vessel]],4,FALSE)</f>
        <v>Texas</v>
      </c>
      <c r="C31" s="107">
        <f>VLOOKUP($A31,Table1[['#]:[Date]],3,FALSE)</f>
        <v>44071</v>
      </c>
      <c r="D31" s="3">
        <f>VLOOKUP($A31,Table1[['#]:[Hours]],7,FALSE)</f>
        <v>31.669722222082783</v>
      </c>
      <c r="E31" s="3" t="str">
        <f>VLOOKUP($A31,Table1[['#]:[System]],8,FALSE)&amp;" / "&amp;VLOOKUP($A31,Table1[['#]:[Subsystem]],9,FALSE)</f>
        <v>Ladder Pump / Pump Rebuild</v>
      </c>
      <c r="F31" s="108">
        <f>VLOOKUP($A31,Table1[['#]:[Work Order '#]],10,FALSE)</f>
        <v>4802045</v>
      </c>
      <c r="G31" s="110" t="str">
        <f>VLOOKUP($A31,Table1[['#]:[Delay Log Notes]],11,FALSE)</f>
        <v>pump shell cracked - change pump shell</v>
      </c>
      <c r="H31" s="105" t="s">
        <v>611</v>
      </c>
      <c r="I31" s="1" t="str">
        <f>_xlfn.IFNA(VLOOKUP(H31,'MCIA Cases'!$A$2:$R$1091,2,FALSE)," ")</f>
        <v xml:space="preserve"> </v>
      </c>
      <c r="J31" s="1" t="str">
        <f>_xlfn.IFNA(VLOOKUP(H31,'MCIA Cases'!$A$2:$R$1091,9,FALSE)," ")</f>
        <v xml:space="preserve"> </v>
      </c>
      <c r="K31" s="1" t="str">
        <f>_xlfn.IFNA(VLOOKUP(H31,'MCIA Cases'!$A$2:$R$1091,10,FALSE)," ")</f>
        <v xml:space="preserve"> </v>
      </c>
      <c r="L31" s="1" t="str">
        <f>_xlfn.IFNA(VLOOKUP(H31,'MCIA Cases'!$A$2:$R$1091,3,FALSE)," ")</f>
        <v xml:space="preserve"> </v>
      </c>
      <c r="M31" s="1" t="str">
        <f>IF(COUNTIF('MCIA Corrective Actions'!$A:$A,H31)=0," ",COUNTIF('MCIA Corrective Actions'!$A:$A,H31))</f>
        <v xml:space="preserve"> </v>
      </c>
      <c r="N31" s="1" t="str">
        <f>IF(COUNTIF('MCIA Corrective Actions'!$A:$A,H31)=0," ",COUNTIFS('MCIA Corrective Actions'!$A:$A,H31,'MCIA Corrective Actions'!N:N,"Yes"))</f>
        <v xml:space="preserve"> </v>
      </c>
      <c r="O31" s="1" t="str">
        <f>_xlfn.IFNA(VLOOKUP(H31,'MCIA Corrective Actions'!$A$2:$R$1092,6,FALSE)," ")</f>
        <v xml:space="preserve"> </v>
      </c>
      <c r="P31" s="1"/>
    </row>
    <row r="32" spans="1:16" x14ac:dyDescent="0.25">
      <c r="A32" s="1">
        <v>205</v>
      </c>
      <c r="B32" s="108" t="str">
        <f>VLOOKUP($A32,Table1[['#]:[Vessel]],4,FALSE)</f>
        <v>Ellis Island</v>
      </c>
      <c r="C32" s="107">
        <f>VLOOKUP($A32,Table1[['#]:[Date]],3,FALSE)</f>
        <v>44072</v>
      </c>
      <c r="D32" s="3">
        <f>VLOOKUP($A32,Table1[['#]:[Hours]],7,FALSE)</f>
        <v>201.77</v>
      </c>
      <c r="E32" s="3" t="str">
        <f>VLOOKUP($A32,Table1[['#]:[System]],8,FALSE)&amp;" / "&amp;VLOOKUP($A32,Table1[['#]:[Subsystem]],9,FALSE)</f>
        <v>Main Engine / Propulsion / Gearbox</v>
      </c>
      <c r="F32" s="108" t="str">
        <f>VLOOKUP($A32,Table1[['#]:[Work Order '#]],10,FALSE)</f>
        <v>None</v>
      </c>
      <c r="G32" s="110" t="str">
        <f>VLOOKUP($A32,Table1[['#]:[Delay Log Notes]],11,FALSE)</f>
        <v>Gearbox Troubleshooting</v>
      </c>
      <c r="H32" s="105" t="s">
        <v>611</v>
      </c>
      <c r="I32" s="1" t="str">
        <f>_xlfn.IFNA(VLOOKUP(H32,'MCIA Cases'!$A$2:$R$1091,2,FALSE)," ")</f>
        <v xml:space="preserve"> </v>
      </c>
      <c r="J32" s="1" t="str">
        <f>_xlfn.IFNA(VLOOKUP(H32,'MCIA Cases'!$A$2:$R$1091,9,FALSE)," ")</f>
        <v xml:space="preserve"> </v>
      </c>
      <c r="K32" s="1" t="str">
        <f>_xlfn.IFNA(VLOOKUP(H32,'MCIA Cases'!$A$2:$R$1091,10,FALSE)," ")</f>
        <v xml:space="preserve"> </v>
      </c>
      <c r="L32" s="1" t="str">
        <f>_xlfn.IFNA(VLOOKUP(H32,'MCIA Cases'!$A$2:$R$1091,3,FALSE)," ")</f>
        <v xml:space="preserve"> </v>
      </c>
      <c r="M32" s="1" t="str">
        <f>IF(COUNTIF('MCIA Corrective Actions'!$A:$A,H32)=0," ",COUNTIF('MCIA Corrective Actions'!$A:$A,H32))</f>
        <v xml:space="preserve"> </v>
      </c>
      <c r="N32" s="1" t="str">
        <f>IF(COUNTIF('MCIA Corrective Actions'!$A:$A,H32)=0," ",COUNTIFS('MCIA Corrective Actions'!$A:$A,H32,'MCIA Corrective Actions'!N:N,"Yes"))</f>
        <v xml:space="preserve"> </v>
      </c>
      <c r="O32" s="1" t="str">
        <f>_xlfn.IFNA(VLOOKUP(H32,'MCIA Corrective Actions'!$A$2:$R$1092,6,FALSE)," ")</f>
        <v xml:space="preserve"> </v>
      </c>
      <c r="P32" s="1"/>
    </row>
    <row r="33" spans="1:16" x14ac:dyDescent="0.25">
      <c r="A33" s="1">
        <v>206</v>
      </c>
      <c r="B33" s="108">
        <f>VLOOKUP($A33,Table1[['#]:[Vessel]],4,FALSE)</f>
        <v>53</v>
      </c>
      <c r="C33" s="107">
        <f>VLOOKUP($A33,Table1[['#]:[Date]],3,FALSE)</f>
        <v>44077</v>
      </c>
      <c r="D33" s="3">
        <f>VLOOKUP($A33,Table1[['#]:[Hours]],7,FALSE)</f>
        <v>27.058055555680767</v>
      </c>
      <c r="E33" s="3" t="str">
        <f>VLOOKUP($A33,Table1[['#]:[System]],8,FALSE)&amp;" / "&amp;VLOOKUP($A33,Table1[['#]:[Subsystem]],9,FALSE)</f>
        <v>Main / Aux. Generators / Main Generator</v>
      </c>
      <c r="F33" s="108" t="str">
        <f>VLOOKUP($A33,Table1[['#]:[Work Order '#]],10,FALSE)</f>
        <v>None</v>
      </c>
      <c r="G33" s="110" t="str">
        <f>VLOOKUP($A33,Table1[['#]:[Delay Log Notes]],11,FALSE)</f>
        <v>None</v>
      </c>
      <c r="H33" s="105" t="s">
        <v>611</v>
      </c>
      <c r="I33" s="1" t="str">
        <f>_xlfn.IFNA(VLOOKUP(H33,'MCIA Cases'!$A$2:$R$1091,2,FALSE)," ")</f>
        <v xml:space="preserve"> </v>
      </c>
      <c r="J33" s="1" t="str">
        <f>_xlfn.IFNA(VLOOKUP(H33,'MCIA Cases'!$A$2:$R$1091,9,FALSE)," ")</f>
        <v xml:space="preserve"> </v>
      </c>
      <c r="K33" s="1" t="str">
        <f>_xlfn.IFNA(VLOOKUP(H33,'MCIA Cases'!$A$2:$R$1091,10,FALSE)," ")</f>
        <v xml:space="preserve"> </v>
      </c>
      <c r="L33" s="1" t="str">
        <f>_xlfn.IFNA(VLOOKUP(H33,'MCIA Cases'!$A$2:$R$1091,3,FALSE)," ")</f>
        <v xml:space="preserve"> </v>
      </c>
      <c r="M33" s="1" t="str">
        <f>IF(COUNTIF('MCIA Corrective Actions'!$A:$A,H33)=0," ",COUNTIF('MCIA Corrective Actions'!$A:$A,H33))</f>
        <v xml:space="preserve"> </v>
      </c>
      <c r="N33" s="1" t="str">
        <f>IF(COUNTIF('MCIA Corrective Actions'!$A:$A,H33)=0," ",COUNTIFS('MCIA Corrective Actions'!$A:$A,H33,'MCIA Corrective Actions'!N:N,"Yes"))</f>
        <v xml:space="preserve"> </v>
      </c>
      <c r="O33" s="1" t="str">
        <f>_xlfn.IFNA(VLOOKUP(H33,'MCIA Corrective Actions'!$A$2:$R$1092,6,FALSE)," ")</f>
        <v xml:space="preserve"> </v>
      </c>
      <c r="P33" s="1"/>
    </row>
    <row r="34" spans="1:16" x14ac:dyDescent="0.25">
      <c r="A34" s="1">
        <v>207</v>
      </c>
      <c r="B34" s="108" t="str">
        <f>VLOOKUP($A34,Table1[['#]:[Vessel]],4,FALSE)</f>
        <v>Alaska</v>
      </c>
      <c r="C34" s="107">
        <f>VLOOKUP($A34,Table1[['#]:[Date]],3,FALSE)</f>
        <v>44098</v>
      </c>
      <c r="D34" s="3">
        <f>VLOOKUP($A34,Table1[['#]:[Hours]],7,FALSE)</f>
        <v>243.1527777776937</v>
      </c>
      <c r="E34" s="3" t="str">
        <f>VLOOKUP($A34,Table1[['#]:[System]],8,FALSE)&amp;" / "&amp;VLOOKUP($A34,Table1[['#]:[Subsystem]],9,FALSE)</f>
        <v>Main Pump / Bearings / Shafts</v>
      </c>
      <c r="F34" s="108">
        <f>VLOOKUP($A34,Table1[['#]:[Work Order '#]],10,FALSE)</f>
        <v>4802724</v>
      </c>
      <c r="G34" s="110" t="str">
        <f>VLOOKUP($A34,Table1[['#]:[Delay Log Notes]],11,FALSE)</f>
        <v>thurst bearing temp high</v>
      </c>
      <c r="H34" s="105">
        <v>368</v>
      </c>
      <c r="I34" s="1" t="str">
        <f>_xlfn.IFNA(VLOOKUP(H34,'MCIA Cases'!$A$2:$R$1091,2,FALSE)," ")</f>
        <v xml:space="preserve">Alaska M/P Thrust Bearing Failure </v>
      </c>
      <c r="J34" s="1">
        <f>_xlfn.IFNA(VLOOKUP(H34,'MCIA Cases'!$A$2:$R$1091,9,FALSE)," ")</f>
        <v>0</v>
      </c>
      <c r="K34" s="1">
        <f>_xlfn.IFNA(VLOOKUP(H34,'MCIA Cases'!$A$2:$R$1091,10,FALSE)," ")</f>
        <v>0</v>
      </c>
      <c r="L34" s="1" t="str">
        <f>_xlfn.IFNA(VLOOKUP(H34,'MCIA Cases'!$A$2:$R$1091,3,FALSE)," ")</f>
        <v>Jose Gracia</v>
      </c>
      <c r="M34" s="1">
        <f>IF(COUNTIF('MCIA Corrective Actions'!$A:$A,H34)=0," ",COUNTIF('MCIA Corrective Actions'!$A:$A,H34))</f>
        <v>1</v>
      </c>
      <c r="N34" s="1">
        <f>IF(COUNTIF('MCIA Corrective Actions'!$A:$A,H34)=0," ",COUNTIFS('MCIA Corrective Actions'!$A:$A,H34,'MCIA Corrective Actions'!N:N,"Yes"))</f>
        <v>1</v>
      </c>
      <c r="O34" s="1" t="str">
        <f>_xlfn.IFNA(VLOOKUP(H34,'MCIA Corrective Actions'!$A$2:$R$1092,6,FALSE)," ")</f>
        <v>Tim Riehl</v>
      </c>
      <c r="P34" s="1"/>
    </row>
    <row r="35" spans="1:16" x14ac:dyDescent="0.25">
      <c r="A35" s="1">
        <v>208</v>
      </c>
      <c r="B35" s="108" t="str">
        <f>VLOOKUP($A35,Table1[['#]:[Vessel]],4,FALSE)</f>
        <v>Liberty Island</v>
      </c>
      <c r="C35" s="107">
        <f>VLOOKUP($A35,Table1[['#]:[Date]],3,FALSE)</f>
        <v>44117</v>
      </c>
      <c r="D35" s="3">
        <f>VLOOKUP($A35,Table1[['#]:[Hours]],7,FALSE)</f>
        <v>130.53</v>
      </c>
      <c r="E35" s="3" t="str">
        <f>VLOOKUP($A35,Table1[['#]:[System]],8,FALSE)&amp;" / "&amp;VLOOKUP($A35,Table1[['#]:[Subsystem]],9,FALSE)</f>
        <v>Main Engine / Propulsion / Other</v>
      </c>
      <c r="F35" s="108">
        <f>VLOOKUP($A35,Table1[['#]:[Work Order '#]],10,FALSE)</f>
        <v>850561</v>
      </c>
      <c r="G35" s="110" t="str">
        <f>VLOOKUP($A35,Table1[['#]:[Delay Log Notes]],11,FALSE)</f>
        <v>M/E shutdown; troubleshooting</v>
      </c>
      <c r="H35" s="105">
        <v>375</v>
      </c>
      <c r="I35" s="1" t="str">
        <f>_xlfn.IFNA(VLOOKUP(H35,'MCIA Cases'!$A$2:$R$1091,2,FALSE)," ")</f>
        <v>Liberty Is Uncommand Stops Gen + Main Eng</v>
      </c>
      <c r="J35" s="1">
        <f>_xlfn.IFNA(VLOOKUP(H35,'MCIA Cases'!$A$2:$R$1091,9,FALSE)," ")</f>
        <v>0</v>
      </c>
      <c r="K35" s="1">
        <f>_xlfn.IFNA(VLOOKUP(H35,'MCIA Cases'!$A$2:$R$1091,10,FALSE)," ")</f>
        <v>0</v>
      </c>
      <c r="L35" s="1" t="str">
        <f>_xlfn.IFNA(VLOOKUP(H35,'MCIA Cases'!$A$2:$R$1091,3,FALSE)," ")</f>
        <v>Chris Roberts</v>
      </c>
      <c r="M35" s="1">
        <f>IF(COUNTIF('MCIA Corrective Actions'!$A:$A,H35)=0," ",COUNTIF('MCIA Corrective Actions'!$A:$A,H35))</f>
        <v>6</v>
      </c>
      <c r="N35" s="1">
        <f>IF(COUNTIF('MCIA Corrective Actions'!$A:$A,H35)=0," ",COUNTIFS('MCIA Corrective Actions'!$A:$A,H35,'MCIA Corrective Actions'!N:N,"Yes"))</f>
        <v>0</v>
      </c>
      <c r="O35" s="1" t="str">
        <f>_xlfn.IFNA(VLOOKUP(H35,'MCIA Corrective Actions'!$A$2:$R$1092,6,FALSE)," ")</f>
        <v>Chris Roberts</v>
      </c>
      <c r="P35" s="1"/>
    </row>
    <row r="36" spans="1:16" x14ac:dyDescent="0.25">
      <c r="A36" s="1">
        <v>209</v>
      </c>
      <c r="B36" s="108" t="str">
        <f>VLOOKUP($A36,Table1[['#]:[Vessel]],4,FALSE)</f>
        <v>Carolina</v>
      </c>
      <c r="C36" s="107">
        <f>VLOOKUP($A36,Table1[['#]:[Date]],3,FALSE)</f>
        <v>44119</v>
      </c>
      <c r="D36" s="3">
        <f>VLOOKUP($A36,Table1[['#]:[Hours]],7,FALSE)</f>
        <v>61.499444444314577</v>
      </c>
      <c r="E36" s="3" t="str">
        <f>VLOOKUP($A36,Table1[['#]:[System]],8,FALSE)&amp;" / "&amp;VLOOKUP($A36,Table1[['#]:[Subsystem]],9,FALSE)</f>
        <v>Main Pump / Bearings / Shafts</v>
      </c>
      <c r="F36" s="108">
        <f>VLOOKUP($A36,Table1[['#]:[Work Order '#]],10,FALSE)</f>
        <v>4803118</v>
      </c>
      <c r="G36" s="110" t="str">
        <f>VLOOKUP($A36,Table1[['#]:[Delay Log Notes]],11,FALSE)</f>
        <v>None</v>
      </c>
      <c r="H36" s="105" t="s">
        <v>611</v>
      </c>
      <c r="I36" s="1" t="str">
        <f>_xlfn.IFNA(VLOOKUP(H36,'MCIA Cases'!$A$2:$R$1091,2,FALSE)," ")</f>
        <v xml:space="preserve"> </v>
      </c>
      <c r="J36" s="1" t="str">
        <f>_xlfn.IFNA(VLOOKUP(H36,'MCIA Cases'!$A$2:$R$1091,9,FALSE)," ")</f>
        <v xml:space="preserve"> </v>
      </c>
      <c r="K36" s="1" t="str">
        <f>_xlfn.IFNA(VLOOKUP(H36,'MCIA Cases'!$A$2:$R$1091,10,FALSE)," ")</f>
        <v xml:space="preserve"> </v>
      </c>
      <c r="L36" s="1" t="str">
        <f>_xlfn.IFNA(VLOOKUP(H36,'MCIA Cases'!$A$2:$R$1091,3,FALSE)," ")</f>
        <v xml:space="preserve"> </v>
      </c>
      <c r="M36" s="1" t="str">
        <f>IF(COUNTIF('MCIA Corrective Actions'!$A:$A,H36)=0," ",COUNTIF('MCIA Corrective Actions'!$A:$A,H36))</f>
        <v xml:space="preserve"> </v>
      </c>
      <c r="N36" s="1" t="str">
        <f>IF(COUNTIF('MCIA Corrective Actions'!$A:$A,H36)=0," ",COUNTIFS('MCIA Corrective Actions'!$A:$A,H36,'MCIA Corrective Actions'!N:N,"Yes"))</f>
        <v xml:space="preserve"> </v>
      </c>
      <c r="O36" s="1" t="str">
        <f>_xlfn.IFNA(VLOOKUP(H36,'MCIA Corrective Actions'!$A$2:$R$1092,6,FALSE)," ")</f>
        <v xml:space="preserve"> </v>
      </c>
      <c r="P36" s="1"/>
    </row>
    <row r="37" spans="1:16" x14ac:dyDescent="0.25">
      <c r="A37" s="1">
        <v>210</v>
      </c>
      <c r="B37" s="108" t="str">
        <f>VLOOKUP($A37,Table1[['#]:[Vessel]],4,FALSE)</f>
        <v>Ohio</v>
      </c>
      <c r="C37" s="107">
        <f>VLOOKUP($A37,Table1[['#]:[Date]],3,FALSE)</f>
        <v>44122</v>
      </c>
      <c r="D37" s="3">
        <f>VLOOKUP($A37,Table1[['#]:[Hours]],7,FALSE)</f>
        <v>62.895000000076834</v>
      </c>
      <c r="E37" s="3" t="str">
        <f>VLOOKUP($A37,Table1[['#]:[System]],8,FALSE)&amp;" / "&amp;VLOOKUP($A37,Table1[['#]:[Subsystem]],9,FALSE)</f>
        <v>Electrical System / PLC / Automation</v>
      </c>
      <c r="F37" s="108" t="str">
        <f>VLOOKUP($A37,Table1[['#]:[Work Order '#]],10,FALSE)</f>
        <v>None</v>
      </c>
      <c r="G37" s="110" t="str">
        <f>VLOOKUP($A37,Table1[['#]:[Delay Log Notes]],11,FALSE)</f>
        <v>UWP is tripping out on the main board</v>
      </c>
      <c r="H37" s="105" t="s">
        <v>611</v>
      </c>
      <c r="I37" s="1" t="str">
        <f>_xlfn.IFNA(VLOOKUP(H37,'MCIA Cases'!$A$2:$R$1091,2,FALSE)," ")</f>
        <v xml:space="preserve"> </v>
      </c>
      <c r="J37" s="1" t="str">
        <f>_xlfn.IFNA(VLOOKUP(H37,'MCIA Cases'!$A$2:$R$1091,9,FALSE)," ")</f>
        <v xml:space="preserve"> </v>
      </c>
      <c r="K37" s="1" t="str">
        <f>_xlfn.IFNA(VLOOKUP(H37,'MCIA Cases'!$A$2:$R$1091,10,FALSE)," ")</f>
        <v xml:space="preserve"> </v>
      </c>
      <c r="L37" s="1" t="str">
        <f>_xlfn.IFNA(VLOOKUP(H37,'MCIA Cases'!$A$2:$R$1091,3,FALSE)," ")</f>
        <v xml:space="preserve"> </v>
      </c>
      <c r="M37" s="1" t="str">
        <f>IF(COUNTIF('MCIA Corrective Actions'!$A:$A,H37)=0," ",COUNTIF('MCIA Corrective Actions'!$A:$A,H37))</f>
        <v xml:space="preserve"> </v>
      </c>
      <c r="N37" s="1" t="str">
        <f>IF(COUNTIF('MCIA Corrective Actions'!$A:$A,H37)=0," ",COUNTIFS('MCIA Corrective Actions'!$A:$A,H37,'MCIA Corrective Actions'!N:N,"Yes"))</f>
        <v xml:space="preserve"> </v>
      </c>
      <c r="O37" s="1" t="str">
        <f>_xlfn.IFNA(VLOOKUP(H37,'MCIA Corrective Actions'!$A$2:$R$1092,6,FALSE)," ")</f>
        <v xml:space="preserve"> </v>
      </c>
      <c r="P37" s="1"/>
    </row>
    <row r="38" spans="1:16" x14ac:dyDescent="0.25">
      <c r="A38" s="1">
        <v>211</v>
      </c>
      <c r="B38" s="108">
        <f>VLOOKUP($A38,Table1[['#]:[Vessel]],4,FALSE)</f>
        <v>54</v>
      </c>
      <c r="C38" s="107">
        <f>VLOOKUP($A38,Table1[['#]:[Date]],3,FALSE)</f>
        <v>44125</v>
      </c>
      <c r="D38" s="3">
        <f>VLOOKUP($A38,Table1[['#]:[Hours]],7,FALSE)</f>
        <v>94.386666666716337</v>
      </c>
      <c r="E38" s="3" t="str">
        <f>VLOOKUP($A38,Table1[['#]:[System]],8,FALSE)&amp;" / "&amp;VLOOKUP($A38,Table1[['#]:[Subsystem]],9,FALSE)</f>
        <v>Crane Swing / Drive (motor, gear box, etc.)</v>
      </c>
      <c r="F38" s="108" t="str">
        <f>VLOOKUP($A38,Table1[['#]:[Work Order '#]],10,FALSE)</f>
        <v>None</v>
      </c>
      <c r="G38" s="110" t="str">
        <f>VLOOKUP($A38,Table1[['#]:[Delay Log Notes]],11,FALSE)</f>
        <v>stbd swing gear bushing went bad</v>
      </c>
      <c r="H38" s="105" t="s">
        <v>611</v>
      </c>
      <c r="I38" s="1" t="str">
        <f>_xlfn.IFNA(VLOOKUP(H38,'MCIA Cases'!$A$2:$R$1091,2,FALSE)," ")</f>
        <v xml:space="preserve"> </v>
      </c>
      <c r="J38" s="1" t="str">
        <f>_xlfn.IFNA(VLOOKUP(H38,'MCIA Cases'!$A$2:$R$1091,9,FALSE)," ")</f>
        <v xml:space="preserve"> </v>
      </c>
      <c r="K38" s="1" t="str">
        <f>_xlfn.IFNA(VLOOKUP(H38,'MCIA Cases'!$A$2:$R$1091,10,FALSE)," ")</f>
        <v xml:space="preserve"> </v>
      </c>
      <c r="L38" s="1" t="str">
        <f>_xlfn.IFNA(VLOOKUP(H38,'MCIA Cases'!$A$2:$R$1091,3,FALSE)," ")</f>
        <v xml:space="preserve"> </v>
      </c>
      <c r="M38" s="1" t="str">
        <f>IF(COUNTIF('MCIA Corrective Actions'!$A:$A,H38)=0," ",COUNTIF('MCIA Corrective Actions'!$A:$A,H38))</f>
        <v xml:space="preserve"> </v>
      </c>
      <c r="N38" s="1" t="str">
        <f>IF(COUNTIF('MCIA Corrective Actions'!$A:$A,H38)=0," ",COUNTIFS('MCIA Corrective Actions'!$A:$A,H38,'MCIA Corrective Actions'!N:N,"Yes"))</f>
        <v xml:space="preserve"> </v>
      </c>
      <c r="O38" s="1" t="str">
        <f>_xlfn.IFNA(VLOOKUP(H38,'MCIA Corrective Actions'!$A$2:$R$1092,6,FALSE)," ")</f>
        <v xml:space="preserve"> </v>
      </c>
      <c r="P38" s="1"/>
    </row>
    <row r="39" spans="1:16" ht="30" x14ac:dyDescent="0.25">
      <c r="A39" s="1">
        <v>212</v>
      </c>
      <c r="B39" s="108" t="str">
        <f>VLOOKUP($A39,Table1[['#]:[Vessel]],4,FALSE)</f>
        <v>Alaska</v>
      </c>
      <c r="C39" s="107">
        <f>VLOOKUP($A39,Table1[['#]:[Date]],3,FALSE)</f>
        <v>44126</v>
      </c>
      <c r="D39" s="3">
        <f>VLOOKUP($A39,Table1[['#]:[Hours]],7,FALSE)</f>
        <v>67.445833333418705</v>
      </c>
      <c r="E39" s="3" t="str">
        <f>VLOOKUP($A39,Table1[['#]:[System]],8,FALSE)&amp;" / "&amp;VLOOKUP($A39,Table1[['#]:[Subsystem]],9,FALSE)</f>
        <v>Main Pump / Bearings / Shafts</v>
      </c>
      <c r="F39" s="108">
        <f>VLOOKUP($A39,Table1[['#]:[Work Order '#]],10,FALSE)</f>
        <v>1747550</v>
      </c>
      <c r="G39" s="110" t="str">
        <f>VLOOKUP($A39,Table1[['#]:[Delay Log Notes]],11,FALSE)</f>
        <v>thrust bearing heated up and the machine unclutched on its own</v>
      </c>
      <c r="H39" s="105" t="s">
        <v>611</v>
      </c>
      <c r="I39" s="1" t="str">
        <f>_xlfn.IFNA(VLOOKUP(H39,'MCIA Cases'!$A$2:$R$1091,2,FALSE)," ")</f>
        <v xml:space="preserve"> </v>
      </c>
      <c r="J39" s="1" t="str">
        <f>_xlfn.IFNA(VLOOKUP(H39,'MCIA Cases'!$A$2:$R$1091,9,FALSE)," ")</f>
        <v xml:space="preserve"> </v>
      </c>
      <c r="K39" s="1" t="str">
        <f>_xlfn.IFNA(VLOOKUP(H39,'MCIA Cases'!$A$2:$R$1091,10,FALSE)," ")</f>
        <v xml:space="preserve"> </v>
      </c>
      <c r="L39" s="1" t="str">
        <f>_xlfn.IFNA(VLOOKUP(H39,'MCIA Cases'!$A$2:$R$1091,3,FALSE)," ")</f>
        <v xml:space="preserve"> </v>
      </c>
      <c r="M39" s="1" t="str">
        <f>IF(COUNTIF('MCIA Corrective Actions'!$A:$A,H39)=0," ",COUNTIF('MCIA Corrective Actions'!$A:$A,H39))</f>
        <v xml:space="preserve"> </v>
      </c>
      <c r="N39" s="1" t="str">
        <f>IF(COUNTIF('MCIA Corrective Actions'!$A:$A,H39)=0," ",COUNTIFS('MCIA Corrective Actions'!$A:$A,H39,'MCIA Corrective Actions'!N:N,"Yes"))</f>
        <v xml:space="preserve"> </v>
      </c>
      <c r="O39" s="1" t="str">
        <f>_xlfn.IFNA(VLOOKUP(H39,'MCIA Corrective Actions'!$A$2:$R$1092,6,FALSE)," ")</f>
        <v xml:space="preserve"> </v>
      </c>
      <c r="P39" s="1"/>
    </row>
    <row r="40" spans="1:16" x14ac:dyDescent="0.25">
      <c r="A40" s="1">
        <v>213</v>
      </c>
      <c r="B40" s="108" t="str">
        <f>VLOOKUP($A40,Table1[['#]:[Vessel]],4,FALSE)</f>
        <v>Ohio</v>
      </c>
      <c r="C40" s="107">
        <f>VLOOKUP($A40,Table1[['#]:[Date]],3,FALSE)</f>
        <v>44140</v>
      </c>
      <c r="D40" s="3">
        <f>VLOOKUP($A40,Table1[['#]:[Hours]],7,FALSE)</f>
        <v>72.470555555541068</v>
      </c>
      <c r="E40" s="3" t="str">
        <f>VLOOKUP($A40,Table1[['#]:[System]],8,FALSE)&amp;" / "&amp;VLOOKUP($A40,Table1[['#]:[Subsystem]],9,FALSE)</f>
        <v>Ladder Pump / Bearings / Shafts</v>
      </c>
      <c r="F40" s="108">
        <f>VLOOKUP($A40,Table1[['#]:[Work Order '#]],10,FALSE)</f>
        <v>4803593</v>
      </c>
      <c r="G40" s="110" t="str">
        <f>VLOOKUP($A40,Table1[['#]:[Delay Log Notes]],11,FALSE)</f>
        <v>None</v>
      </c>
      <c r="H40" s="105" t="s">
        <v>611</v>
      </c>
      <c r="I40" s="1" t="str">
        <f>_xlfn.IFNA(VLOOKUP(H40,'MCIA Cases'!$A$2:$R$1091,2,FALSE)," ")</f>
        <v xml:space="preserve"> </v>
      </c>
      <c r="J40" s="1" t="str">
        <f>_xlfn.IFNA(VLOOKUP(H40,'MCIA Cases'!$A$2:$R$1091,9,FALSE)," ")</f>
        <v xml:space="preserve"> </v>
      </c>
      <c r="K40" s="1" t="str">
        <f>_xlfn.IFNA(VLOOKUP(H40,'MCIA Cases'!$A$2:$R$1091,10,FALSE)," ")</f>
        <v xml:space="preserve"> </v>
      </c>
      <c r="L40" s="1" t="str">
        <f>_xlfn.IFNA(VLOOKUP(H40,'MCIA Cases'!$A$2:$R$1091,3,FALSE)," ")</f>
        <v xml:space="preserve"> </v>
      </c>
      <c r="M40" s="1" t="str">
        <f>IF(COUNTIF('MCIA Corrective Actions'!$A:$A,H40)=0," ",COUNTIF('MCIA Corrective Actions'!$A:$A,H40))</f>
        <v xml:space="preserve"> </v>
      </c>
      <c r="N40" s="1" t="str">
        <f>IF(COUNTIF('MCIA Corrective Actions'!$A:$A,H40)=0," ",COUNTIFS('MCIA Corrective Actions'!$A:$A,H40,'MCIA Corrective Actions'!N:N,"Yes"))</f>
        <v xml:space="preserve"> </v>
      </c>
      <c r="O40" s="1" t="str">
        <f>_xlfn.IFNA(VLOOKUP(H40,'MCIA Corrective Actions'!$A$2:$R$1092,6,FALSE)," ")</f>
        <v xml:space="preserve"> </v>
      </c>
      <c r="P40" s="1"/>
    </row>
    <row r="41" spans="1:16" x14ac:dyDescent="0.25">
      <c r="A41" s="1">
        <v>214</v>
      </c>
      <c r="B41" s="108" t="str">
        <f>VLOOKUP($A41,Table1[['#]:[Vessel]],4,FALSE)</f>
        <v>Ohio</v>
      </c>
      <c r="C41" s="107">
        <f>VLOOKUP($A41,Table1[['#]:[Date]],3,FALSE)</f>
        <v>44143</v>
      </c>
      <c r="D41" s="3">
        <f>VLOOKUP($A41,Table1[['#]:[Hours]],7,FALSE)</f>
        <v>29.892499999841675</v>
      </c>
      <c r="E41" s="3" t="str">
        <f>VLOOKUP($A41,Table1[['#]:[System]],8,FALSE)&amp;" / "&amp;VLOOKUP($A41,Table1[['#]:[Subsystem]],9,FALSE)</f>
        <v>Generators / Main Generator</v>
      </c>
      <c r="F41" s="108" t="str">
        <f>VLOOKUP($A41,Table1[['#]:[Work Order '#]],10,FALSE)</f>
        <v>None</v>
      </c>
      <c r="G41" s="110" t="str">
        <f>VLOOKUP($A41,Table1[['#]:[Delay Log Notes]],11,FALSE)</f>
        <v>None</v>
      </c>
      <c r="H41" s="105" t="s">
        <v>611</v>
      </c>
      <c r="I41" s="1" t="str">
        <f>_xlfn.IFNA(VLOOKUP(H41,'MCIA Cases'!$A$2:$R$1091,2,FALSE)," ")</f>
        <v xml:space="preserve"> </v>
      </c>
      <c r="J41" s="1" t="str">
        <f>_xlfn.IFNA(VLOOKUP(H41,'MCIA Cases'!$A$2:$R$1091,9,FALSE)," ")</f>
        <v xml:space="preserve"> </v>
      </c>
      <c r="K41" s="1" t="str">
        <f>_xlfn.IFNA(VLOOKUP(H41,'MCIA Cases'!$A$2:$R$1091,10,FALSE)," ")</f>
        <v xml:space="preserve"> </v>
      </c>
      <c r="L41" s="1" t="str">
        <f>_xlfn.IFNA(VLOOKUP(H41,'MCIA Cases'!$A$2:$R$1091,3,FALSE)," ")</f>
        <v xml:space="preserve"> </v>
      </c>
      <c r="M41" s="1" t="str">
        <f>IF(COUNTIF('MCIA Corrective Actions'!$A:$A,H41)=0," ",COUNTIF('MCIA Corrective Actions'!$A:$A,H41))</f>
        <v xml:space="preserve"> </v>
      </c>
      <c r="N41" s="1" t="str">
        <f>IF(COUNTIF('MCIA Corrective Actions'!$A:$A,H41)=0," ",COUNTIFS('MCIA Corrective Actions'!$A:$A,H41,'MCIA Corrective Actions'!N:N,"Yes"))</f>
        <v xml:space="preserve"> </v>
      </c>
      <c r="O41" s="1" t="str">
        <f>_xlfn.IFNA(VLOOKUP(H41,'MCIA Corrective Actions'!$A$2:$R$1092,6,FALSE)," ")</f>
        <v xml:space="preserve"> </v>
      </c>
      <c r="P41" s="1"/>
    </row>
    <row r="42" spans="1:16" x14ac:dyDescent="0.25">
      <c r="A42" s="1">
        <v>215</v>
      </c>
      <c r="B42" s="108" t="str">
        <f>VLOOKUP($A42,Table1[['#]:[Vessel]],4,FALSE)</f>
        <v>Liberty Island</v>
      </c>
      <c r="C42" s="107">
        <f>VLOOKUP($A42,Table1[['#]:[Date]],3,FALSE)</f>
        <v>44146</v>
      </c>
      <c r="D42" s="3">
        <f>VLOOKUP($A42,Table1[['#]:[Hours]],7,FALSE)</f>
        <v>30.64</v>
      </c>
      <c r="E42" s="3" t="str">
        <f>VLOOKUP($A42,Table1[['#]:[System]],8,FALSE)&amp;" / "&amp;VLOOKUP($A42,Table1[['#]:[Subsystem]],9,FALSE)</f>
        <v>Other / Other Mechanical</v>
      </c>
      <c r="F42" s="108" t="str">
        <f>VLOOKUP($A42,Table1[['#]:[Work Order '#]],10,FALSE)</f>
        <v>None</v>
      </c>
      <c r="G42" s="110" t="str">
        <f>VLOOKUP($A42,Table1[['#]:[Delay Log Notes]],11,FALSE)</f>
        <v>None</v>
      </c>
      <c r="H42" s="105" t="s">
        <v>611</v>
      </c>
      <c r="I42" s="1" t="str">
        <f>_xlfn.IFNA(VLOOKUP(H42,'MCIA Cases'!$A$2:$R$1091,2,FALSE)," ")</f>
        <v xml:space="preserve"> </v>
      </c>
      <c r="J42" s="1" t="str">
        <f>_xlfn.IFNA(VLOOKUP(H42,'MCIA Cases'!$A$2:$R$1091,9,FALSE)," ")</f>
        <v xml:space="preserve"> </v>
      </c>
      <c r="K42" s="1" t="str">
        <f>_xlfn.IFNA(VLOOKUP(H42,'MCIA Cases'!$A$2:$R$1091,10,FALSE)," ")</f>
        <v xml:space="preserve"> </v>
      </c>
      <c r="L42" s="1" t="str">
        <f>_xlfn.IFNA(VLOOKUP(H42,'MCIA Cases'!$A$2:$R$1091,3,FALSE)," ")</f>
        <v xml:space="preserve"> </v>
      </c>
      <c r="M42" s="1" t="str">
        <f>IF(COUNTIF('MCIA Corrective Actions'!$A:$A,H42)=0," ",COUNTIF('MCIA Corrective Actions'!$A:$A,H42))</f>
        <v xml:space="preserve"> </v>
      </c>
      <c r="N42" s="1" t="str">
        <f>IF(COUNTIF('MCIA Corrective Actions'!$A:$A,H42)=0," ",COUNTIFS('MCIA Corrective Actions'!$A:$A,H42,'MCIA Corrective Actions'!N:N,"Yes"))</f>
        <v xml:space="preserve"> </v>
      </c>
      <c r="O42" s="1" t="str">
        <f>_xlfn.IFNA(VLOOKUP(H42,'MCIA Corrective Actions'!$A$2:$R$1092,6,FALSE)," ")</f>
        <v xml:space="preserve"> </v>
      </c>
      <c r="P42" s="1"/>
    </row>
    <row r="43" spans="1:16" x14ac:dyDescent="0.25">
      <c r="A43" s="1">
        <v>216</v>
      </c>
      <c r="B43" s="108" t="str">
        <f>VLOOKUP($A43,Table1[['#]:[Vessel]],4,FALSE)</f>
        <v>Alaska</v>
      </c>
      <c r="C43" s="107">
        <f>VLOOKUP($A43,Table1[['#]:[Date]],3,FALSE)</f>
        <v>44152</v>
      </c>
      <c r="D43" s="3">
        <f>VLOOKUP($A43,Table1[['#]:[Hours]],7,FALSE)</f>
        <v>33.39055555552477</v>
      </c>
      <c r="E43" s="3" t="str">
        <f>VLOOKUP($A43,Table1[['#]:[System]],8,FALSE)&amp;" / "&amp;VLOOKUP($A43,Table1[['#]:[Subsystem]],9,FALSE)</f>
        <v>Ladder Pump / Gland Seal</v>
      </c>
      <c r="F43" s="108">
        <f>VLOOKUP($A43,Table1[['#]:[Work Order '#]],10,FALSE)</f>
        <v>1728852</v>
      </c>
      <c r="G43" s="110" t="str">
        <f>VLOOKUP($A43,Table1[['#]:[Delay Log Notes]],11,FALSE)</f>
        <v>None</v>
      </c>
      <c r="H43" s="105" t="s">
        <v>611</v>
      </c>
      <c r="I43" s="1" t="str">
        <f>_xlfn.IFNA(VLOOKUP(H43,'MCIA Cases'!$A$2:$R$1091,2,FALSE)," ")</f>
        <v xml:space="preserve"> </v>
      </c>
      <c r="J43" s="1" t="str">
        <f>_xlfn.IFNA(VLOOKUP(H43,'MCIA Cases'!$A$2:$R$1091,9,FALSE)," ")</f>
        <v xml:space="preserve"> </v>
      </c>
      <c r="K43" s="1" t="str">
        <f>_xlfn.IFNA(VLOOKUP(H43,'MCIA Cases'!$A$2:$R$1091,10,FALSE)," ")</f>
        <v xml:space="preserve"> </v>
      </c>
      <c r="L43" s="1" t="str">
        <f>_xlfn.IFNA(VLOOKUP(H43,'MCIA Cases'!$A$2:$R$1091,3,FALSE)," ")</f>
        <v xml:space="preserve"> </v>
      </c>
      <c r="M43" s="1" t="str">
        <f>IF(COUNTIF('MCIA Corrective Actions'!$A:$A,H43)=0," ",COUNTIF('MCIA Corrective Actions'!$A:$A,H43))</f>
        <v xml:space="preserve"> </v>
      </c>
      <c r="N43" s="1" t="str">
        <f>IF(COUNTIF('MCIA Corrective Actions'!$A:$A,H43)=0," ",COUNTIFS('MCIA Corrective Actions'!$A:$A,H43,'MCIA Corrective Actions'!N:N,"Yes"))</f>
        <v xml:space="preserve"> </v>
      </c>
      <c r="O43" s="1" t="str">
        <f>_xlfn.IFNA(VLOOKUP(H43,'MCIA Corrective Actions'!$A$2:$R$1092,6,FALSE)," ")</f>
        <v xml:space="preserve"> </v>
      </c>
      <c r="P43" s="1"/>
    </row>
    <row r="44" spans="1:16" ht="30" x14ac:dyDescent="0.25">
      <c r="A44" s="1">
        <v>217</v>
      </c>
      <c r="B44" s="108" t="str">
        <f>VLOOKUP($A44,Table1[['#]:[Vessel]],4,FALSE)</f>
        <v>Liberty Island</v>
      </c>
      <c r="C44" s="107">
        <f>VLOOKUP($A44,Table1[['#]:[Date]],3,FALSE)</f>
        <v>44157</v>
      </c>
      <c r="D44" s="3">
        <f>VLOOKUP($A44,Table1[['#]:[Hours]],7,FALSE)</f>
        <v>34.72</v>
      </c>
      <c r="E44" s="3" t="str">
        <f>VLOOKUP($A44,Table1[['#]:[System]],8,FALSE)&amp;" / "&amp;VLOOKUP($A44,Table1[['#]:[Subsystem]],9,FALSE)</f>
        <v>Dredge Pump / Clutch</v>
      </c>
      <c r="F44" s="108">
        <f>VLOOKUP($A44,Table1[['#]:[Work Order '#]],10,FALSE)</f>
        <v>850650</v>
      </c>
      <c r="G44" s="110" t="str">
        <f>VLOOKUP($A44,Table1[['#]:[Delay Log Notes]],11,FALSE)</f>
        <v>Port clutch won't disengage. Stbd engine showing two ECM alarms</v>
      </c>
      <c r="H44" s="105" t="s">
        <v>611</v>
      </c>
      <c r="I44" s="1" t="str">
        <f>_xlfn.IFNA(VLOOKUP(H44,'MCIA Cases'!$A$2:$R$1091,2,FALSE)," ")</f>
        <v xml:space="preserve"> </v>
      </c>
      <c r="J44" s="1" t="str">
        <f>_xlfn.IFNA(VLOOKUP(H44,'MCIA Cases'!$A$2:$R$1091,9,FALSE)," ")</f>
        <v xml:space="preserve"> </v>
      </c>
      <c r="K44" s="1" t="str">
        <f>_xlfn.IFNA(VLOOKUP(H44,'MCIA Cases'!$A$2:$R$1091,10,FALSE)," ")</f>
        <v xml:space="preserve"> </v>
      </c>
      <c r="L44" s="1" t="str">
        <f>_xlfn.IFNA(VLOOKUP(H44,'MCIA Cases'!$A$2:$R$1091,3,FALSE)," ")</f>
        <v xml:space="preserve"> </v>
      </c>
      <c r="M44" s="1" t="str">
        <f>IF(COUNTIF('MCIA Corrective Actions'!$A:$A,H44)=0," ",COUNTIF('MCIA Corrective Actions'!$A:$A,H44))</f>
        <v xml:space="preserve"> </v>
      </c>
      <c r="N44" s="1" t="str">
        <f>IF(COUNTIF('MCIA Corrective Actions'!$A:$A,H44)=0," ",COUNTIFS('MCIA Corrective Actions'!$A:$A,H44,'MCIA Corrective Actions'!N:N,"Yes"))</f>
        <v xml:space="preserve"> </v>
      </c>
      <c r="O44" s="1" t="str">
        <f>_xlfn.IFNA(VLOOKUP(H44,'MCIA Corrective Actions'!$A$2:$R$1092,6,FALSE)," ")</f>
        <v xml:space="preserve"> </v>
      </c>
      <c r="P44" s="1"/>
    </row>
    <row r="45" spans="1:16" x14ac:dyDescent="0.25">
      <c r="A45" s="1">
        <v>218</v>
      </c>
      <c r="B45" s="108" t="str">
        <f>VLOOKUP($A45,Table1[['#]:[Vessel]],4,FALSE)</f>
        <v>Liberty Island</v>
      </c>
      <c r="C45" s="107">
        <f>VLOOKUP($A45,Table1[['#]:[Date]],3,FALSE)</f>
        <v>44157</v>
      </c>
      <c r="D45" s="3">
        <f>VLOOKUP($A45,Table1[['#]:[Hours]],7,FALSE)</f>
        <v>51.76</v>
      </c>
      <c r="E45" s="3" t="str">
        <f>VLOOKUP($A45,Table1[['#]:[System]],8,FALSE)&amp;" / "&amp;VLOOKUP($A45,Table1[['#]:[Subsystem]],9,FALSE)</f>
        <v>Main Engine / Propulsion / Clutch</v>
      </c>
      <c r="F45" s="108" t="str">
        <f>VLOOKUP($A45,Table1[['#]:[Work Order '#]],10,FALSE)</f>
        <v>None</v>
      </c>
      <c r="G45" s="110" t="str">
        <f>VLOOKUP($A45,Table1[['#]:[Delay Log Notes]],11,FALSE)</f>
        <v>None</v>
      </c>
      <c r="H45" s="105" t="s">
        <v>611</v>
      </c>
      <c r="I45" s="1" t="str">
        <f>_xlfn.IFNA(VLOOKUP(H45,'MCIA Cases'!$A$2:$R$1091,2,FALSE)," ")</f>
        <v xml:space="preserve"> </v>
      </c>
      <c r="J45" s="1" t="str">
        <f>_xlfn.IFNA(VLOOKUP(H45,'MCIA Cases'!$A$2:$R$1091,9,FALSE)," ")</f>
        <v xml:space="preserve"> </v>
      </c>
      <c r="K45" s="1" t="str">
        <f>_xlfn.IFNA(VLOOKUP(H45,'MCIA Cases'!$A$2:$R$1091,10,FALSE)," ")</f>
        <v xml:space="preserve"> </v>
      </c>
      <c r="L45" s="1" t="str">
        <f>_xlfn.IFNA(VLOOKUP(H45,'MCIA Cases'!$A$2:$R$1091,3,FALSE)," ")</f>
        <v xml:space="preserve"> </v>
      </c>
      <c r="M45" s="1" t="str">
        <f>IF(COUNTIF('MCIA Corrective Actions'!$A:$A,H45)=0," ",COUNTIF('MCIA Corrective Actions'!$A:$A,H45))</f>
        <v xml:space="preserve"> </v>
      </c>
      <c r="N45" s="1" t="str">
        <f>IF(COUNTIF('MCIA Corrective Actions'!$A:$A,H45)=0," ",COUNTIFS('MCIA Corrective Actions'!$A:$A,H45,'MCIA Corrective Actions'!N:N,"Yes"))</f>
        <v xml:space="preserve"> </v>
      </c>
      <c r="O45" s="1" t="str">
        <f>_xlfn.IFNA(VLOOKUP(H45,'MCIA Corrective Actions'!$A$2:$R$1092,6,FALSE)," ")</f>
        <v xml:space="preserve"> </v>
      </c>
      <c r="P45" s="1"/>
    </row>
    <row r="46" spans="1:16" ht="60" x14ac:dyDescent="0.25">
      <c r="A46" s="1">
        <v>219</v>
      </c>
      <c r="B46" s="108" t="str">
        <f>VLOOKUP($A46,Table1[['#]:[Vessel]],4,FALSE)</f>
        <v>Ohio</v>
      </c>
      <c r="C46" s="107">
        <f>VLOOKUP($A46,Table1[['#]:[Date]],3,FALSE)</f>
        <v>44159</v>
      </c>
      <c r="D46" s="3">
        <f>VLOOKUP($A46,Table1[['#]:[Hours]],7,FALSE)</f>
        <v>87.834999999962747</v>
      </c>
      <c r="E46" s="3" t="str">
        <f>VLOOKUP($A46,Table1[['#]:[System]],8,FALSE)&amp;" / "&amp;VLOOKUP($A46,Table1[['#]:[Subsystem]],9,FALSE)</f>
        <v>Ladder Pump / Gearbox</v>
      </c>
      <c r="F46" s="108" t="str">
        <f>VLOOKUP($A46,Table1[['#]:[Work Order '#]],10,FALSE)</f>
        <v>None</v>
      </c>
      <c r="G46" s="110" t="str">
        <f>VLOOKUP($A46,Table1[['#]:[Delay Log Notes]],11,FALSE)</f>
        <v>broken bolts on shaft meets coupling,metal sceen stuck in numer 2 pummp,bad seals on gearbox. assistant chief and engineer with have futher info on the gearbox issues</v>
      </c>
      <c r="H46" s="105" t="s">
        <v>611</v>
      </c>
      <c r="I46" s="1" t="str">
        <f>_xlfn.IFNA(VLOOKUP(H46,'MCIA Cases'!$A$2:$R$1091,2,FALSE)," ")</f>
        <v xml:space="preserve"> </v>
      </c>
      <c r="J46" s="1" t="str">
        <f>_xlfn.IFNA(VLOOKUP(H46,'MCIA Cases'!$A$2:$R$1091,9,FALSE)," ")</f>
        <v xml:space="preserve"> </v>
      </c>
      <c r="K46" s="1" t="str">
        <f>_xlfn.IFNA(VLOOKUP(H46,'MCIA Cases'!$A$2:$R$1091,10,FALSE)," ")</f>
        <v xml:space="preserve"> </v>
      </c>
      <c r="L46" s="1" t="str">
        <f>_xlfn.IFNA(VLOOKUP(H46,'MCIA Cases'!$A$2:$R$1091,3,FALSE)," ")</f>
        <v xml:space="preserve"> </v>
      </c>
      <c r="M46" s="1" t="str">
        <f>IF(COUNTIF('MCIA Corrective Actions'!$A:$A,H46)=0," ",COUNTIF('MCIA Corrective Actions'!$A:$A,H46))</f>
        <v xml:space="preserve"> </v>
      </c>
      <c r="N46" s="1" t="str">
        <f>IF(COUNTIF('MCIA Corrective Actions'!$A:$A,H46)=0," ",COUNTIFS('MCIA Corrective Actions'!$A:$A,H46,'MCIA Corrective Actions'!N:N,"Yes"))</f>
        <v xml:space="preserve"> </v>
      </c>
      <c r="O46" s="1" t="str">
        <f>_xlfn.IFNA(VLOOKUP(H46,'MCIA Corrective Actions'!$A$2:$R$1092,6,FALSE)," ")</f>
        <v xml:space="preserve"> </v>
      </c>
      <c r="P46" s="1"/>
    </row>
    <row r="47" spans="1:16" x14ac:dyDescent="0.25">
      <c r="A47" s="1">
        <v>220</v>
      </c>
      <c r="B47" s="108" t="str">
        <f>VLOOKUP($A47,Table1[['#]:[Vessel]],4,FALSE)</f>
        <v>Liberty Island</v>
      </c>
      <c r="C47" s="107">
        <f>VLOOKUP($A47,Table1[['#]:[Date]],3,FALSE)</f>
        <v>44163</v>
      </c>
      <c r="D47" s="3">
        <f>VLOOKUP($A47,Table1[['#]:[Hours]],7,FALSE)</f>
        <v>25.13</v>
      </c>
      <c r="E47" s="3" t="str">
        <f>VLOOKUP($A47,Table1[['#]:[System]],8,FALSE)&amp;" / "&amp;VLOOKUP($A47,Table1[['#]:[Subsystem]],9,FALSE)</f>
        <v>Drag Head / Other</v>
      </c>
      <c r="F47" s="108" t="str">
        <f>VLOOKUP($A47,Table1[['#]:[Work Order '#]],10,FALSE)</f>
        <v>None</v>
      </c>
      <c r="G47" s="110" t="str">
        <f>VLOOKUP($A47,Table1[['#]:[Delay Log Notes]],11,FALSE)</f>
        <v>breakaway flange repair</v>
      </c>
      <c r="H47" s="105" t="s">
        <v>611</v>
      </c>
      <c r="I47" s="1" t="str">
        <f>_xlfn.IFNA(VLOOKUP(H47,'MCIA Cases'!$A$2:$R$1091,2,FALSE)," ")</f>
        <v xml:space="preserve"> </v>
      </c>
      <c r="J47" s="1" t="str">
        <f>_xlfn.IFNA(VLOOKUP(H47,'MCIA Cases'!$A$2:$R$1091,9,FALSE)," ")</f>
        <v xml:space="preserve"> </v>
      </c>
      <c r="K47" s="1" t="str">
        <f>_xlfn.IFNA(VLOOKUP(H47,'MCIA Cases'!$A$2:$R$1091,10,FALSE)," ")</f>
        <v xml:space="preserve"> </v>
      </c>
      <c r="L47" s="1" t="str">
        <f>_xlfn.IFNA(VLOOKUP(H47,'MCIA Cases'!$A$2:$R$1091,3,FALSE)," ")</f>
        <v xml:space="preserve"> </v>
      </c>
      <c r="M47" s="1" t="str">
        <f>IF(COUNTIF('MCIA Corrective Actions'!$A:$A,H47)=0," ",COUNTIF('MCIA Corrective Actions'!$A:$A,H47))</f>
        <v xml:space="preserve"> </v>
      </c>
      <c r="N47" s="1" t="str">
        <f>IF(COUNTIF('MCIA Corrective Actions'!$A:$A,H47)=0," ",COUNTIFS('MCIA Corrective Actions'!$A:$A,H47,'MCIA Corrective Actions'!N:N,"Yes"))</f>
        <v xml:space="preserve"> </v>
      </c>
      <c r="O47" s="1" t="str">
        <f>_xlfn.IFNA(VLOOKUP(H47,'MCIA Corrective Actions'!$A$2:$R$1092,6,FALSE)," ")</f>
        <v xml:space="preserve"> </v>
      </c>
      <c r="P47" s="1"/>
    </row>
    <row r="48" spans="1:16" x14ac:dyDescent="0.25">
      <c r="A48" s="1">
        <v>221</v>
      </c>
      <c r="B48" s="108" t="str">
        <f>VLOOKUP($A48,Table1[['#]:[Vessel]],4,FALSE)</f>
        <v>Terrapin Island</v>
      </c>
      <c r="C48" s="107">
        <f>VLOOKUP($A48,Table1[['#]:[Date]],3,FALSE)</f>
        <v>44166</v>
      </c>
      <c r="D48" s="3">
        <f>VLOOKUP($A48,Table1[['#]:[Hours]],7,FALSE)</f>
        <v>43.692499999946449</v>
      </c>
      <c r="E48" s="3" t="str">
        <f>VLOOKUP($A48,Table1[['#]:[System]],8,FALSE)&amp;" / "&amp;VLOOKUP($A48,Table1[['#]:[Subsystem]],9,FALSE)</f>
        <v>Drag Head / Other</v>
      </c>
      <c r="F48" s="108" t="str">
        <f>VLOOKUP($A48,Table1[['#]:[Work Order '#]],10,FALSE)</f>
        <v>Need specific category, other no idea.</v>
      </c>
      <c r="G48" s="110" t="str">
        <f>VLOOKUP($A48,Table1[['#]:[Delay Log Notes]],11,FALSE)</f>
        <v>change out port &amp; stbd</v>
      </c>
      <c r="H48" s="105" t="s">
        <v>611</v>
      </c>
      <c r="I48" s="1" t="str">
        <f>_xlfn.IFNA(VLOOKUP(H48,'MCIA Cases'!$A$2:$R$1091,2,FALSE)," ")</f>
        <v xml:space="preserve"> </v>
      </c>
      <c r="J48" s="1" t="str">
        <f>_xlfn.IFNA(VLOOKUP(H48,'MCIA Cases'!$A$2:$R$1091,9,FALSE)," ")</f>
        <v xml:space="preserve"> </v>
      </c>
      <c r="K48" s="1" t="str">
        <f>_xlfn.IFNA(VLOOKUP(H48,'MCIA Cases'!$A$2:$R$1091,10,FALSE)," ")</f>
        <v xml:space="preserve"> </v>
      </c>
      <c r="L48" s="1" t="str">
        <f>_xlfn.IFNA(VLOOKUP(H48,'MCIA Cases'!$A$2:$R$1091,3,FALSE)," ")</f>
        <v xml:space="preserve"> </v>
      </c>
      <c r="M48" s="1" t="str">
        <f>IF(COUNTIF('MCIA Corrective Actions'!$A:$A,H48)=0," ",COUNTIF('MCIA Corrective Actions'!$A:$A,H48))</f>
        <v xml:space="preserve"> </v>
      </c>
      <c r="N48" s="1" t="str">
        <f>IF(COUNTIF('MCIA Corrective Actions'!$A:$A,H48)=0," ",COUNTIFS('MCIA Corrective Actions'!$A:$A,H48,'MCIA Corrective Actions'!N:N,"Yes"))</f>
        <v xml:space="preserve"> </v>
      </c>
      <c r="O48" s="1" t="str">
        <f>_xlfn.IFNA(VLOOKUP(H48,'MCIA Corrective Actions'!$A$2:$R$1092,6,FALSE)," ")</f>
        <v xml:space="preserve"> </v>
      </c>
      <c r="P48" s="1"/>
    </row>
    <row r="49" spans="1:16" x14ac:dyDescent="0.25">
      <c r="A49" s="1">
        <v>222</v>
      </c>
      <c r="B49" s="108" t="str">
        <f>VLOOKUP($A49,Table1[['#]:[Vessel]],4,FALSE)</f>
        <v>New York</v>
      </c>
      <c r="C49" s="107">
        <f>VLOOKUP($A49,Table1[['#]:[Date]],3,FALSE)</f>
        <v>44173</v>
      </c>
      <c r="D49" s="3">
        <f>VLOOKUP($A49,Table1[['#]:[Hours]],7,FALSE)</f>
        <v>26.165277777705342</v>
      </c>
      <c r="E49" s="3" t="str">
        <f>VLOOKUP($A49,Table1[['#]:[System]],8,FALSE)&amp;" / "&amp;VLOOKUP($A49,Table1[['#]:[Subsystem]],9,FALSE)</f>
        <v>Main Hoist/Main Hydraulics / Excavator Hydraulics</v>
      </c>
      <c r="F49" s="108" t="str">
        <f>VLOOKUP($A49,Table1[['#]:[Work Order '#]],10,FALSE)</f>
        <v>None</v>
      </c>
      <c r="G49" s="110" t="str">
        <f>VLOOKUP($A49,Table1[['#]:[Delay Log Notes]],11,FALSE)</f>
        <v>block on stick cylinder leaking</v>
      </c>
      <c r="H49" s="105" t="s">
        <v>610</v>
      </c>
      <c r="I49" s="1" t="str">
        <f>_xlfn.IFNA(VLOOKUP(H49,'MCIA Cases'!$A$2:$R$1091,2,FALSE)," ")</f>
        <v xml:space="preserve"> </v>
      </c>
      <c r="J49" s="1" t="str">
        <f>_xlfn.IFNA(VLOOKUP(H49,'MCIA Cases'!$A$2:$R$1091,9,FALSE)," ")</f>
        <v xml:space="preserve"> </v>
      </c>
      <c r="K49" s="1" t="str">
        <f>_xlfn.IFNA(VLOOKUP(H49,'MCIA Cases'!$A$2:$R$1091,10,FALSE)," ")</f>
        <v xml:space="preserve"> </v>
      </c>
      <c r="L49" s="1" t="str">
        <f>_xlfn.IFNA(VLOOKUP(H49,'MCIA Cases'!$A$2:$R$1091,3,FALSE)," ")</f>
        <v xml:space="preserve"> </v>
      </c>
      <c r="M49" s="1" t="str">
        <f>IF(COUNTIF('MCIA Corrective Actions'!$A:$A,H49)=0," ",COUNTIF('MCIA Corrective Actions'!$A:$A,H49))</f>
        <v xml:space="preserve"> </v>
      </c>
      <c r="N49" s="1" t="str">
        <f>IF(COUNTIF('MCIA Corrective Actions'!$A:$A,H49)=0," ",COUNTIFS('MCIA Corrective Actions'!$A:$A,H49,'MCIA Corrective Actions'!N:N,"Yes"))</f>
        <v xml:space="preserve"> </v>
      </c>
      <c r="O49" s="1" t="str">
        <f>_xlfn.IFNA(VLOOKUP(H49,'MCIA Corrective Actions'!$A$2:$R$1092,6,FALSE)," ")</f>
        <v xml:space="preserve"> </v>
      </c>
      <c r="P49" s="1"/>
    </row>
    <row r="50" spans="1:16" x14ac:dyDescent="0.25">
      <c r="A50" s="1">
        <v>223</v>
      </c>
      <c r="B50" s="108" t="str">
        <f>VLOOKUP($A50,Table1[['#]:[Vessel]],4,FALSE)</f>
        <v>Ohio</v>
      </c>
      <c r="C50" s="107">
        <f>VLOOKUP($A50,Table1[['#]:[Date]],3,FALSE)</f>
        <v>44182</v>
      </c>
      <c r="D50" s="3">
        <f>VLOOKUP($A50,Table1[['#]:[Hours]],7,FALSE)</f>
        <v>25.983333333337214</v>
      </c>
      <c r="E50" s="3" t="str">
        <f>VLOOKUP($A50,Table1[['#]:[System]],8,FALSE)&amp;" / "&amp;VLOOKUP($A50,Table1[['#]:[Subsystem]],9,FALSE)</f>
        <v>Main Pump / Pump Rebuild</v>
      </c>
      <c r="F50" s="108" t="str">
        <f>VLOOKUP($A50,Table1[['#]:[Work Order '#]],10,FALSE)</f>
        <v>None</v>
      </c>
      <c r="G50" s="110" t="str">
        <f>VLOOKUP($A50,Table1[['#]:[Delay Log Notes]],11,FALSE)</f>
        <v>None</v>
      </c>
      <c r="H50" s="105" t="s">
        <v>611</v>
      </c>
      <c r="I50" s="1" t="str">
        <f>_xlfn.IFNA(VLOOKUP(H50,'MCIA Cases'!$A$2:$R$1091,2,FALSE)," ")</f>
        <v xml:space="preserve"> </v>
      </c>
      <c r="J50" s="1" t="str">
        <f>_xlfn.IFNA(VLOOKUP(H50,'MCIA Cases'!$A$2:$R$1091,9,FALSE)," ")</f>
        <v xml:space="preserve"> </v>
      </c>
      <c r="K50" s="1" t="str">
        <f>_xlfn.IFNA(VLOOKUP(H50,'MCIA Cases'!$A$2:$R$1091,10,FALSE)," ")</f>
        <v xml:space="preserve"> </v>
      </c>
      <c r="L50" s="1" t="str">
        <f>_xlfn.IFNA(VLOOKUP(H50,'MCIA Cases'!$A$2:$R$1091,3,FALSE)," ")</f>
        <v xml:space="preserve"> </v>
      </c>
      <c r="M50" s="1" t="str">
        <f>IF(COUNTIF('MCIA Corrective Actions'!$A:$A,H50)=0," ",COUNTIF('MCIA Corrective Actions'!$A:$A,H50))</f>
        <v xml:space="preserve"> </v>
      </c>
      <c r="N50" s="1" t="str">
        <f>IF(COUNTIF('MCIA Corrective Actions'!$A:$A,H50)=0," ",COUNTIFS('MCIA Corrective Actions'!$A:$A,H50,'MCIA Corrective Actions'!N:N,"Yes"))</f>
        <v xml:space="preserve"> </v>
      </c>
      <c r="O50" s="1" t="str">
        <f>_xlfn.IFNA(VLOOKUP(H50,'MCIA Corrective Actions'!$A$2:$R$1092,6,FALSE)," ")</f>
        <v xml:space="preserve"> </v>
      </c>
      <c r="P50" s="1"/>
    </row>
    <row r="51" spans="1:16" x14ac:dyDescent="0.25">
      <c r="A51" s="1">
        <v>224</v>
      </c>
      <c r="B51" s="108" t="str">
        <f>VLOOKUP($A51,Table1[['#]:[Vessel]],4,FALSE)</f>
        <v>New York</v>
      </c>
      <c r="C51" s="107">
        <f>VLOOKUP($A51,Table1[['#]:[Date]],3,FALSE)</f>
        <v>44192</v>
      </c>
      <c r="D51" s="3">
        <f>VLOOKUP($A51,Table1[['#]:[Hours]],7,FALSE)</f>
        <v>43.727500000095461</v>
      </c>
      <c r="E51" s="3" t="str">
        <f>VLOOKUP($A51,Table1[['#]:[System]],8,FALSE)&amp;" / "&amp;VLOOKUP($A51,Table1[['#]:[Subsystem]],9,FALSE)</f>
        <v>Crane Boom / Boom Structure</v>
      </c>
      <c r="F51" s="108" t="str">
        <f>VLOOKUP($A51,Table1[['#]:[Work Order '#]],10,FALSE)</f>
        <v>None</v>
      </c>
      <c r="G51" s="110" t="str">
        <f>VLOOKUP($A51,Table1[['#]:[Delay Log Notes]],11,FALSE)</f>
        <v>CYLINDER ISSUE</v>
      </c>
      <c r="H51" s="105">
        <v>383</v>
      </c>
      <c r="I51" s="1" t="str">
        <f>_xlfn.IFNA(VLOOKUP(H51,'MCIA Cases'!$A$2:$R$1091,2,FALSE)," ")</f>
        <v>DR New York Boom Cylinder Failure</v>
      </c>
      <c r="J51" s="1">
        <f>_xlfn.IFNA(VLOOKUP(H51,'MCIA Cases'!$A$2:$R$1091,9,FALSE)," ")</f>
        <v>0</v>
      </c>
      <c r="K51" s="1">
        <f>_xlfn.IFNA(VLOOKUP(H51,'MCIA Cases'!$A$2:$R$1091,10,FALSE)," ")</f>
        <v>0</v>
      </c>
      <c r="L51" s="1" t="str">
        <f>_xlfn.IFNA(VLOOKUP(H51,'MCIA Cases'!$A$2:$R$1091,3,FALSE)," ")</f>
        <v>Andrew Larkin</v>
      </c>
      <c r="M51" s="1" t="str">
        <f>IF(COUNTIF('MCIA Corrective Actions'!$A:$A,H51)=0," ",COUNTIF('MCIA Corrective Actions'!$A:$A,H51))</f>
        <v xml:space="preserve"> </v>
      </c>
      <c r="N51" s="1" t="str">
        <f>IF(COUNTIF('MCIA Corrective Actions'!$A:$A,H51)=0," ",COUNTIFS('MCIA Corrective Actions'!$A:$A,H51,'MCIA Corrective Actions'!N:N,"Yes"))</f>
        <v xml:space="preserve"> </v>
      </c>
      <c r="O51" s="1" t="str">
        <f>_xlfn.IFNA(VLOOKUP(H51,'MCIA Corrective Actions'!$A$2:$R$1092,6,FALSE)," ")</f>
        <v xml:space="preserve"> </v>
      </c>
      <c r="P51" s="1"/>
    </row>
    <row r="52" spans="1:16" ht="3.75" customHeight="1" x14ac:dyDescent="0.25">
      <c r="B52" s="139"/>
      <c r="C52" s="140"/>
      <c r="D52" s="141"/>
      <c r="E52" s="141"/>
      <c r="F52" s="139"/>
      <c r="G52" s="137"/>
      <c r="H52" s="142"/>
      <c r="I52" s="138"/>
      <c r="J52" s="138"/>
      <c r="K52" s="138"/>
      <c r="L52" s="138"/>
      <c r="M52" s="138"/>
      <c r="N52" s="138"/>
      <c r="O52" s="138"/>
      <c r="P52" s="138"/>
    </row>
    <row r="53" spans="1:16" x14ac:dyDescent="0.25">
      <c r="B53" s="127" t="str">
        <f>_xlfn.IFNA(VLOOKUP(VLOOKUP(H53,'MCIA Cases'!$A$2:$AB$1091,26,FALSE),Summary!$J$43:$K$264,2,FALSE)," ")</f>
        <v xml:space="preserve"> </v>
      </c>
      <c r="C53" s="107" t="str">
        <f>_xlfn.IFNA(VLOOKUP(H53,'MCIA Cases'!$A$2:$R$1091,15,FALSE)," ")</f>
        <v>Brian Goetchius</v>
      </c>
      <c r="H53" s="105">
        <v>336</v>
      </c>
      <c r="I53" s="1" t="str">
        <f>_xlfn.IFNA(VLOOKUP(H53,'MCIA Cases'!$A$2:$R$1091,2,FALSE)," ")</f>
        <v>Dredge New York Generator Failure</v>
      </c>
      <c r="J53" s="1">
        <f>_xlfn.IFNA(VLOOKUP(H53,'MCIA Cases'!$A$2:$R$1091,9,FALSE)," ")</f>
        <v>0</v>
      </c>
      <c r="K53" s="1">
        <f>_xlfn.IFNA(VLOOKUP(H53,'MCIA Cases'!$A$2:$R$1091,10,FALSE)," ")</f>
        <v>0</v>
      </c>
      <c r="L53" s="1" t="str">
        <f>_xlfn.IFNA(VLOOKUP(H53,'MCIA Cases'!$A$2:$R$1091,3,FALSE)," ")</f>
        <v>Brian Goetchius</v>
      </c>
      <c r="M53" s="1">
        <f>IF(COUNTIF('MCIA Corrective Actions'!$A:$A,H53)=0," ",COUNTIF('MCIA Corrective Actions'!$A:$A,H53))</f>
        <v>2</v>
      </c>
      <c r="N53" s="1">
        <f>IF(COUNTIF('MCIA Corrective Actions'!$A:$A,H53)=0," ",COUNTIFS('MCIA Corrective Actions'!$A:$A,H53,'MCIA Corrective Actions'!N:N,"Yes"))</f>
        <v>0</v>
      </c>
      <c r="O53" s="1" t="str">
        <f>_xlfn.IFNA(VLOOKUP(H53,'MCIA Corrective Actions'!$A$2:$R$1092,6,FALSE)," ")</f>
        <v>Brian Goetchius</v>
      </c>
      <c r="P53" s="1"/>
    </row>
    <row r="54" spans="1:16" x14ac:dyDescent="0.25">
      <c r="B54" s="127" t="str">
        <f>_xlfn.IFNA(VLOOKUP(VLOOKUP(H54,'MCIA Cases'!$A$2:$AB$1091,26,FALSE),Summary!$J$43:$K$264,2,FALSE)," ")</f>
        <v xml:space="preserve"> </v>
      </c>
      <c r="C54" s="107" t="str">
        <f>_xlfn.IFNA(VLOOKUP(H54,'MCIA Cases'!$A$2:$R$1091,15,FALSE)," ")</f>
        <v>James M Walker</v>
      </c>
      <c r="H54" s="105">
        <v>345</v>
      </c>
      <c r="I54" s="1" t="str">
        <f>_xlfn.IFNA(VLOOKUP(H54,'MCIA Cases'!$A$2:$R$1091,2,FALSE)," ")</f>
        <v>20200510 Terrapin Island Hopper Open/Close Damage</v>
      </c>
      <c r="J54" s="1">
        <f>_xlfn.IFNA(VLOOKUP(H54,'MCIA Cases'!$A$2:$R$1091,9,FALSE)," ")</f>
        <v>0</v>
      </c>
      <c r="K54" s="1">
        <f>_xlfn.IFNA(VLOOKUP(H54,'MCIA Cases'!$A$2:$R$1091,10,FALSE)," ")</f>
        <v>0</v>
      </c>
      <c r="L54" s="1" t="str">
        <f>_xlfn.IFNA(VLOOKUP(H54,'MCIA Cases'!$A$2:$R$1091,3,FALSE)," ")</f>
        <v>James M Walker</v>
      </c>
      <c r="M54" s="1">
        <f>IF(COUNTIF('MCIA Corrective Actions'!$A:$A,H54)=0," ",COUNTIF('MCIA Corrective Actions'!$A:$A,H54))</f>
        <v>2</v>
      </c>
      <c r="N54" s="1">
        <f>IF(COUNTIF('MCIA Corrective Actions'!$A:$A,H54)=0," ",COUNTIFS('MCIA Corrective Actions'!$A:$A,H54,'MCIA Corrective Actions'!N:N,"Yes"))</f>
        <v>2</v>
      </c>
      <c r="O54" s="1" t="str">
        <f>_xlfn.IFNA(VLOOKUP(H54,'MCIA Corrective Actions'!$A$2:$R$1092,6,FALSE)," ")</f>
        <v>James M Walker</v>
      </c>
      <c r="P54" s="1"/>
    </row>
    <row r="55" spans="1:16" x14ac:dyDescent="0.25">
      <c r="B55" s="127" t="str">
        <f>_xlfn.IFNA(VLOOKUP(VLOOKUP(H55,'MCIA Cases'!$A$2:$AB$1091,26,FALSE),Summary!$J$43:$K$264,2,FALSE)," ")</f>
        <v xml:space="preserve"> </v>
      </c>
      <c r="C55" s="107" t="str">
        <f>_xlfn.IFNA(VLOOKUP(H55,'MCIA Cases'!$A$2:$R$1091,15,FALSE)," ")</f>
        <v>Nathan Stevick</v>
      </c>
      <c r="H55" s="105">
        <v>346</v>
      </c>
      <c r="I55" s="1" t="str">
        <f>_xlfn.IFNA(VLOOKUP(H55,'MCIA Cases'!$A$2:$R$1091,2,FALSE)," ")</f>
        <v>Columbia River Main Engines Damage</v>
      </c>
      <c r="J55" s="1">
        <f>_xlfn.IFNA(VLOOKUP(H55,'MCIA Cases'!$A$2:$R$1091,9,FALSE)," ")</f>
        <v>0</v>
      </c>
      <c r="K55" s="1">
        <f>_xlfn.IFNA(VLOOKUP(H55,'MCIA Cases'!$A$2:$R$1091,10,FALSE)," ")</f>
        <v>0</v>
      </c>
      <c r="L55" s="1" t="str">
        <f>_xlfn.IFNA(VLOOKUP(H55,'MCIA Cases'!$A$2:$R$1091,3,FALSE)," ")</f>
        <v>Nathan Stevick</v>
      </c>
      <c r="M55" s="1">
        <f>IF(COUNTIF('MCIA Corrective Actions'!$A:$A,H55)=0," ",COUNTIF('MCIA Corrective Actions'!$A:$A,H55))</f>
        <v>3</v>
      </c>
      <c r="N55" s="1">
        <f>IF(COUNTIF('MCIA Corrective Actions'!$A:$A,H55)=0," ",COUNTIFS('MCIA Corrective Actions'!$A:$A,H55,'MCIA Corrective Actions'!N:N,"Yes"))</f>
        <v>3</v>
      </c>
      <c r="O55" s="1" t="str">
        <f>_xlfn.IFNA(VLOOKUP(H55,'MCIA Corrective Actions'!$A$2:$R$1092,6,FALSE)," ")</f>
        <v>Nathan Stevick</v>
      </c>
      <c r="P55" s="1"/>
    </row>
    <row r="56" spans="1:16" x14ac:dyDescent="0.25">
      <c r="B56" s="127" t="str">
        <f>_xlfn.IFNA(VLOOKUP(VLOOKUP(H56,'MCIA Cases'!$A$2:$AB$1091,26,FALSE),Summary!$J$43:$K$264,2,FALSE)," ")</f>
        <v xml:space="preserve"> </v>
      </c>
      <c r="C56" s="107" t="str">
        <f>_xlfn.IFNA(VLOOKUP(H56,'MCIA Cases'!$A$2:$R$1091,15,FALSE)," ")</f>
        <v>Alexanders Andrezens</v>
      </c>
      <c r="H56" s="105">
        <v>352</v>
      </c>
      <c r="I56" s="1" t="str">
        <f>_xlfn.IFNA(VLOOKUP(H56,'MCIA Cases'!$A$2:$R$1091,2,FALSE)," ")</f>
        <v>BOOSTER 9 GEAR BOX EQUIPMENT DAMAGE</v>
      </c>
      <c r="J56" s="1">
        <f>_xlfn.IFNA(VLOOKUP(H56,'MCIA Cases'!$A$2:$R$1091,9,FALSE)," ")</f>
        <v>0</v>
      </c>
      <c r="K56" s="1">
        <f>_xlfn.IFNA(VLOOKUP(H56,'MCIA Cases'!$A$2:$R$1091,10,FALSE)," ")</f>
        <v>0</v>
      </c>
      <c r="L56" s="1" t="str">
        <f>_xlfn.IFNA(VLOOKUP(H56,'MCIA Cases'!$A$2:$R$1091,3,FALSE)," ")</f>
        <v>Sheldon Brooks</v>
      </c>
      <c r="M56" s="1">
        <f>IF(COUNTIF('MCIA Corrective Actions'!$A:$A,H56)=0," ",COUNTIF('MCIA Corrective Actions'!$A:$A,H56))</f>
        <v>7</v>
      </c>
      <c r="N56" s="1">
        <f>IF(COUNTIF('MCIA Corrective Actions'!$A:$A,H56)=0," ",COUNTIFS('MCIA Corrective Actions'!$A:$A,H56,'MCIA Corrective Actions'!N:N,"Yes"))</f>
        <v>0</v>
      </c>
      <c r="O56" s="1" t="str">
        <f>_xlfn.IFNA(VLOOKUP(H56,'MCIA Corrective Actions'!$A$2:$R$1092,6,FALSE)," ")</f>
        <v>Jose Gracia</v>
      </c>
      <c r="P56" s="1"/>
    </row>
    <row r="57" spans="1:16" x14ac:dyDescent="0.25">
      <c r="B57" s="127" t="str">
        <f>_xlfn.IFNA(VLOOKUP(VLOOKUP(H57,'MCIA Cases'!$A$2:$AB$1091,26,FALSE),Summary!$J$43:$K$264,2,FALSE)," ")</f>
        <v xml:space="preserve"> </v>
      </c>
      <c r="C57" s="107" t="str">
        <f>_xlfn.IFNA(VLOOKUP(H57,'MCIA Cases'!$A$2:$R$1091,15,FALSE)," ")</f>
        <v>Holt Hartung</v>
      </c>
      <c r="H57" s="105">
        <v>358</v>
      </c>
      <c r="I57" s="1" t="str">
        <f>_xlfn.IFNA(VLOOKUP(H57,'MCIA Cases'!$A$2:$R$1091,2,FALSE)," ")</f>
        <v>DR 53 Swing Gearbox Failure</v>
      </c>
      <c r="J57" s="1">
        <f>_xlfn.IFNA(VLOOKUP(H57,'MCIA Cases'!$A$2:$R$1091,9,FALSE)," ")</f>
        <v>0</v>
      </c>
      <c r="K57" s="1">
        <f>_xlfn.IFNA(VLOOKUP(H57,'MCIA Cases'!$A$2:$R$1091,10,FALSE)," ")</f>
        <v>0</v>
      </c>
      <c r="L57" s="1" t="str">
        <f>_xlfn.IFNA(VLOOKUP(H57,'MCIA Cases'!$A$2:$R$1091,3,FALSE)," ")</f>
        <v>Andrew Larkin</v>
      </c>
      <c r="M57" s="1">
        <f>IF(COUNTIF('MCIA Corrective Actions'!$A:$A,H57)=0," ",COUNTIF('MCIA Corrective Actions'!$A:$A,H57))</f>
        <v>4</v>
      </c>
      <c r="N57" s="1">
        <f>IF(COUNTIF('MCIA Corrective Actions'!$A:$A,H57)=0," ",COUNTIFS('MCIA Corrective Actions'!$A:$A,H57,'MCIA Corrective Actions'!N:N,"Yes"))</f>
        <v>1</v>
      </c>
      <c r="O57" s="1" t="str">
        <f>_xlfn.IFNA(VLOOKUP(H57,'MCIA Corrective Actions'!$A$2:$R$1092,6,FALSE)," ")</f>
        <v>Brian Goetchius</v>
      </c>
      <c r="P57" s="1"/>
    </row>
    <row r="58" spans="1:16" x14ac:dyDescent="0.25">
      <c r="B58" s="127" t="str">
        <f>_xlfn.IFNA(VLOOKUP(VLOOKUP(H58,'MCIA Cases'!$A$2:$AB$1091,26,FALSE),Summary!$J$43:$K$264,2,FALSE)," ")</f>
        <v xml:space="preserve"> </v>
      </c>
      <c r="C58" s="107" t="str">
        <f>_xlfn.IFNA(VLOOKUP(H58,'MCIA Cases'!$A$2:$R$1091,15,FALSE)," ")</f>
        <v>Brian Goetchius</v>
      </c>
      <c r="H58" s="105">
        <v>362</v>
      </c>
      <c r="I58" s="1" t="str">
        <f>_xlfn.IFNA(VLOOKUP(H58,'MCIA Cases'!$A$2:$R$1091,2,FALSE)," ")</f>
        <v>Dr 54 - Holding Drum Brake</v>
      </c>
      <c r="J58" s="1">
        <f>_xlfn.IFNA(VLOOKUP(H58,'MCIA Cases'!$A$2:$R$1091,9,FALSE)," ")</f>
        <v>0</v>
      </c>
      <c r="K58" s="1">
        <f>_xlfn.IFNA(VLOOKUP(H58,'MCIA Cases'!$A$2:$R$1091,10,FALSE)," ")</f>
        <v>0</v>
      </c>
      <c r="L58" s="1" t="str">
        <f>_xlfn.IFNA(VLOOKUP(H58,'MCIA Cases'!$A$2:$R$1091,3,FALSE)," ")</f>
        <v>Andrew Larkin</v>
      </c>
      <c r="M58" s="1">
        <f>IF(COUNTIF('MCIA Corrective Actions'!$A:$A,H58)=0," ",COUNTIF('MCIA Corrective Actions'!$A:$A,H58))</f>
        <v>2</v>
      </c>
      <c r="N58" s="1">
        <f>IF(COUNTIF('MCIA Corrective Actions'!$A:$A,H58)=0," ",COUNTIFS('MCIA Corrective Actions'!$A:$A,H58,'MCIA Corrective Actions'!N:N,"Yes"))</f>
        <v>0</v>
      </c>
      <c r="O58" s="1" t="str">
        <f>_xlfn.IFNA(VLOOKUP(H58,'MCIA Corrective Actions'!$A$2:$R$1092,6,FALSE)," ")</f>
        <v>Brian Goetchius</v>
      </c>
      <c r="P58" s="1"/>
    </row>
    <row r="59" spans="1:16" x14ac:dyDescent="0.25">
      <c r="B59" s="127" t="str">
        <f>_xlfn.IFNA(VLOOKUP(VLOOKUP(H59,'MCIA Cases'!$A$2:$AB$1091,26,FALSE),Summary!$J$43:$K$264,2,FALSE)," ")</f>
        <v xml:space="preserve"> </v>
      </c>
      <c r="C59" s="107" t="str">
        <f>_xlfn.IFNA(VLOOKUP(H59,'MCIA Cases'!$A$2:$R$1091,15,FALSE)," ")</f>
        <v>Jose Gracia</v>
      </c>
      <c r="H59" s="105">
        <v>363</v>
      </c>
      <c r="I59" s="1" t="str">
        <f>_xlfn.IFNA(VLOOKUP(H59,'MCIA Cases'!$A$2:$R$1091,2,FALSE)," ")</f>
        <v xml:space="preserve">Ohio Cutter Gearbox Contamination </v>
      </c>
      <c r="J59" s="1">
        <f>_xlfn.IFNA(VLOOKUP(H59,'MCIA Cases'!$A$2:$R$1091,9,FALSE)," ")</f>
        <v>0</v>
      </c>
      <c r="K59" s="1">
        <f>_xlfn.IFNA(VLOOKUP(H59,'MCIA Cases'!$A$2:$R$1091,10,FALSE)," ")</f>
        <v>0</v>
      </c>
      <c r="L59" s="1" t="str">
        <f>_xlfn.IFNA(VLOOKUP(H59,'MCIA Cases'!$A$2:$R$1091,3,FALSE)," ")</f>
        <v>Jose Gracia</v>
      </c>
      <c r="M59" s="1" t="str">
        <f>IF(COUNTIF('MCIA Corrective Actions'!$A:$A,H59)=0," ",COUNTIF('MCIA Corrective Actions'!$A:$A,H59))</f>
        <v xml:space="preserve"> </v>
      </c>
      <c r="N59" s="1" t="str">
        <f>IF(COUNTIF('MCIA Corrective Actions'!$A:$A,H59)=0," ",COUNTIFS('MCIA Corrective Actions'!$A:$A,H59,'MCIA Corrective Actions'!N:N,"Yes"))</f>
        <v xml:space="preserve"> </v>
      </c>
      <c r="O59" s="1" t="str">
        <f>_xlfn.IFNA(VLOOKUP(H59,'MCIA Corrective Actions'!$A$2:$R$1092,6,FALSE)," ")</f>
        <v xml:space="preserve"> </v>
      </c>
      <c r="P59" s="1"/>
    </row>
    <row r="60" spans="1:16" x14ac:dyDescent="0.25">
      <c r="B60" s="127" t="str">
        <f>_xlfn.IFNA(VLOOKUP(VLOOKUP(H60,'MCIA Cases'!$A$2:$AB$1091,26,FALSE),Summary!$J$43:$K$264,2,FALSE)," ")</f>
        <v xml:space="preserve"> </v>
      </c>
      <c r="C60" s="107" t="str">
        <f>_xlfn.IFNA(VLOOKUP(H60,'MCIA Cases'!$A$2:$R$1091,15,FALSE)," ")</f>
        <v>Alexanders Andrezens</v>
      </c>
      <c r="H60" s="105">
        <v>364</v>
      </c>
      <c r="I60" s="1" t="str">
        <f>_xlfn.IFNA(VLOOKUP(H60,'MCIA Cases'!$A$2:$R$1091,2,FALSE)," ")</f>
        <v>22694_Port Engine Gear Box Bearing Failure</v>
      </c>
      <c r="J60" s="1">
        <f>_xlfn.IFNA(VLOOKUP(H60,'MCIA Cases'!$A$2:$R$1091,9,FALSE)," ")</f>
        <v>0</v>
      </c>
      <c r="K60" s="1">
        <f>_xlfn.IFNA(VLOOKUP(H60,'MCIA Cases'!$A$2:$R$1091,10,FALSE)," ")</f>
        <v>0</v>
      </c>
      <c r="L60" s="1" t="str">
        <f>_xlfn.IFNA(VLOOKUP(H60,'MCIA Cases'!$A$2:$R$1091,3,FALSE)," ")</f>
        <v>Sheldon Brooks</v>
      </c>
      <c r="M60" s="1">
        <f>IF(COUNTIF('MCIA Corrective Actions'!$A:$A,H60)=0," ",COUNTIF('MCIA Corrective Actions'!$A:$A,H60))</f>
        <v>5</v>
      </c>
      <c r="N60" s="1">
        <f>IF(COUNTIF('MCIA Corrective Actions'!$A:$A,H60)=0," ",COUNTIFS('MCIA Corrective Actions'!$A:$A,H60,'MCIA Corrective Actions'!N:N,"Yes"))</f>
        <v>0</v>
      </c>
      <c r="O60" s="1" t="str">
        <f>_xlfn.IFNA(VLOOKUP(H60,'MCIA Corrective Actions'!$A$2:$R$1092,6,FALSE)," ")</f>
        <v>Jose Gracia</v>
      </c>
      <c r="P60" s="1"/>
    </row>
    <row r="61" spans="1:16" x14ac:dyDescent="0.25">
      <c r="B61" s="127" t="str">
        <f>_xlfn.IFNA(VLOOKUP(VLOOKUP(H61,'MCIA Cases'!$A$2:$AB$1091,26,FALSE),Summary!$J$43:$K$264,2,FALSE)," ")</f>
        <v xml:space="preserve"> </v>
      </c>
      <c r="C61" s="107" t="str">
        <f>_xlfn.IFNA(VLOOKUP(H61,'MCIA Cases'!$A$2:$R$1091,15,FALSE)," ")</f>
        <v>Jose Gracia</v>
      </c>
      <c r="H61" s="105">
        <v>365</v>
      </c>
      <c r="I61" s="1" t="str">
        <f>_xlfn.IFNA(VLOOKUP(H61,'MCIA Cases'!$A$2:$R$1091,2,FALSE)," ")</f>
        <v xml:space="preserve">Ohio Auxiliary Winch Damages </v>
      </c>
      <c r="J61" s="1">
        <f>_xlfn.IFNA(VLOOKUP(H61,'MCIA Cases'!$A$2:$R$1091,9,FALSE)," ")</f>
        <v>0</v>
      </c>
      <c r="K61" s="1">
        <f>_xlfn.IFNA(VLOOKUP(H61,'MCIA Cases'!$A$2:$R$1091,10,FALSE)," ")</f>
        <v>0</v>
      </c>
      <c r="L61" s="1" t="str">
        <f>_xlfn.IFNA(VLOOKUP(H61,'MCIA Cases'!$A$2:$R$1091,3,FALSE)," ")</f>
        <v>Jose Gracia</v>
      </c>
      <c r="M61" s="1">
        <f>IF(COUNTIF('MCIA Corrective Actions'!$A:$A,H61)=0," ",COUNTIF('MCIA Corrective Actions'!$A:$A,H61))</f>
        <v>3</v>
      </c>
      <c r="N61" s="1">
        <f>IF(COUNTIF('MCIA Corrective Actions'!$A:$A,H61)=0," ",COUNTIFS('MCIA Corrective Actions'!$A:$A,H61,'MCIA Corrective Actions'!N:N,"Yes"))</f>
        <v>0</v>
      </c>
      <c r="O61" s="1" t="str">
        <f>_xlfn.IFNA(VLOOKUP(H61,'MCIA Corrective Actions'!$A$2:$R$1092,6,FALSE)," ")</f>
        <v>Kelly Briscoe</v>
      </c>
      <c r="P61" s="1"/>
    </row>
    <row r="62" spans="1:16" x14ac:dyDescent="0.25">
      <c r="B62" s="127" t="str">
        <f>_xlfn.IFNA(VLOOKUP(VLOOKUP(H62,'MCIA Cases'!$A$2:$AB$1091,26,FALSE),Summary!$J$43:$K$264,2,FALSE)," ")</f>
        <v xml:space="preserve"> </v>
      </c>
      <c r="C62" s="107" t="str">
        <f>_xlfn.IFNA(VLOOKUP(H62,'MCIA Cases'!$A$2:$R$1091,15,FALSE)," ")</f>
        <v>Kurt Hill</v>
      </c>
      <c r="H62" s="105">
        <v>369</v>
      </c>
      <c r="I62" s="1" t="str">
        <f>_xlfn.IFNA(VLOOKUP(H62,'MCIA Cases'!$A$2:$R$1091,2,FALSE)," ")</f>
        <v>Booster Jessie Starboard Gearbox Bearing Failure</v>
      </c>
      <c r="J62" s="1">
        <f>_xlfn.IFNA(VLOOKUP(H62,'MCIA Cases'!$A$2:$R$1091,9,FALSE)," ")</f>
        <v>0</v>
      </c>
      <c r="K62" s="1">
        <f>_xlfn.IFNA(VLOOKUP(H62,'MCIA Cases'!$A$2:$R$1091,10,FALSE)," ")</f>
        <v>0</v>
      </c>
      <c r="L62" s="1" t="str">
        <f>_xlfn.IFNA(VLOOKUP(H62,'MCIA Cases'!$A$2:$R$1091,3,FALSE)," ")</f>
        <v>Nicholas D Williams</v>
      </c>
      <c r="M62" s="1">
        <f>IF(COUNTIF('MCIA Corrective Actions'!$A:$A,H62)=0," ",COUNTIF('MCIA Corrective Actions'!$A:$A,H62))</f>
        <v>2</v>
      </c>
      <c r="N62" s="1">
        <f>IF(COUNTIF('MCIA Corrective Actions'!$A:$A,H62)=0," ",COUNTIFS('MCIA Corrective Actions'!$A:$A,H62,'MCIA Corrective Actions'!N:N,"Yes"))</f>
        <v>0</v>
      </c>
      <c r="O62" s="1" t="str">
        <f>_xlfn.IFNA(VLOOKUP(H62,'MCIA Corrective Actions'!$A$2:$R$1092,6,FALSE)," ")</f>
        <v>Sherif Abdelgafar</v>
      </c>
      <c r="P62" s="1"/>
    </row>
    <row r="63" spans="1:16" x14ac:dyDescent="0.25">
      <c r="B63" s="127" t="str">
        <f>_xlfn.IFNA(VLOOKUP(VLOOKUP(H63,'MCIA Cases'!$A$2:$AB$1091,26,FALSE),Summary!$J$43:$K$264,2,FALSE)," ")</f>
        <v xml:space="preserve"> </v>
      </c>
      <c r="C63" s="107" t="str">
        <f>_xlfn.IFNA(VLOOKUP(H63,'MCIA Cases'!$A$2:$R$1091,15,FALSE)," ")</f>
        <v>Andrew Larkin</v>
      </c>
      <c r="H63" s="105">
        <v>371</v>
      </c>
      <c r="I63" s="1" t="str">
        <f>_xlfn.IFNA(VLOOKUP(H63,'MCIA Cases'!$A$2:$R$1091,2,FALSE)," ")</f>
        <v>Unloader Snorkel Drift</v>
      </c>
      <c r="J63" s="1">
        <f>_xlfn.IFNA(VLOOKUP(H63,'MCIA Cases'!$A$2:$R$1091,9,FALSE)," ")</f>
        <v>0</v>
      </c>
      <c r="K63" s="1">
        <f>_xlfn.IFNA(VLOOKUP(H63,'MCIA Cases'!$A$2:$R$1091,10,FALSE)," ")</f>
        <v>0</v>
      </c>
      <c r="L63" s="1" t="str">
        <f>_xlfn.IFNA(VLOOKUP(H63,'MCIA Cases'!$A$2:$R$1091,3,FALSE)," ")</f>
        <v>Andrew Larkin</v>
      </c>
      <c r="M63" s="1" t="str">
        <f>IF(COUNTIF('MCIA Corrective Actions'!$A:$A,H63)=0," ",COUNTIF('MCIA Corrective Actions'!$A:$A,H63))</f>
        <v xml:space="preserve"> </v>
      </c>
      <c r="N63" s="1" t="str">
        <f>IF(COUNTIF('MCIA Corrective Actions'!$A:$A,H63)=0," ",COUNTIFS('MCIA Corrective Actions'!$A:$A,H63,'MCIA Corrective Actions'!N:N,"Yes"))</f>
        <v xml:space="preserve"> </v>
      </c>
      <c r="O63" s="1" t="str">
        <f>_xlfn.IFNA(VLOOKUP(H63,'MCIA Corrective Actions'!$A$2:$R$1092,6,FALSE)," ")</f>
        <v xml:space="preserve"> </v>
      </c>
      <c r="P63" s="1"/>
    </row>
    <row r="64" spans="1:16" x14ac:dyDescent="0.25">
      <c r="B64" s="127" t="str">
        <f>_xlfn.IFNA(VLOOKUP(VLOOKUP(H64,'MCIA Cases'!$A$2:$AB$1091,26,FALSE),Summary!$J$43:$K$264,2,FALSE)," ")</f>
        <v xml:space="preserve"> </v>
      </c>
      <c r="C64" s="107" t="str">
        <f>_xlfn.IFNA(VLOOKUP(H64,'MCIA Cases'!$A$2:$R$1091,15,FALSE)," ")</f>
        <v>Christopher Charron</v>
      </c>
      <c r="H64" s="105">
        <v>374</v>
      </c>
      <c r="I64" s="1" t="str">
        <f>_xlfn.IFNA(VLOOKUP(H64,'MCIA Cases'!$A$2:$R$1091,2,FALSE)," ")</f>
        <v>Cape Girardeau Yard- Crane Boom Failure</v>
      </c>
      <c r="J64" s="1">
        <f>_xlfn.IFNA(VLOOKUP(H64,'MCIA Cases'!$A$2:$R$1091,9,FALSE)," ")</f>
        <v>0</v>
      </c>
      <c r="K64" s="1">
        <f>_xlfn.IFNA(VLOOKUP(H64,'MCIA Cases'!$A$2:$R$1091,10,FALSE)," ")</f>
        <v>0</v>
      </c>
      <c r="L64" s="1" t="str">
        <f>_xlfn.IFNA(VLOOKUP(H64,'MCIA Cases'!$A$2:$R$1091,3,FALSE)," ")</f>
        <v>Christopher Charron</v>
      </c>
      <c r="M64" s="1">
        <f>IF(COUNTIF('MCIA Corrective Actions'!$A:$A,H64)=0," ",COUNTIF('MCIA Corrective Actions'!$A:$A,H64))</f>
        <v>1</v>
      </c>
      <c r="N64" s="1">
        <f>IF(COUNTIF('MCIA Corrective Actions'!$A:$A,H64)=0," ",COUNTIFS('MCIA Corrective Actions'!$A:$A,H64,'MCIA Corrective Actions'!N:N,"Yes"))</f>
        <v>1</v>
      </c>
      <c r="O64" s="1" t="str">
        <f>_xlfn.IFNA(VLOOKUP(H64,'MCIA Corrective Actions'!$A$2:$R$1092,6,FALSE)," ")</f>
        <v>Christopher Charron</v>
      </c>
      <c r="P64" s="1"/>
    </row>
    <row r="65" spans="2:16" x14ac:dyDescent="0.25">
      <c r="B65" s="127" t="s">
        <v>3</v>
      </c>
      <c r="C65" s="107" t="str">
        <f>_xlfn.IFNA(VLOOKUP(H65,'MCIA Cases'!$A$2:$R$1091,15,FALSE)," ")</f>
        <v>Bill Baumann</v>
      </c>
      <c r="H65" s="105">
        <v>376</v>
      </c>
      <c r="I65" s="1" t="str">
        <f>_xlfn.IFNA(VLOOKUP(H65,'MCIA Cases'!$A$2:$R$1091,2,FALSE)," ")</f>
        <v>Dredge Texas fuel tank vent plugs incident</v>
      </c>
      <c r="J65" s="1">
        <f>_xlfn.IFNA(VLOOKUP(H65,'MCIA Cases'!$A$2:$R$1091,9,FALSE)," ")</f>
        <v>0</v>
      </c>
      <c r="K65" s="1">
        <f>_xlfn.IFNA(VLOOKUP(H65,'MCIA Cases'!$A$2:$R$1091,10,FALSE)," ")</f>
        <v>0</v>
      </c>
      <c r="L65" s="1" t="str">
        <f>_xlfn.IFNA(VLOOKUP(H65,'MCIA Cases'!$A$2:$R$1091,3,FALSE)," ")</f>
        <v>Jose Gracia</v>
      </c>
      <c r="M65" s="1">
        <f>IF(COUNTIF('MCIA Corrective Actions'!$A:$A,H65)=0," ",COUNTIF('MCIA Corrective Actions'!$A:$A,H65))</f>
        <v>2</v>
      </c>
      <c r="N65" s="1">
        <f>IF(COUNTIF('MCIA Corrective Actions'!$A:$A,H65)=0," ",COUNTIFS('MCIA Corrective Actions'!$A:$A,H65,'MCIA Corrective Actions'!N:N,"Yes"))</f>
        <v>0</v>
      </c>
      <c r="O65" s="1" t="str">
        <f>_xlfn.IFNA(VLOOKUP(H65,'MCIA Corrective Actions'!$A$2:$R$1092,6,FALSE)," ")</f>
        <v>Jose Gracia</v>
      </c>
      <c r="P65" s="1"/>
    </row>
    <row r="66" spans="2:16" x14ac:dyDescent="0.25">
      <c r="B66" s="127" t="s">
        <v>3</v>
      </c>
      <c r="C66" s="107" t="str">
        <f>_xlfn.IFNA(VLOOKUP(H66,'MCIA Cases'!$A$2:$R$1091,15,FALSE)," ")</f>
        <v>Bill Baumann</v>
      </c>
      <c r="H66" s="105">
        <v>377</v>
      </c>
      <c r="I66" s="1" t="str">
        <f>_xlfn.IFNA(VLOOKUP(H66,'MCIA Cases'!$A$2:$R$1091,2,FALSE)," ")</f>
        <v>Dredge Texas internal fuel leak incident</v>
      </c>
      <c r="J66" s="1">
        <f>_xlfn.IFNA(VLOOKUP(H66,'MCIA Cases'!$A$2:$R$1091,9,FALSE)," ")</f>
        <v>0</v>
      </c>
      <c r="K66" s="1">
        <f>_xlfn.IFNA(VLOOKUP(H66,'MCIA Cases'!$A$2:$R$1091,10,FALSE)," ")</f>
        <v>0</v>
      </c>
      <c r="L66" s="1" t="str">
        <f>_xlfn.IFNA(VLOOKUP(H66,'MCIA Cases'!$A$2:$R$1091,3,FALSE)," ")</f>
        <v>Robert Kelly</v>
      </c>
      <c r="M66" s="1" t="str">
        <f>IF(COUNTIF('MCIA Corrective Actions'!$A:$A,H66)=0," ",COUNTIF('MCIA Corrective Actions'!$A:$A,H66))</f>
        <v xml:space="preserve"> </v>
      </c>
      <c r="N66" s="1" t="str">
        <f>IF(COUNTIF('MCIA Corrective Actions'!$A:$A,H66)=0," ",COUNTIFS('MCIA Corrective Actions'!$A:$A,H66,'MCIA Corrective Actions'!N:N,"Yes"))</f>
        <v xml:space="preserve"> </v>
      </c>
      <c r="O66" s="1" t="str">
        <f>_xlfn.IFNA(VLOOKUP(H66,'MCIA Corrective Actions'!$A$2:$R$1092,6,FALSE)," ")</f>
        <v xml:space="preserve"> </v>
      </c>
      <c r="P66" s="1"/>
    </row>
    <row r="67" spans="2:16" x14ac:dyDescent="0.25">
      <c r="B67" s="127" t="str">
        <f>_xlfn.IFNA(VLOOKUP(VLOOKUP(H67,'MCIA Cases'!$A$2:$AB$1091,26,FALSE),Summary!$J$43:$K$264,2,FALSE)," ")</f>
        <v xml:space="preserve"> </v>
      </c>
      <c r="C67" s="107" t="str">
        <f>_xlfn.IFNA(VLOOKUP(H67,'MCIA Cases'!$A$2:$R$1091,15,FALSE)," ")</f>
        <v>Chris Roberts</v>
      </c>
      <c r="H67" s="105">
        <v>378</v>
      </c>
      <c r="I67" s="1" t="str">
        <f>_xlfn.IFNA(VLOOKUP(H67,'MCIA Cases'!$A$2:$R$1091,2,FALSE)," ")</f>
        <v>Terrapin Island-Deck Generator (Cat 3516) Failure</v>
      </c>
      <c r="J67" s="1">
        <f>_xlfn.IFNA(VLOOKUP(H67,'MCIA Cases'!$A$2:$R$1091,9,FALSE)," ")</f>
        <v>0</v>
      </c>
      <c r="K67" s="1">
        <f>_xlfn.IFNA(VLOOKUP(H67,'MCIA Cases'!$A$2:$R$1091,10,FALSE)," ")</f>
        <v>0</v>
      </c>
      <c r="L67" s="1" t="str">
        <f>_xlfn.IFNA(VLOOKUP(H67,'MCIA Cases'!$A$2:$R$1091,3,FALSE)," ")</f>
        <v>Nilene Brunslik</v>
      </c>
      <c r="M67" s="1">
        <f>IF(COUNTIF('MCIA Corrective Actions'!$A:$A,H67)=0," ",COUNTIF('MCIA Corrective Actions'!$A:$A,H67))</f>
        <v>1</v>
      </c>
      <c r="N67" s="1">
        <f>IF(COUNTIF('MCIA Corrective Actions'!$A:$A,H67)=0," ",COUNTIFS('MCIA Corrective Actions'!$A:$A,H67,'MCIA Corrective Actions'!N:N,"Yes"))</f>
        <v>1</v>
      </c>
      <c r="O67" s="1" t="str">
        <f>_xlfn.IFNA(VLOOKUP(H67,'MCIA Corrective Actions'!$A$2:$R$1092,6,FALSE)," ")</f>
        <v>Chris Roberts</v>
      </c>
      <c r="P67" s="1"/>
    </row>
    <row r="68" spans="2:16" x14ac:dyDescent="0.25">
      <c r="B68" s="127" t="str">
        <f>_xlfn.IFNA(VLOOKUP(VLOOKUP(H68,'MCIA Cases'!$A$2:$AB$1091,26,FALSE),Summary!$J$43:$K$264,2,FALSE)," ")</f>
        <v xml:space="preserve"> </v>
      </c>
      <c r="C68" s="107" t="str">
        <f>_xlfn.IFNA(VLOOKUP(H68,'MCIA Cases'!$A$2:$R$1091,15,FALSE)," ")</f>
        <v>Brian Goetchius</v>
      </c>
      <c r="H68" s="105">
        <v>382</v>
      </c>
      <c r="I68" s="1" t="str">
        <f>_xlfn.IFNA(VLOOKUP(H68,'MCIA Cases'!$A$2:$R$1091,2,FALSE)," ")</f>
        <v>GL 501 - Cylinder Failure</v>
      </c>
      <c r="J68" s="1">
        <f>_xlfn.IFNA(VLOOKUP(H68,'MCIA Cases'!$A$2:$R$1091,9,FALSE)," ")</f>
        <v>0</v>
      </c>
      <c r="K68" s="1">
        <f>_xlfn.IFNA(VLOOKUP(H68,'MCIA Cases'!$A$2:$R$1091,10,FALSE)," ")</f>
        <v>0</v>
      </c>
      <c r="L68" s="1" t="str">
        <f>_xlfn.IFNA(VLOOKUP(H68,'MCIA Cases'!$A$2:$R$1091,3,FALSE)," ")</f>
        <v>Andrew Larkin</v>
      </c>
      <c r="M68" s="1">
        <f>IF(COUNTIF('MCIA Corrective Actions'!$A:$A,H68)=0," ",COUNTIF('MCIA Corrective Actions'!$A:$A,H68))</f>
        <v>2</v>
      </c>
      <c r="N68" s="1">
        <f>IF(COUNTIF('MCIA Corrective Actions'!$A:$A,H68)=0," ",COUNTIFS('MCIA Corrective Actions'!$A:$A,H68,'MCIA Corrective Actions'!N:N,"Yes"))</f>
        <v>0</v>
      </c>
      <c r="O68" s="1" t="str">
        <f>_xlfn.IFNA(VLOOKUP(H68,'MCIA Corrective Actions'!$A$2:$R$1092,6,FALSE)," ")</f>
        <v>Andrew Larkin</v>
      </c>
      <c r="P68" s="1"/>
    </row>
    <row r="69" spans="2:16" x14ac:dyDescent="0.25">
      <c r="I69" s="1"/>
      <c r="J69" s="1"/>
      <c r="K69" s="1"/>
      <c r="L69" s="1"/>
      <c r="M69" s="1"/>
      <c r="N69" s="1"/>
      <c r="O69" s="1"/>
      <c r="P69" s="1"/>
    </row>
    <row r="70" spans="2:16" x14ac:dyDescent="0.25">
      <c r="I70" s="1"/>
      <c r="J70" s="1"/>
      <c r="K70" s="1"/>
      <c r="L70" s="1"/>
      <c r="M70" s="1"/>
      <c r="N70" s="1"/>
      <c r="O70" s="1"/>
      <c r="P70" s="1"/>
    </row>
    <row r="71" spans="2:16" x14ac:dyDescent="0.25">
      <c r="I71" s="1"/>
      <c r="J71" s="1"/>
      <c r="K71" s="1"/>
      <c r="L71" s="1"/>
      <c r="M71" s="1"/>
      <c r="N71" s="1"/>
      <c r="O71" s="1"/>
      <c r="P71" s="1"/>
    </row>
    <row r="72" spans="2:16" x14ac:dyDescent="0.25">
      <c r="I72" s="1"/>
      <c r="J72" s="1"/>
      <c r="K72" s="1"/>
      <c r="L72" s="1"/>
      <c r="M72" s="1"/>
      <c r="N72" s="1"/>
      <c r="O72" s="1"/>
      <c r="P72" s="1"/>
    </row>
    <row r="73" spans="2:16" x14ac:dyDescent="0.25">
      <c r="I73" s="1"/>
      <c r="J73" s="1"/>
      <c r="K73" s="1"/>
      <c r="L73" s="1"/>
      <c r="M73" s="1"/>
      <c r="N73" s="1"/>
      <c r="O73" s="1"/>
      <c r="P73" s="1"/>
    </row>
    <row r="74" spans="2:16" x14ac:dyDescent="0.25">
      <c r="I74" s="1"/>
      <c r="J74" s="1"/>
      <c r="K74" s="1"/>
      <c r="L74" s="1"/>
      <c r="M74" s="1"/>
      <c r="N74" s="1"/>
      <c r="O74" s="1"/>
      <c r="P74" s="1"/>
    </row>
    <row r="75" spans="2:16" x14ac:dyDescent="0.25">
      <c r="I75" s="1"/>
      <c r="J75" s="1"/>
      <c r="K75" s="1"/>
      <c r="L75" s="1"/>
      <c r="M75" s="1"/>
      <c r="N75" s="1"/>
      <c r="O75" s="1"/>
      <c r="P75" s="1"/>
    </row>
    <row r="76" spans="2:16" x14ac:dyDescent="0.25">
      <c r="I76" s="1"/>
      <c r="J76" s="1"/>
      <c r="K76" s="1"/>
      <c r="L76" s="1"/>
      <c r="M76" s="1"/>
      <c r="N76" s="1"/>
      <c r="O76" s="1"/>
      <c r="P76" s="1"/>
    </row>
    <row r="77" spans="2:16" x14ac:dyDescent="0.25">
      <c r="I77" s="1"/>
      <c r="J77" s="1"/>
      <c r="K77" s="1"/>
      <c r="L77" s="1"/>
      <c r="M77" s="1"/>
      <c r="N77" s="1"/>
      <c r="O77" s="1"/>
      <c r="P77" s="1"/>
    </row>
    <row r="78" spans="2:16" x14ac:dyDescent="0.25">
      <c r="I78" s="1"/>
      <c r="J78" s="1"/>
      <c r="K78" s="1"/>
      <c r="L78" s="1"/>
      <c r="M78" s="1"/>
      <c r="N78" s="1"/>
      <c r="O78" s="1"/>
      <c r="P78" s="1"/>
    </row>
    <row r="79" spans="2:16" x14ac:dyDescent="0.25">
      <c r="I79" s="1"/>
      <c r="J79" s="1"/>
      <c r="K79" s="1"/>
      <c r="L79" s="1"/>
      <c r="M79" s="1"/>
      <c r="N79" s="1"/>
      <c r="O79" s="1"/>
      <c r="P79" s="1"/>
    </row>
    <row r="80" spans="2:16" x14ac:dyDescent="0.25">
      <c r="I80" s="1"/>
      <c r="J80" s="1"/>
      <c r="K80" s="1"/>
      <c r="L80" s="1"/>
      <c r="M80" s="1"/>
      <c r="N80" s="1"/>
      <c r="O80" s="1"/>
      <c r="P80" s="1"/>
    </row>
    <row r="81" spans="9:16" x14ac:dyDescent="0.25">
      <c r="I81" s="1"/>
      <c r="J81" s="1"/>
      <c r="K81" s="1"/>
      <c r="L81" s="1"/>
      <c r="M81" s="1"/>
      <c r="N81" s="1"/>
      <c r="O81" s="1"/>
      <c r="P81" s="1"/>
    </row>
    <row r="82" spans="9:16" x14ac:dyDescent="0.25">
      <c r="I82" s="1"/>
      <c r="J82" s="1"/>
      <c r="K82" s="1"/>
      <c r="L82" s="1"/>
      <c r="M82" s="1"/>
      <c r="N82" s="1"/>
      <c r="O82" s="1"/>
      <c r="P82" s="1"/>
    </row>
    <row r="83" spans="9:16" x14ac:dyDescent="0.25">
      <c r="I83" s="1"/>
      <c r="J83" s="1"/>
      <c r="K83" s="1"/>
      <c r="L83" s="1"/>
      <c r="M83" s="1"/>
      <c r="N83" s="1"/>
      <c r="O83" s="1"/>
      <c r="P83" s="1"/>
    </row>
    <row r="84" spans="9:16" x14ac:dyDescent="0.25">
      <c r="I84" s="1"/>
      <c r="J84" s="1"/>
      <c r="K84" s="1"/>
      <c r="L84" s="1"/>
      <c r="M84" s="1"/>
      <c r="N84" s="1"/>
      <c r="O84" s="1"/>
      <c r="P84" s="1"/>
    </row>
    <row r="85" spans="9:16" x14ac:dyDescent="0.25">
      <c r="I85" s="1"/>
      <c r="J85" s="1"/>
      <c r="K85" s="1"/>
      <c r="L85" s="1"/>
      <c r="M85" s="1"/>
      <c r="N85" s="1"/>
      <c r="O85" s="1"/>
      <c r="P85" s="1"/>
    </row>
    <row r="86" spans="9:16" x14ac:dyDescent="0.25">
      <c r="I86" s="1"/>
      <c r="J86" s="1"/>
      <c r="K86" s="1"/>
      <c r="L86" s="1"/>
      <c r="M86" s="1"/>
      <c r="N86" s="1"/>
      <c r="O86" s="1"/>
      <c r="P86" s="1"/>
    </row>
  </sheetData>
  <autoFilter ref="B3:P3" xr:uid="{00000000-0009-0000-0000-000008000000}"/>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42AE758232734FAAB1C7DF0870E890" ma:contentTypeVersion="14" ma:contentTypeDescription="Create a new document." ma:contentTypeScope="" ma:versionID="e45864f3f0abf9d5ff05c1e21b866ae0">
  <xsd:schema xmlns:xsd="http://www.w3.org/2001/XMLSchema" xmlns:xs="http://www.w3.org/2001/XMLSchema" xmlns:p="http://schemas.microsoft.com/office/2006/metadata/properties" xmlns:ns3="5cd31883-fe7b-4a81-a08a-0c1a0a368358" xmlns:ns4="9c8cdb05-fb46-4986-b44a-52dfebcc3cdf" targetNamespace="http://schemas.microsoft.com/office/2006/metadata/properties" ma:root="true" ma:fieldsID="db2d62c5489e203742415ebbf7a4338d" ns3:_="" ns4:_="">
    <xsd:import namespace="5cd31883-fe7b-4a81-a08a-0c1a0a368358"/>
    <xsd:import namespace="9c8cdb05-fb46-4986-b44a-52dfebcc3cd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d31883-fe7b-4a81-a08a-0c1a0a3683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8cdb05-fb46-4986-b44a-52dfebcc3cd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6C39E3-0671-4453-9706-E6D4473C8C5C}">
  <ds:schemaRefs>
    <ds:schemaRef ds:uri="http://schemas.microsoft.com/sharepoint/v3/contenttype/forms"/>
  </ds:schemaRefs>
</ds:datastoreItem>
</file>

<file path=customXml/itemProps2.xml><?xml version="1.0" encoding="utf-8"?>
<ds:datastoreItem xmlns:ds="http://schemas.openxmlformats.org/officeDocument/2006/customXml" ds:itemID="{E1237658-469E-4D53-945F-C939E4E89D7D}">
  <ds:schemaRefs>
    <ds:schemaRef ds:uri="http://purl.org/dc/dcmitype/"/>
    <ds:schemaRef ds:uri="http://schemas.microsoft.com/office/infopath/2007/PartnerControls"/>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9c8cdb05-fb46-4986-b44a-52dfebcc3cdf"/>
    <ds:schemaRef ds:uri="5cd31883-fe7b-4a81-a08a-0c1a0a368358"/>
    <ds:schemaRef ds:uri="http://www.w3.org/XML/1998/namespace"/>
  </ds:schemaRefs>
</ds:datastoreItem>
</file>

<file path=customXml/itemProps3.xml><?xml version="1.0" encoding="utf-8"?>
<ds:datastoreItem xmlns:ds="http://schemas.openxmlformats.org/officeDocument/2006/customXml" ds:itemID="{2A88E8DC-F4F1-4658-BF0E-F501334BAC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d31883-fe7b-4a81-a08a-0c1a0a368358"/>
    <ds:schemaRef ds:uri="9c8cdb05-fb46-4986-b44a-52dfebcc3c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EDL Data</vt:lpstr>
      <vt:lpstr>Summary</vt:lpstr>
      <vt:lpstr>MCIA Cases</vt:lpstr>
      <vt:lpstr>MCIA Corrective Actions</vt:lpstr>
      <vt:lpstr>Document</vt:lpstr>
      <vt:lpstr>2017</vt:lpstr>
      <vt:lpstr>2018</vt:lpstr>
      <vt:lpstr>2019</vt:lpstr>
      <vt:lpstr>2020</vt:lpstr>
      <vt:lpstr>2021</vt:lpstr>
      <vt:lpstr>2022</vt:lpstr>
      <vt:lpstr>'EDL Data'!Print_Area</vt:lpstr>
    </vt:vector>
  </TitlesOfParts>
  <Company>GLDD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Parks</dc:creator>
  <cp:lastModifiedBy>Parks, Daniel</cp:lastModifiedBy>
  <cp:lastPrinted>2020-07-29T11:31:47Z</cp:lastPrinted>
  <dcterms:created xsi:type="dcterms:W3CDTF">2018-12-05T16:21:32Z</dcterms:created>
  <dcterms:modified xsi:type="dcterms:W3CDTF">2022-10-24T17:55:04Z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0x0101005D42AE758232734FAAB1C7DF0870E890</vt:lpwstr>
  </property>
</Properties>
</file>